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TTW\Financieringsinstrumenten\Open Technologie Programma (OTP)\Call for Proposals\werkdocument brochure 2024\OTP 2024 - Begrotingsformulier\"/>
    </mc:Choice>
  </mc:AlternateContent>
  <workbookProtection workbookAlgorithmName="SHA-512" workbookHashValue="JUWfwfI2aBlsBA1B+PWF0TyaKvxeEJIqzgXs/kE+8AVvRJ1JVo6nrpvtTIiRgGZRfOz0LWNiSy+I17Rz4G5fHA==" workbookSaltValue="/qdxFSh/6T/5bZMriLT1NQ==" workbookSpinCount="100000" lockStructure="1"/>
  <bookViews>
    <workbookView xWindow="0" yWindow="0" windowWidth="20490" windowHeight="5520" activeTab="1"/>
  </bookViews>
  <sheets>
    <sheet name="Summary" sheetId="5" r:id="rId1"/>
    <sheet name="Budget" sheetId="1" r:id="rId2"/>
    <sheet name="parameters" sheetId="3" state="hidden" r:id="rId3"/>
    <sheet name="checks" sheetId="4" state="hidden" r:id="rId4"/>
  </sheets>
  <definedNames>
    <definedName name="_xlnm.Print_Area" localSheetId="1">Budget!$A:$H</definedName>
    <definedName name="benchfee_amount">parameters!$B$31</definedName>
    <definedName name="callnaam">Budget!$A$1</definedName>
    <definedName name="cash_cofunding_minperc">parameters!$B$76</definedName>
    <definedName name="cash_invoice">parameters!$B$81</definedName>
    <definedName name="categories_pers_ac">salaries_academic[category]</definedName>
    <definedName name="CfP_tariffs_other_inst">parameters!$B$34</definedName>
    <definedName name="cofunding_inkind_def_rates">parameters!$B$78</definedName>
    <definedName name="cofunding_junior_rate">parameters!$B$79</definedName>
    <definedName name="cofunding_max_perc">parameters!$B$75</definedName>
    <definedName name="cofunding_min_perc">parameters!$B$74</definedName>
    <definedName name="cofunding_perc">Budget!$H$14</definedName>
    <definedName name="cofunding_private_minperc">parameters!$B$77</definedName>
    <definedName name="cofunding_senior_rate">parameters!$B$80</definedName>
    <definedName name="cofunding_threshold">parameters!$B$73</definedName>
    <definedName name="date">Budget!$B$2</definedName>
    <definedName name="empty_lines">parameters!$B$12</definedName>
    <definedName name="file_creation_date">parameters!$B$3</definedName>
    <definedName name="File_number">Budget!$B$4</definedName>
    <definedName name="footer_MFC">Budget!$A$162:$H$163</definedName>
    <definedName name="FTE_year_PhD_PD">checks!$F$112</definedName>
    <definedName name="header_MfC">Budget!$A$134:$H$135</definedName>
    <definedName name="HOT_rate_type">parameters!$B$33</definedName>
    <definedName name="HOT_rates">parameters!$B$32</definedName>
    <definedName name="Int_maxamount">parameters!$B$63</definedName>
    <definedName name="Int_maxamount_perc">parameters!$B$64</definedName>
    <definedName name="Int_MfC_maxamount">parameters!$B$61</definedName>
    <definedName name="Int_MfC_maxperc">parameters!$B$62</definedName>
    <definedName name="inv_max_total_amount">parameters!$B$51</definedName>
    <definedName name="inv_min_perc_own_contr">parameters!$B$49</definedName>
    <definedName name="inv_min_total_amount">parameters!$B$50</definedName>
    <definedName name="inv_own_contribution">parameters!$B$47</definedName>
    <definedName name="KU_entrepeneurship_max_amount">parameters!$B$55</definedName>
    <definedName name="KU_entrepeneurship_minperc">parameters!$B$54</definedName>
    <definedName name="KU_max_amount">parameters!$B$56</definedName>
    <definedName name="KU_maxperc">parameters!$B$58</definedName>
    <definedName name="KU_minperc">parameters!$B$57</definedName>
    <definedName name="list_ac_other_combined">list_combined[lijst tbv keuze instelling - gecombineerd:]</definedName>
    <definedName name="list_academic_personnel">list_academic[keuzelijst instelling - academisch:]</definedName>
    <definedName name="list_kind_cash_cofunding">list_cofunders[list cofunders]</definedName>
    <definedName name="list_personnel_other_inst">list_other[lijst tbv keuze instelling - other institutes:]</definedName>
    <definedName name="Main_applicant">Budget!$E$2</definedName>
    <definedName name="mat_cleanroom_maxamount">parameters!$B$44</definedName>
    <definedName name="mat_cleanroom_minamount">parameters!$B$43</definedName>
    <definedName name="mat_costs_accountant">parameters!$B$42</definedName>
    <definedName name="Mat_max_FTE_year">parameters!$B$38</definedName>
    <definedName name="Mat_max_FTE_year_other_inst">parameters!$B$41</definedName>
    <definedName name="Max_mat_FTE_year">parameters!$B$38</definedName>
    <definedName name="Max_NWO_funding">parameters!$B$8</definedName>
    <definedName name="max_NWO_funding_with_inv_nature">parameters!$B$7</definedName>
    <definedName name="max_NWO_funding_wo_inv_nature">parameters!$B$6</definedName>
    <definedName name="Max_project_duration">parameters!$B$9</definedName>
    <definedName name="MfC_maxamount">parameters!$B$65</definedName>
    <definedName name="MfC_maxperc">parameters!$B$66</definedName>
    <definedName name="Min_NWO_funding">parameters!$B$4</definedName>
    <definedName name="NFU_rates">parameters!$B$16</definedName>
    <definedName name="notes">Budget!$I$1</definedName>
    <definedName name="organisation_name">parameters!$B$11</definedName>
    <definedName name="organisation_type">parameters!$B$10</definedName>
    <definedName name="pers_3yPhD_min_months">parameters!$B$19</definedName>
    <definedName name="pers_leave_maxduration">parameters!$B$30</definedName>
    <definedName name="pers_leave_maxperc">parameters!$B$29</definedName>
    <definedName name="pers_max_NSP">parameters!$B$23</definedName>
    <definedName name="pers_max_OSP">parameters!$B$26</definedName>
    <definedName name="pers_NSP_max_months">parameters!$B$25</definedName>
    <definedName name="pers_NSP_min_months">parameters!$B$24</definedName>
    <definedName name="pers_oi_min_months">parameters!$B$39</definedName>
    <definedName name="pers_oi_minFTE">parameters!$B$40</definedName>
    <definedName name="pers_OSP_max_months">parameters!$B$28</definedName>
    <definedName name="pers_OSP_min_months">parameters!$B$27</definedName>
    <definedName name="pers_other_nrhours_year">parameters!$B$35</definedName>
    <definedName name="pers_other_years_materials">checks!$I$112</definedName>
    <definedName name="pers_PD_max_months">parameters!$B$22</definedName>
    <definedName name="pers_PD_min_months">parameters!$B$21</definedName>
    <definedName name="pers_PDEng_max_months">parameters!$B$20</definedName>
    <definedName name="pers_PhD_max_months">parameters!$B$18</definedName>
    <definedName name="pers_PhD_min_months">parameters!$B$17</definedName>
    <definedName name="prog_mngmt_max_amount_perc">parameters!$B$69</definedName>
    <definedName name="prog_mngmt_threshold_amount">parameters!$B$70</definedName>
    <definedName name="Project_title">Budget!$B$3</definedName>
    <definedName name="Research_leave_FTE_months">checks!$O$112</definedName>
    <definedName name="row_cofunding">Summary!$G$36</definedName>
    <definedName name="threshold_inv_nature">parameters!$B$5</definedName>
    <definedName name="threshold_own_contribution">parameters!$B$48</definedName>
    <definedName name="Total_benchfee">benchfee[[#Totals],[Amount]]</definedName>
    <definedName name="Total_cash">Total_invest_by_KI+Total_cofunding_incash+Total_projectfee+Total_TKI_PPS_allowance</definedName>
    <definedName name="Total_cash_via_NWO">Summary!$C$30</definedName>
    <definedName name="Total_cleanroom">cleanroom[[#Totals],[Amount]]</definedName>
    <definedName name="Total_cofunding">Budget!$H$197</definedName>
    <definedName name="Total_cofunding_incash">incash[[#Totals],[Amount]]</definedName>
    <definedName name="Total_cofunding_inkind">inkind[[#Totals],[Amount]]</definedName>
    <definedName name="Total_entrepeneurship">0</definedName>
    <definedName name="Total_Fin_NWO">Summary!$B$16</definedName>
    <definedName name="Total_goods_services">goods_services[[#Totals],[Amount]]</definedName>
    <definedName name="Total_implementation">implementation[[#Totals],[Amount]]</definedName>
    <definedName name="Total_incash_cofunding">incash[[#Totals],[Amount]]</definedName>
    <definedName name="Total_internationalisation">internationalisation[[#Totals],[Amount]]</definedName>
    <definedName name="Total_invest_by_KI">0</definedName>
    <definedName name="Total_investments">Budget!$H$114</definedName>
    <definedName name="Total_investments_large">0</definedName>
    <definedName name="Total_investments_small">investments_small[[#Totals],[Amount]]</definedName>
    <definedName name="Total_Knowledge_utilisation">Budget!$H$123</definedName>
    <definedName name="Total_KU_and_entrepeneurship">Budget!$H$123</definedName>
    <definedName name="Total_material_costs">Budget!$H$99</definedName>
    <definedName name="Total_MfC">Budget!$H$162</definedName>
    <definedName name="Total_MfC_materials">MfC_materials[[#Totals],[Amount]]</definedName>
    <definedName name="Total_MfC_pers_ac_inst">MfC_pers_ac_inst[[#Totals],[Amount]]</definedName>
    <definedName name="Total_NSP">checks!$L$112</definedName>
    <definedName name="Total_NWO_funding">Budget!$H$8</definedName>
    <definedName name="Total_OSP">checks!$C$112</definedName>
    <definedName name="Total_other_inst_2021">0</definedName>
    <definedName name="Total_personnel_ac_institutes">Budget!$H$30</definedName>
    <definedName name="Total_personnel_costs">Budget!$H$44</definedName>
    <definedName name="Total_personnel_other">0</definedName>
    <definedName name="total_private_cof">checks!$X$113</definedName>
    <definedName name="total_private_cof_incash">checks!$Y$112</definedName>
    <definedName name="total_private_cof_inkind">checks!$X$112</definedName>
    <definedName name="Total_project_budget">Budget!$H$7</definedName>
    <definedName name="Total_project_mngmnt">0</definedName>
    <definedName name="Total_projectfee">0</definedName>
    <definedName name="Total_resources">Summary!$B$19</definedName>
    <definedName name="Total_TKI_PPS_allowance">0</definedName>
    <definedName name="Total_travel_acc">travel_acc[[#Totals],[Amount]]</definedName>
    <definedName name="VSNU_rates">parameters!$B$15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2" i="3" l="1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H21" i="1" l="1"/>
  <c r="Q11" i="4" l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B130" i="4" l="1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B129" i="4"/>
  <c r="D198" i="4"/>
  <c r="E198" i="4"/>
  <c r="B147" i="4" l="1"/>
  <c r="B146" i="4"/>
  <c r="G623" i="4" l="1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F623" i="4"/>
  <c r="F624" i="4"/>
  <c r="F626" i="4"/>
  <c r="F627" i="4"/>
  <c r="F628" i="4"/>
  <c r="F629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B185" i="4"/>
  <c r="B183" i="4"/>
  <c r="B186" i="4"/>
  <c r="F625" i="4" s="1"/>
  <c r="B187" i="4"/>
  <c r="F630" i="4" s="1"/>
  <c r="C623" i="4" l="1"/>
  <c r="C624" i="4"/>
  <c r="C626" i="4"/>
  <c r="C627" i="4"/>
  <c r="C628" i="4"/>
  <c r="C629" i="4"/>
  <c r="C631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614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I187" i="1" l="1"/>
  <c r="I188" i="1"/>
  <c r="I189" i="1"/>
  <c r="I190" i="1"/>
  <c r="I191" i="1"/>
  <c r="I192" i="1"/>
  <c r="I193" i="1"/>
  <c r="I194" i="1"/>
  <c r="I195" i="1"/>
  <c r="I186" i="1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C520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5" i="4"/>
  <c r="C616" i="4"/>
  <c r="C617" i="4"/>
  <c r="C618" i="4"/>
  <c r="C619" i="4"/>
  <c r="C312" i="4"/>
  <c r="I129" i="1"/>
  <c r="I130" i="1"/>
  <c r="I131" i="1"/>
  <c r="I132" i="1"/>
  <c r="I128" i="1"/>
  <c r="I119" i="1"/>
  <c r="I120" i="1"/>
  <c r="I121" i="1"/>
  <c r="I122" i="1"/>
  <c r="I118" i="1"/>
  <c r="I104" i="1" l="1"/>
  <c r="I105" i="1"/>
  <c r="I106" i="1"/>
  <c r="I107" i="1"/>
  <c r="I108" i="1"/>
  <c r="I109" i="1"/>
  <c r="I110" i="1"/>
  <c r="I111" i="1"/>
  <c r="I112" i="1"/>
  <c r="I103" i="1"/>
  <c r="I94" i="1"/>
  <c r="I95" i="1"/>
  <c r="I96" i="1"/>
  <c r="I97" i="1"/>
  <c r="I93" i="1"/>
  <c r="I81" i="1"/>
  <c r="I82" i="1"/>
  <c r="I83" i="1"/>
  <c r="I84" i="1"/>
  <c r="I85" i="1"/>
  <c r="I86" i="1"/>
  <c r="I87" i="1"/>
  <c r="I88" i="1"/>
  <c r="I89" i="1"/>
  <c r="I80" i="1"/>
  <c r="I68" i="1"/>
  <c r="I69" i="1"/>
  <c r="I70" i="1"/>
  <c r="I71" i="1"/>
  <c r="I72" i="1"/>
  <c r="I73" i="1"/>
  <c r="I74" i="1"/>
  <c r="I75" i="1"/>
  <c r="I76" i="1"/>
  <c r="I67" i="1"/>
  <c r="I60" i="1"/>
  <c r="I61" i="1"/>
  <c r="I62" i="1"/>
  <c r="I63" i="1"/>
  <c r="I49" i="1"/>
  <c r="I50" i="1"/>
  <c r="I51" i="1"/>
  <c r="I52" i="1"/>
  <c r="I53" i="1"/>
  <c r="I54" i="1"/>
  <c r="I55" i="1"/>
  <c r="I56" i="1"/>
  <c r="I57" i="1"/>
  <c r="I58" i="1"/>
  <c r="B127" i="4"/>
  <c r="C630" i="4" s="1"/>
  <c r="C411" i="4"/>
  <c r="C632" i="4" l="1"/>
  <c r="C625" i="4"/>
  <c r="I59" i="1"/>
  <c r="C521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D306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7" i="4"/>
  <c r="G410" i="4" l="1"/>
  <c r="D312" i="4"/>
  <c r="B162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Z208" i="4"/>
  <c r="M208" i="4" l="1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1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B169" i="4"/>
  <c r="B156" i="4"/>
  <c r="B107" i="3" l="1"/>
  <c r="A107" i="3"/>
  <c r="B177" i="4" l="1"/>
  <c r="B166" i="4" l="1"/>
  <c r="B165" i="4"/>
  <c r="E11" i="4" l="1"/>
  <c r="B191" i="4" l="1"/>
  <c r="B181" i="4" l="1"/>
  <c r="B190" i="4"/>
  <c r="B182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D512" i="4"/>
  <c r="H123" i="1"/>
  <c r="F612" i="4" l="1"/>
  <c r="G612" i="4" s="1"/>
  <c r="G604" i="4"/>
  <c r="G596" i="4"/>
  <c r="G580" i="4"/>
  <c r="G564" i="4"/>
  <c r="G548" i="4"/>
  <c r="G588" i="4"/>
  <c r="G572" i="4"/>
  <c r="G610" i="4"/>
  <c r="G594" i="4"/>
  <c r="G586" i="4"/>
  <c r="G578" i="4"/>
  <c r="G570" i="4"/>
  <c r="G562" i="4"/>
  <c r="G554" i="4"/>
  <c r="G546" i="4"/>
  <c r="G602" i="4"/>
  <c r="G540" i="4"/>
  <c r="G532" i="4"/>
  <c r="G524" i="4"/>
  <c r="G556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617" i="4"/>
  <c r="G616" i="4"/>
  <c r="G608" i="4"/>
  <c r="G600" i="4"/>
  <c r="G592" i="4"/>
  <c r="G584" i="4"/>
  <c r="G576" i="4"/>
  <c r="G568" i="4"/>
  <c r="G538" i="4"/>
  <c r="G530" i="4"/>
  <c r="G522" i="4"/>
  <c r="G609" i="4"/>
  <c r="G601" i="4"/>
  <c r="G593" i="4"/>
  <c r="G585" i="4"/>
  <c r="G577" i="4"/>
  <c r="G569" i="4"/>
  <c r="G561" i="4"/>
  <c r="G553" i="4"/>
  <c r="G545" i="4"/>
  <c r="G537" i="4"/>
  <c r="G529" i="4"/>
  <c r="G521" i="4"/>
  <c r="G614" i="4"/>
  <c r="G606" i="4"/>
  <c r="G598" i="4"/>
  <c r="G590" i="4"/>
  <c r="G582" i="4"/>
  <c r="G574" i="4"/>
  <c r="G566" i="4"/>
  <c r="G558" i="4"/>
  <c r="G550" i="4"/>
  <c r="G542" i="4"/>
  <c r="G534" i="4"/>
  <c r="G52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G618" i="4" l="1"/>
  <c r="G535" i="4"/>
  <c r="G560" i="4"/>
  <c r="G571" i="4"/>
  <c r="G599" i="4"/>
  <c r="G579" i="4"/>
  <c r="G543" i="4"/>
  <c r="G607" i="4"/>
  <c r="G523" i="4"/>
  <c r="G587" i="4"/>
  <c r="G531" i="4"/>
  <c r="G595" i="4"/>
  <c r="G552" i="4"/>
  <c r="G520" i="4"/>
  <c r="G539" i="4"/>
  <c r="G603" i="4"/>
  <c r="G528" i="4"/>
  <c r="G547" i="4"/>
  <c r="G611" i="4"/>
  <c r="G575" i="4"/>
  <c r="G536" i="4"/>
  <c r="G555" i="4"/>
  <c r="G619" i="4"/>
  <c r="G583" i="4"/>
  <c r="G544" i="4"/>
  <c r="G563" i="4"/>
  <c r="G559" i="4"/>
  <c r="G567" i="4"/>
  <c r="G527" i="4"/>
  <c r="G591" i="4"/>
  <c r="G551" i="4"/>
  <c r="G615" i="4"/>
  <c r="B153" i="4"/>
  <c r="E416" i="4" s="1"/>
  <c r="E408" i="4"/>
  <c r="H138" i="1" l="1"/>
  <c r="H141" i="1"/>
  <c r="I523" i="4" s="1"/>
  <c r="H142" i="1"/>
  <c r="I524" i="4" s="1"/>
  <c r="H143" i="1"/>
  <c r="I525" i="4" s="1"/>
  <c r="H144" i="1"/>
  <c r="I526" i="4" s="1"/>
  <c r="H145" i="1"/>
  <c r="I527" i="4" s="1"/>
  <c r="H146" i="1"/>
  <c r="I528" i="4" s="1"/>
  <c r="H147" i="1"/>
  <c r="I529" i="4" s="1"/>
  <c r="I530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520" i="4" l="1"/>
  <c r="J616" i="4"/>
  <c r="B616" i="4" s="1" a="1"/>
  <c r="B616" i="4" s="1"/>
  <c r="J584" i="4"/>
  <c r="B584" i="4" s="1" a="1"/>
  <c r="B584" i="4" s="1"/>
  <c r="J527" i="4"/>
  <c r="B527" i="4" s="1" a="1"/>
  <c r="B527" i="4" s="1"/>
  <c r="J575" i="4"/>
  <c r="B575" i="4" s="1" a="1"/>
  <c r="B575" i="4" s="1"/>
  <c r="J526" i="4"/>
  <c r="B526" i="4" s="1" a="1"/>
  <c r="B526" i="4" s="1"/>
  <c r="J566" i="4"/>
  <c r="B566" i="4" s="1" a="1"/>
  <c r="B566" i="4" s="1"/>
  <c r="J613" i="4"/>
  <c r="B613" i="4" s="1" a="1"/>
  <c r="B613" i="4" s="1"/>
  <c r="J589" i="4"/>
  <c r="B589" i="4" s="1" a="1"/>
  <c r="B589" i="4" s="1"/>
  <c r="J581" i="4"/>
  <c r="B581" i="4" s="1" a="1"/>
  <c r="B581" i="4" s="1"/>
  <c r="J573" i="4"/>
  <c r="B573" i="4" s="1" a="1"/>
  <c r="B573" i="4" s="1"/>
  <c r="J565" i="4"/>
  <c r="B565" i="4" s="1" a="1"/>
  <c r="B565" i="4" s="1"/>
  <c r="J557" i="4"/>
  <c r="B557" i="4" s="1" a="1"/>
  <c r="B557" i="4" s="1"/>
  <c r="J549" i="4"/>
  <c r="B549" i="4" s="1" a="1"/>
  <c r="B549" i="4" s="1"/>
  <c r="J541" i="4"/>
  <c r="B541" i="4" s="1" a="1"/>
  <c r="B541" i="4" s="1"/>
  <c r="J533" i="4"/>
  <c r="B533" i="4" s="1" a="1"/>
  <c r="B533" i="4" s="1"/>
  <c r="J524" i="4"/>
  <c r="B524" i="4" s="1" a="1"/>
  <c r="B524" i="4" s="1"/>
  <c r="J576" i="4"/>
  <c r="B576" i="4" s="1" a="1"/>
  <c r="B576" i="4" s="1"/>
  <c r="J591" i="4"/>
  <c r="B591" i="4" s="1" a="1"/>
  <c r="B591" i="4" s="1"/>
  <c r="J614" i="4"/>
  <c r="B614" i="4" s="1" a="1"/>
  <c r="B614" i="4" s="1"/>
  <c r="J582" i="4"/>
  <c r="B582" i="4" s="1" a="1"/>
  <c r="B582" i="4" s="1"/>
  <c r="J542" i="4"/>
  <c r="B542" i="4" s="1" a="1"/>
  <c r="B542" i="4" s="1"/>
  <c r="J597" i="4"/>
  <c r="B597" i="4" s="1" a="1"/>
  <c r="B597" i="4" s="1"/>
  <c r="J604" i="4"/>
  <c r="B604" i="4" s="1" a="1"/>
  <c r="B604" i="4" s="1"/>
  <c r="J596" i="4"/>
  <c r="B596" i="4" s="1" a="1"/>
  <c r="B596" i="4" s="1"/>
  <c r="J588" i="4"/>
  <c r="B588" i="4" s="1" a="1"/>
  <c r="B588" i="4" s="1"/>
  <c r="J580" i="4"/>
  <c r="B580" i="4" s="1" a="1"/>
  <c r="B580" i="4" s="1"/>
  <c r="J572" i="4"/>
  <c r="B572" i="4" s="1" a="1"/>
  <c r="B572" i="4" s="1"/>
  <c r="J564" i="4"/>
  <c r="B564" i="4" s="1" a="1"/>
  <c r="B564" i="4" s="1"/>
  <c r="J556" i="4"/>
  <c r="B556" i="4" s="1" a="1"/>
  <c r="B556" i="4" s="1"/>
  <c r="J548" i="4"/>
  <c r="B548" i="4" s="1" a="1"/>
  <c r="B548" i="4" s="1"/>
  <c r="J540" i="4"/>
  <c r="B540" i="4" s="1" a="1"/>
  <c r="B540" i="4" s="1"/>
  <c r="J532" i="4"/>
  <c r="B532" i="4" s="1" a="1"/>
  <c r="B532" i="4" s="1"/>
  <c r="J523" i="4"/>
  <c r="B523" i="4" s="1" a="1"/>
  <c r="B523" i="4" s="1"/>
  <c r="J608" i="4"/>
  <c r="B608" i="4" s="1" a="1"/>
  <c r="B608" i="4" s="1"/>
  <c r="J568" i="4"/>
  <c r="B568" i="4" s="1" a="1"/>
  <c r="B568" i="4" s="1"/>
  <c r="J544" i="4"/>
  <c r="B544" i="4" s="1" a="1"/>
  <c r="B544" i="4" s="1"/>
  <c r="J607" i="4"/>
  <c r="B607" i="4" s="1" a="1"/>
  <c r="B607" i="4" s="1"/>
  <c r="J559" i="4"/>
  <c r="B559" i="4" s="1" a="1"/>
  <c r="B559" i="4" s="1"/>
  <c r="J535" i="4"/>
  <c r="B535" i="4" s="1" a="1"/>
  <c r="B535" i="4" s="1"/>
  <c r="J590" i="4"/>
  <c r="B590" i="4" s="1" a="1"/>
  <c r="B590" i="4" s="1"/>
  <c r="J550" i="4"/>
  <c r="B550" i="4" s="1" a="1"/>
  <c r="B550" i="4" s="1"/>
  <c r="J605" i="4"/>
  <c r="B605" i="4" s="1" a="1"/>
  <c r="B605" i="4" s="1"/>
  <c r="J619" i="4"/>
  <c r="B619" i="4" s="1" a="1"/>
  <c r="B619" i="4" s="1"/>
  <c r="J611" i="4"/>
  <c r="B611" i="4" s="1" a="1"/>
  <c r="B611" i="4" s="1"/>
  <c r="J603" i="4"/>
  <c r="B603" i="4" s="1" a="1"/>
  <c r="B603" i="4" s="1"/>
  <c r="J595" i="4"/>
  <c r="B595" i="4" s="1" a="1"/>
  <c r="B595" i="4" s="1"/>
  <c r="J587" i="4"/>
  <c r="B587" i="4" s="1" a="1"/>
  <c r="B587" i="4" s="1"/>
  <c r="J579" i="4"/>
  <c r="B579" i="4" s="1" a="1"/>
  <c r="B579" i="4" s="1"/>
  <c r="J571" i="4"/>
  <c r="B571" i="4" s="1" a="1"/>
  <c r="B571" i="4" s="1"/>
  <c r="J563" i="4"/>
  <c r="B563" i="4" s="1" a="1"/>
  <c r="B563" i="4" s="1"/>
  <c r="J555" i="4"/>
  <c r="B555" i="4" s="1" a="1"/>
  <c r="B555" i="4" s="1"/>
  <c r="J547" i="4"/>
  <c r="B547" i="4" s="1" a="1"/>
  <c r="B547" i="4" s="1"/>
  <c r="J539" i="4"/>
  <c r="B539" i="4" s="1" a="1"/>
  <c r="B539" i="4" s="1"/>
  <c r="J530" i="4"/>
  <c r="B530" i="4" s="1" a="1"/>
  <c r="B530" i="4" s="1"/>
  <c r="J600" i="4"/>
  <c r="B600" i="4" s="1" a="1"/>
  <c r="B600" i="4" s="1"/>
  <c r="J560" i="4"/>
  <c r="B560" i="4" s="1" a="1"/>
  <c r="B560" i="4" s="1"/>
  <c r="J536" i="4"/>
  <c r="B536" i="4" s="1" a="1"/>
  <c r="B536" i="4" s="1"/>
  <c r="J599" i="4"/>
  <c r="B599" i="4" s="1" a="1"/>
  <c r="B599" i="4" s="1"/>
  <c r="J567" i="4"/>
  <c r="B567" i="4" s="1" a="1"/>
  <c r="B567" i="4" s="1"/>
  <c r="J543" i="4"/>
  <c r="B543" i="4" s="1" a="1"/>
  <c r="B543" i="4" s="1"/>
  <c r="J598" i="4"/>
  <c r="B598" i="4" s="1" a="1"/>
  <c r="B598" i="4" s="1"/>
  <c r="J558" i="4"/>
  <c r="B558" i="4" s="1" a="1"/>
  <c r="B558" i="4" s="1"/>
  <c r="J525" i="4"/>
  <c r="B525" i="4" s="1" a="1"/>
  <c r="B525" i="4" s="1"/>
  <c r="J618" i="4"/>
  <c r="B618" i="4" s="1" a="1"/>
  <c r="B618" i="4" s="1"/>
  <c r="J610" i="4"/>
  <c r="B610" i="4" s="1" a="1"/>
  <c r="B610" i="4" s="1"/>
  <c r="J602" i="4"/>
  <c r="B602" i="4" s="1" a="1"/>
  <c r="B602" i="4" s="1"/>
  <c r="J594" i="4"/>
  <c r="B594" i="4" s="1" a="1"/>
  <c r="B594" i="4" s="1"/>
  <c r="J586" i="4"/>
  <c r="B586" i="4" s="1" a="1"/>
  <c r="B586" i="4" s="1"/>
  <c r="J578" i="4"/>
  <c r="B578" i="4" s="1" a="1"/>
  <c r="B578" i="4" s="1"/>
  <c r="J570" i="4"/>
  <c r="B570" i="4" s="1" a="1"/>
  <c r="B570" i="4" s="1"/>
  <c r="J562" i="4"/>
  <c r="B562" i="4" s="1" a="1"/>
  <c r="B562" i="4" s="1"/>
  <c r="J554" i="4"/>
  <c r="B554" i="4" s="1" a="1"/>
  <c r="B554" i="4" s="1"/>
  <c r="J546" i="4"/>
  <c r="B546" i="4" s="1" a="1"/>
  <c r="B546" i="4" s="1"/>
  <c r="J538" i="4"/>
  <c r="B538" i="4" s="1" a="1"/>
  <c r="B538" i="4" s="1"/>
  <c r="J529" i="4"/>
  <c r="B529" i="4" s="1" a="1"/>
  <c r="B529" i="4" s="1"/>
  <c r="J592" i="4"/>
  <c r="B592" i="4" s="1" a="1"/>
  <c r="B592" i="4" s="1"/>
  <c r="J552" i="4"/>
  <c r="B552" i="4" s="1" a="1"/>
  <c r="B552" i="4" s="1"/>
  <c r="J615" i="4"/>
  <c r="B615" i="4" s="1" a="1"/>
  <c r="B615" i="4" s="1"/>
  <c r="J583" i="4"/>
  <c r="B583" i="4" s="1" a="1"/>
  <c r="B583" i="4" s="1"/>
  <c r="J551" i="4"/>
  <c r="B551" i="4" s="1" a="1"/>
  <c r="B551" i="4" s="1"/>
  <c r="J606" i="4"/>
  <c r="B606" i="4" s="1" a="1"/>
  <c r="B606" i="4" s="1"/>
  <c r="J574" i="4"/>
  <c r="B574" i="4" s="1" a="1"/>
  <c r="B574" i="4" s="1"/>
  <c r="J534" i="4"/>
  <c r="B534" i="4" s="1" a="1"/>
  <c r="B534" i="4" s="1"/>
  <c r="J612" i="4"/>
  <c r="B612" i="4" s="1" a="1"/>
  <c r="B612" i="4" s="1"/>
  <c r="J617" i="4"/>
  <c r="B617" i="4" s="1" a="1"/>
  <c r="B617" i="4" s="1"/>
  <c r="J609" i="4"/>
  <c r="B609" i="4" s="1" a="1"/>
  <c r="B609" i="4" s="1"/>
  <c r="J601" i="4"/>
  <c r="B601" i="4" s="1" a="1"/>
  <c r="B601" i="4" s="1"/>
  <c r="J593" i="4"/>
  <c r="B593" i="4" s="1" a="1"/>
  <c r="B593" i="4" s="1"/>
  <c r="J585" i="4"/>
  <c r="B585" i="4" s="1" a="1"/>
  <c r="B585" i="4" s="1"/>
  <c r="J577" i="4"/>
  <c r="B577" i="4" s="1" a="1"/>
  <c r="B577" i="4" s="1"/>
  <c r="J569" i="4"/>
  <c r="B569" i="4" s="1" a="1"/>
  <c r="B569" i="4" s="1"/>
  <c r="J561" i="4"/>
  <c r="B561" i="4" s="1" a="1"/>
  <c r="B561" i="4" s="1"/>
  <c r="J553" i="4"/>
  <c r="B553" i="4" s="1" a="1"/>
  <c r="B553" i="4" s="1"/>
  <c r="J545" i="4"/>
  <c r="B545" i="4" s="1" a="1"/>
  <c r="B545" i="4" s="1"/>
  <c r="J537" i="4"/>
  <c r="B537" i="4" s="1" a="1"/>
  <c r="B537" i="4" s="1"/>
  <c r="J528" i="4"/>
  <c r="B528" i="4" s="1" a="1"/>
  <c r="B528" i="4" s="1"/>
  <c r="B164" i="4"/>
  <c r="I144" i="1" l="1"/>
  <c r="I145" i="1"/>
  <c r="I141" i="1"/>
  <c r="I147" i="1"/>
  <c r="I146" i="1"/>
  <c r="I143" i="1"/>
  <c r="I142" i="1"/>
  <c r="J520" i="4"/>
  <c r="B520" i="4" s="1" a="1"/>
  <c r="B520" i="4" s="1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" i="4"/>
  <c r="I138" i="1" l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68" i="1"/>
  <c r="E703" i="4" l="1"/>
  <c r="I703" i="4"/>
  <c r="H703" i="4"/>
  <c r="D703" i="4"/>
  <c r="E679" i="4"/>
  <c r="I679" i="4"/>
  <c r="H679" i="4"/>
  <c r="D679" i="4"/>
  <c r="E655" i="4"/>
  <c r="I655" i="4"/>
  <c r="H655" i="4"/>
  <c r="D655" i="4"/>
  <c r="E639" i="4"/>
  <c r="D639" i="4"/>
  <c r="I639" i="4"/>
  <c r="H639" i="4"/>
  <c r="D710" i="4"/>
  <c r="E710" i="4"/>
  <c r="I710" i="4"/>
  <c r="H710" i="4"/>
  <c r="D686" i="4"/>
  <c r="E686" i="4"/>
  <c r="I686" i="4"/>
  <c r="H686" i="4"/>
  <c r="D654" i="4"/>
  <c r="E654" i="4"/>
  <c r="I654" i="4"/>
  <c r="H654" i="4"/>
  <c r="D638" i="4"/>
  <c r="E638" i="4"/>
  <c r="I638" i="4"/>
  <c r="H638" i="4"/>
  <c r="D717" i="4"/>
  <c r="E717" i="4"/>
  <c r="I717" i="4"/>
  <c r="H717" i="4"/>
  <c r="D693" i="4"/>
  <c r="E693" i="4"/>
  <c r="I693" i="4"/>
  <c r="H693" i="4"/>
  <c r="D677" i="4"/>
  <c r="E677" i="4"/>
  <c r="I677" i="4"/>
  <c r="H677" i="4"/>
  <c r="D669" i="4"/>
  <c r="E669" i="4"/>
  <c r="I669" i="4"/>
  <c r="H669" i="4"/>
  <c r="D653" i="4"/>
  <c r="E653" i="4"/>
  <c r="I653" i="4"/>
  <c r="H653" i="4"/>
  <c r="D645" i="4"/>
  <c r="E645" i="4"/>
  <c r="I645" i="4"/>
  <c r="H645" i="4"/>
  <c r="D629" i="4"/>
  <c r="I629" i="4"/>
  <c r="H629" i="4"/>
  <c r="E629" i="4"/>
  <c r="I716" i="4"/>
  <c r="H716" i="4"/>
  <c r="D716" i="4"/>
  <c r="E716" i="4"/>
  <c r="I708" i="4"/>
  <c r="H708" i="4"/>
  <c r="D708" i="4"/>
  <c r="E708" i="4"/>
  <c r="I700" i="4"/>
  <c r="H700" i="4"/>
  <c r="D700" i="4"/>
  <c r="E700" i="4"/>
  <c r="I692" i="4"/>
  <c r="H692" i="4"/>
  <c r="D692" i="4"/>
  <c r="E692" i="4"/>
  <c r="I684" i="4"/>
  <c r="H684" i="4"/>
  <c r="D684" i="4"/>
  <c r="E684" i="4"/>
  <c r="I676" i="4"/>
  <c r="H676" i="4"/>
  <c r="D676" i="4"/>
  <c r="E676" i="4"/>
  <c r="I668" i="4"/>
  <c r="H668" i="4"/>
  <c r="D668" i="4"/>
  <c r="E668" i="4"/>
  <c r="I660" i="4"/>
  <c r="H660" i="4"/>
  <c r="D660" i="4"/>
  <c r="E660" i="4"/>
  <c r="I652" i="4"/>
  <c r="H652" i="4"/>
  <c r="D652" i="4"/>
  <c r="E652" i="4"/>
  <c r="I644" i="4"/>
  <c r="H644" i="4"/>
  <c r="D644" i="4"/>
  <c r="E644" i="4"/>
  <c r="I636" i="4"/>
  <c r="H636" i="4"/>
  <c r="D636" i="4"/>
  <c r="E636" i="4"/>
  <c r="D628" i="4"/>
  <c r="E628" i="4"/>
  <c r="I628" i="4"/>
  <c r="H628" i="4"/>
  <c r="D711" i="4"/>
  <c r="E711" i="4"/>
  <c r="I711" i="4"/>
  <c r="H711" i="4"/>
  <c r="D702" i="4"/>
  <c r="E702" i="4"/>
  <c r="I702" i="4"/>
  <c r="H702" i="4"/>
  <c r="D670" i="4"/>
  <c r="E670" i="4"/>
  <c r="I670" i="4"/>
  <c r="H670" i="4"/>
  <c r="D646" i="4"/>
  <c r="E646" i="4"/>
  <c r="I646" i="4"/>
  <c r="H646" i="4"/>
  <c r="D709" i="4"/>
  <c r="E709" i="4"/>
  <c r="I709" i="4"/>
  <c r="H709" i="4"/>
  <c r="D701" i="4"/>
  <c r="E701" i="4"/>
  <c r="I701" i="4"/>
  <c r="H701" i="4"/>
  <c r="D685" i="4"/>
  <c r="E685" i="4"/>
  <c r="I685" i="4"/>
  <c r="H685" i="4"/>
  <c r="D661" i="4"/>
  <c r="E661" i="4"/>
  <c r="I661" i="4"/>
  <c r="H661" i="4"/>
  <c r="D637" i="4"/>
  <c r="E637" i="4"/>
  <c r="I637" i="4"/>
  <c r="H637" i="4"/>
  <c r="I623" i="4"/>
  <c r="H623" i="4"/>
  <c r="E623" i="4"/>
  <c r="D623" i="4"/>
  <c r="I715" i="4"/>
  <c r="H715" i="4"/>
  <c r="E715" i="4"/>
  <c r="D715" i="4"/>
  <c r="I707" i="4"/>
  <c r="H707" i="4"/>
  <c r="D707" i="4"/>
  <c r="E707" i="4"/>
  <c r="I699" i="4"/>
  <c r="H699" i="4"/>
  <c r="E699" i="4"/>
  <c r="D699" i="4"/>
  <c r="I691" i="4"/>
  <c r="H691" i="4"/>
  <c r="D691" i="4"/>
  <c r="E691" i="4"/>
  <c r="I683" i="4"/>
  <c r="H683" i="4"/>
  <c r="E683" i="4"/>
  <c r="D683" i="4"/>
  <c r="I675" i="4"/>
  <c r="H675" i="4"/>
  <c r="E675" i="4"/>
  <c r="D675" i="4"/>
  <c r="I667" i="4"/>
  <c r="H667" i="4"/>
  <c r="D667" i="4"/>
  <c r="E667" i="4"/>
  <c r="I659" i="4"/>
  <c r="H659" i="4"/>
  <c r="D659" i="4"/>
  <c r="E659" i="4"/>
  <c r="I651" i="4"/>
  <c r="H651" i="4"/>
  <c r="E651" i="4"/>
  <c r="D651" i="4"/>
  <c r="I643" i="4"/>
  <c r="H643" i="4"/>
  <c r="D643" i="4"/>
  <c r="E643" i="4"/>
  <c r="I635" i="4"/>
  <c r="H635" i="4"/>
  <c r="E635" i="4"/>
  <c r="D635" i="4"/>
  <c r="D627" i="4"/>
  <c r="E627" i="4"/>
  <c r="I627" i="4"/>
  <c r="H627" i="4"/>
  <c r="D719" i="4"/>
  <c r="I719" i="4"/>
  <c r="H719" i="4"/>
  <c r="E719" i="4"/>
  <c r="D687" i="4"/>
  <c r="I687" i="4"/>
  <c r="H687" i="4"/>
  <c r="E687" i="4"/>
  <c r="D663" i="4"/>
  <c r="I663" i="4"/>
  <c r="H663" i="4"/>
  <c r="E663" i="4"/>
  <c r="D631" i="4"/>
  <c r="E631" i="4"/>
  <c r="H631" i="4"/>
  <c r="I631" i="4"/>
  <c r="D694" i="4"/>
  <c r="E694" i="4"/>
  <c r="I694" i="4"/>
  <c r="H694" i="4"/>
  <c r="D662" i="4"/>
  <c r="E662" i="4"/>
  <c r="I662" i="4"/>
  <c r="H662" i="4"/>
  <c r="D714" i="4"/>
  <c r="I714" i="4"/>
  <c r="H714" i="4"/>
  <c r="E714" i="4"/>
  <c r="D706" i="4"/>
  <c r="E706" i="4"/>
  <c r="I706" i="4"/>
  <c r="H706" i="4"/>
  <c r="D698" i="4"/>
  <c r="E698" i="4"/>
  <c r="I698" i="4"/>
  <c r="H698" i="4"/>
  <c r="E690" i="4"/>
  <c r="D690" i="4"/>
  <c r="I690" i="4"/>
  <c r="H690" i="4"/>
  <c r="E682" i="4"/>
  <c r="D682" i="4"/>
  <c r="I682" i="4"/>
  <c r="H682" i="4"/>
  <c r="D674" i="4"/>
  <c r="E674" i="4"/>
  <c r="I674" i="4"/>
  <c r="H674" i="4"/>
  <c r="D666" i="4"/>
  <c r="I666" i="4"/>
  <c r="H666" i="4"/>
  <c r="E666" i="4"/>
  <c r="E658" i="4"/>
  <c r="D658" i="4"/>
  <c r="I658" i="4"/>
  <c r="H658" i="4"/>
  <c r="E650" i="4"/>
  <c r="D650" i="4"/>
  <c r="I650" i="4"/>
  <c r="H650" i="4"/>
  <c r="E642" i="4"/>
  <c r="D642" i="4"/>
  <c r="I642" i="4"/>
  <c r="H642" i="4"/>
  <c r="D634" i="4"/>
  <c r="E634" i="4"/>
  <c r="I634" i="4"/>
  <c r="H634" i="4"/>
  <c r="I626" i="4"/>
  <c r="H626" i="4"/>
  <c r="D626" i="4"/>
  <c r="E626" i="4"/>
  <c r="H721" i="4"/>
  <c r="D721" i="4"/>
  <c r="E721" i="4"/>
  <c r="I721" i="4"/>
  <c r="I713" i="4"/>
  <c r="D713" i="4"/>
  <c r="E713" i="4"/>
  <c r="H713" i="4"/>
  <c r="I705" i="4"/>
  <c r="H705" i="4"/>
  <c r="D705" i="4"/>
  <c r="E705" i="4"/>
  <c r="I697" i="4"/>
  <c r="H697" i="4"/>
  <c r="D697" i="4"/>
  <c r="E697" i="4"/>
  <c r="H689" i="4"/>
  <c r="D689" i="4"/>
  <c r="E689" i="4"/>
  <c r="I689" i="4"/>
  <c r="D681" i="4"/>
  <c r="E681" i="4"/>
  <c r="I681" i="4"/>
  <c r="H681" i="4"/>
  <c r="H673" i="4"/>
  <c r="I673" i="4"/>
  <c r="D673" i="4"/>
  <c r="E673" i="4"/>
  <c r="I665" i="4"/>
  <c r="D665" i="4"/>
  <c r="E665" i="4"/>
  <c r="H665" i="4"/>
  <c r="I657" i="4"/>
  <c r="H657" i="4"/>
  <c r="D657" i="4"/>
  <c r="E657" i="4"/>
  <c r="H649" i="4"/>
  <c r="D649" i="4"/>
  <c r="E649" i="4"/>
  <c r="I649" i="4"/>
  <c r="I641" i="4"/>
  <c r="H641" i="4"/>
  <c r="D641" i="4"/>
  <c r="E641" i="4"/>
  <c r="D633" i="4"/>
  <c r="E633" i="4"/>
  <c r="I633" i="4"/>
  <c r="H633" i="4"/>
  <c r="D695" i="4"/>
  <c r="E695" i="4"/>
  <c r="I695" i="4"/>
  <c r="H695" i="4"/>
  <c r="D671" i="4"/>
  <c r="E671" i="4"/>
  <c r="I671" i="4"/>
  <c r="H671" i="4"/>
  <c r="D647" i="4"/>
  <c r="E647" i="4"/>
  <c r="I647" i="4"/>
  <c r="H647" i="4"/>
  <c r="D718" i="4"/>
  <c r="E718" i="4"/>
  <c r="I718" i="4"/>
  <c r="H718" i="4"/>
  <c r="D678" i="4"/>
  <c r="E678" i="4"/>
  <c r="I678" i="4"/>
  <c r="H678" i="4"/>
  <c r="E722" i="4"/>
  <c r="D722" i="4"/>
  <c r="I722" i="4"/>
  <c r="H722" i="4"/>
  <c r="D720" i="4"/>
  <c r="E720" i="4"/>
  <c r="H720" i="4"/>
  <c r="I720" i="4"/>
  <c r="H712" i="4"/>
  <c r="D712" i="4"/>
  <c r="E712" i="4"/>
  <c r="I712" i="4"/>
  <c r="D704" i="4"/>
  <c r="E704" i="4"/>
  <c r="I704" i="4"/>
  <c r="H704" i="4"/>
  <c r="D696" i="4"/>
  <c r="E696" i="4"/>
  <c r="H696" i="4"/>
  <c r="I696" i="4"/>
  <c r="D688" i="4"/>
  <c r="E688" i="4"/>
  <c r="I688" i="4"/>
  <c r="H688" i="4"/>
  <c r="D680" i="4"/>
  <c r="E680" i="4"/>
  <c r="H680" i="4"/>
  <c r="I680" i="4"/>
  <c r="D672" i="4"/>
  <c r="E672" i="4"/>
  <c r="I672" i="4"/>
  <c r="H672" i="4"/>
  <c r="D664" i="4"/>
  <c r="E664" i="4"/>
  <c r="H664" i="4"/>
  <c r="I664" i="4"/>
  <c r="D656" i="4"/>
  <c r="E656" i="4"/>
  <c r="I656" i="4"/>
  <c r="H656" i="4"/>
  <c r="D648" i="4"/>
  <c r="E648" i="4"/>
  <c r="H648" i="4"/>
  <c r="I648" i="4"/>
  <c r="D640" i="4"/>
  <c r="E640" i="4"/>
  <c r="I640" i="4"/>
  <c r="H640" i="4"/>
  <c r="I632" i="4"/>
  <c r="H632" i="4"/>
  <c r="D632" i="4"/>
  <c r="E632" i="4"/>
  <c r="I630" i="4"/>
  <c r="H630" i="4"/>
  <c r="I625" i="4"/>
  <c r="H625" i="4"/>
  <c r="H624" i="4"/>
  <c r="D624" i="4"/>
  <c r="E624" i="4"/>
  <c r="I624" i="4"/>
  <c r="D630" i="4"/>
  <c r="E630" i="4"/>
  <c r="E625" i="4"/>
  <c r="D625" i="4"/>
  <c r="X33" i="4"/>
  <c r="H183" i="1"/>
  <c r="B630" i="4" l="1" a="1"/>
  <c r="B630" i="4" s="1"/>
  <c r="I175" i="1" s="1"/>
  <c r="B684" i="4" a="1"/>
  <c r="B684" i="4" s="1"/>
  <c r="B636" i="4" a="1"/>
  <c r="B636" i="4" s="1"/>
  <c r="I181" i="1" s="1"/>
  <c r="B652" i="4" a="1"/>
  <c r="B652" i="4" s="1"/>
  <c r="B668" i="4" a="1"/>
  <c r="B668" i="4" s="1"/>
  <c r="B700" i="4" a="1"/>
  <c r="B700" i="4" s="1"/>
  <c r="B716" i="4" a="1"/>
  <c r="B716" i="4" s="1"/>
  <c r="B697" i="4" a="1"/>
  <c r="B697" i="4" s="1"/>
  <c r="B626" i="4" a="1"/>
  <c r="B626" i="4" s="1"/>
  <c r="I171" i="1" s="1"/>
  <c r="B643" i="4" a="1"/>
  <c r="B643" i="4" s="1"/>
  <c r="B659" i="4" a="1"/>
  <c r="B659" i="4" s="1"/>
  <c r="B691" i="4" a="1"/>
  <c r="B691" i="4" s="1"/>
  <c r="B707" i="4" a="1"/>
  <c r="B707" i="4" s="1"/>
  <c r="B644" i="4" a="1"/>
  <c r="B644" i="4" s="1"/>
  <c r="B660" i="4" a="1"/>
  <c r="B660" i="4" s="1"/>
  <c r="B676" i="4" a="1"/>
  <c r="B676" i="4" s="1"/>
  <c r="B692" i="4" a="1"/>
  <c r="B692" i="4" s="1"/>
  <c r="B708" i="4" a="1"/>
  <c r="B708" i="4" s="1"/>
  <c r="B635" i="4" a="1"/>
  <c r="B635" i="4" s="1"/>
  <c r="I180" i="1" s="1"/>
  <c r="B651" i="4" a="1"/>
  <c r="B651" i="4" s="1"/>
  <c r="B672" i="4" a="1"/>
  <c r="B672" i="4" s="1"/>
  <c r="B637" i="4" a="1"/>
  <c r="B637" i="4" s="1"/>
  <c r="I182" i="1" s="1"/>
  <c r="B670" i="4" a="1"/>
  <c r="B670" i="4" s="1"/>
  <c r="B640" i="4" a="1"/>
  <c r="B640" i="4" s="1"/>
  <c r="B683" i="4" a="1"/>
  <c r="B683" i="4" s="1"/>
  <c r="B699" i="4" a="1"/>
  <c r="B699" i="4" s="1"/>
  <c r="B715" i="4" a="1"/>
  <c r="B715" i="4" s="1"/>
  <c r="B679" i="4" a="1"/>
  <c r="B679" i="4" s="1"/>
  <c r="B641" i="4" a="1"/>
  <c r="B641" i="4" s="1"/>
  <c r="B657" i="4" a="1"/>
  <c r="B657" i="4" s="1"/>
  <c r="B673" i="4" a="1"/>
  <c r="B673" i="4" s="1"/>
  <c r="B705" i="4" a="1"/>
  <c r="B705" i="4" s="1"/>
  <c r="B667" i="4" a="1"/>
  <c r="B667" i="4" s="1"/>
  <c r="B689" i="4" a="1"/>
  <c r="B689" i="4" s="1"/>
  <c r="B721" i="4" a="1"/>
  <c r="B721" i="4" s="1"/>
  <c r="B650" i="4" a="1"/>
  <c r="B650" i="4" s="1"/>
  <c r="B682" i="4" a="1"/>
  <c r="B682" i="4" s="1"/>
  <c r="B639" i="4" a="1"/>
  <c r="B639" i="4" s="1"/>
  <c r="B720" i="4" a="1"/>
  <c r="B720" i="4" s="1"/>
  <c r="B695" i="4" a="1"/>
  <c r="B695" i="4" s="1"/>
  <c r="B711" i="4" a="1"/>
  <c r="B711" i="4" s="1"/>
  <c r="B645" i="4" a="1"/>
  <c r="B645" i="4" s="1"/>
  <c r="B669" i="4" a="1"/>
  <c r="B669" i="4" s="1"/>
  <c r="B693" i="4" a="1"/>
  <c r="B693" i="4" s="1"/>
  <c r="B638" i="4" a="1"/>
  <c r="B638" i="4" s="1"/>
  <c r="B686" i="4" a="1"/>
  <c r="B686" i="4" s="1"/>
  <c r="B688" i="4" a="1"/>
  <c r="B688" i="4" s="1"/>
  <c r="B704" i="4" a="1"/>
  <c r="B704" i="4" s="1"/>
  <c r="B678" i="4" a="1"/>
  <c r="B678" i="4" s="1"/>
  <c r="B647" i="4" a="1"/>
  <c r="B647" i="4" s="1"/>
  <c r="B634" i="4" a="1"/>
  <c r="B634" i="4" s="1"/>
  <c r="I179" i="1" s="1"/>
  <c r="B666" i="4" a="1"/>
  <c r="B666" i="4" s="1"/>
  <c r="B698" i="4" a="1"/>
  <c r="B698" i="4" s="1"/>
  <c r="B714" i="4" a="1"/>
  <c r="B714" i="4" s="1"/>
  <c r="B694" i="4" a="1"/>
  <c r="B694" i="4" s="1"/>
  <c r="B663" i="4" a="1"/>
  <c r="B663" i="4" s="1"/>
  <c r="B719" i="4" a="1"/>
  <c r="B719" i="4" s="1"/>
  <c r="B685" i="4" a="1"/>
  <c r="B685" i="4" s="1"/>
  <c r="B709" i="4" a="1"/>
  <c r="B709" i="4" s="1"/>
  <c r="B675" i="4" a="1"/>
  <c r="B675" i="4" s="1"/>
  <c r="B623" i="4" a="1"/>
  <c r="B623" i="4" s="1"/>
  <c r="I168" i="1" s="1"/>
  <c r="B655" i="4" a="1"/>
  <c r="B655" i="4" s="1"/>
  <c r="B703" i="4" a="1"/>
  <c r="B703" i="4" s="1"/>
  <c r="B712" i="4" a="1"/>
  <c r="B712" i="4" s="1"/>
  <c r="B722" i="4" a="1"/>
  <c r="B722" i="4" s="1"/>
  <c r="B649" i="4" a="1"/>
  <c r="B649" i="4" s="1"/>
  <c r="B665" i="4" a="1"/>
  <c r="B665" i="4" s="1"/>
  <c r="B713" i="4" a="1"/>
  <c r="B713" i="4" s="1"/>
  <c r="B642" i="4" a="1"/>
  <c r="B642" i="4" s="1"/>
  <c r="B658" i="4" a="1"/>
  <c r="B658" i="4" s="1"/>
  <c r="B690" i="4" a="1"/>
  <c r="B690" i="4" s="1"/>
  <c r="B656" i="4" a="1"/>
  <c r="B656" i="4" s="1"/>
  <c r="B648" i="4" a="1"/>
  <c r="B648" i="4" s="1"/>
  <c r="B664" i="4" a="1"/>
  <c r="B664" i="4" s="1"/>
  <c r="B680" i="4" a="1"/>
  <c r="B680" i="4" s="1"/>
  <c r="B696" i="4" a="1"/>
  <c r="B696" i="4" s="1"/>
  <c r="B718" i="4" a="1"/>
  <c r="B718" i="4" s="1"/>
  <c r="B671" i="4" a="1"/>
  <c r="B671" i="4" s="1"/>
  <c r="B633" i="4" a="1"/>
  <c r="B633" i="4" s="1"/>
  <c r="I178" i="1" s="1"/>
  <c r="B681" i="4" a="1"/>
  <c r="B681" i="4" s="1"/>
  <c r="B674" i="4" a="1"/>
  <c r="B674" i="4" s="1"/>
  <c r="B706" i="4" a="1"/>
  <c r="B706" i="4" s="1"/>
  <c r="B662" i="4" a="1"/>
  <c r="B662" i="4" s="1"/>
  <c r="B631" i="4" a="1"/>
  <c r="B631" i="4" s="1"/>
  <c r="I176" i="1" s="1"/>
  <c r="B687" i="4" a="1"/>
  <c r="B687" i="4" s="1"/>
  <c r="B627" i="4" a="1"/>
  <c r="B627" i="4" s="1"/>
  <c r="I172" i="1" s="1"/>
  <c r="B661" i="4" a="1"/>
  <c r="B661" i="4" s="1"/>
  <c r="B701" i="4" a="1"/>
  <c r="B701" i="4" s="1"/>
  <c r="B646" i="4" a="1"/>
  <c r="B646" i="4" s="1"/>
  <c r="B702" i="4" a="1"/>
  <c r="B702" i="4" s="1"/>
  <c r="B628" i="4" a="1"/>
  <c r="B628" i="4" s="1"/>
  <c r="I173" i="1" s="1"/>
  <c r="B629" i="4" a="1"/>
  <c r="B629" i="4" s="1"/>
  <c r="I174" i="1" s="1"/>
  <c r="B653" i="4" a="1"/>
  <c r="B653" i="4" s="1"/>
  <c r="B677" i="4" a="1"/>
  <c r="B677" i="4" s="1"/>
  <c r="B717" i="4" a="1"/>
  <c r="B717" i="4" s="1"/>
  <c r="B654" i="4" a="1"/>
  <c r="B654" i="4" s="1"/>
  <c r="B710" i="4" a="1"/>
  <c r="B710" i="4" s="1"/>
  <c r="B632" i="4" a="1"/>
  <c r="B632" i="4" s="1"/>
  <c r="I177" i="1" s="1"/>
  <c r="B624" i="4" a="1"/>
  <c r="B624" i="4" s="1"/>
  <c r="I169" i="1" s="1"/>
  <c r="B625" i="4" a="1"/>
  <c r="B625" i="4" s="1"/>
  <c r="I170" i="1" s="1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3" i="4"/>
  <c r="D514" i="4"/>
  <c r="D515" i="4"/>
  <c r="I416" i="4"/>
  <c r="E33" i="1"/>
  <c r="E34" i="1"/>
  <c r="E35" i="1"/>
  <c r="E36" i="1"/>
  <c r="E37" i="1"/>
  <c r="E38" i="1"/>
  <c r="E39" i="1"/>
  <c r="E40" i="1"/>
  <c r="E41" i="1"/>
  <c r="E42" i="1"/>
  <c r="H492" i="4" l="1"/>
  <c r="F492" i="4"/>
  <c r="I492" i="4"/>
  <c r="H460" i="4"/>
  <c r="F460" i="4"/>
  <c r="I460" i="4"/>
  <c r="H444" i="4"/>
  <c r="F444" i="4"/>
  <c r="I444" i="4"/>
  <c r="H420" i="4"/>
  <c r="F420" i="4"/>
  <c r="I420" i="4"/>
  <c r="H484" i="4"/>
  <c r="F484" i="4"/>
  <c r="I484" i="4"/>
  <c r="H452" i="4"/>
  <c r="F452" i="4"/>
  <c r="I452" i="4"/>
  <c r="H507" i="4"/>
  <c r="F507" i="4"/>
  <c r="I507" i="4"/>
  <c r="H499" i="4"/>
  <c r="F499" i="4"/>
  <c r="I499" i="4"/>
  <c r="H475" i="4"/>
  <c r="F475" i="4"/>
  <c r="I475" i="4"/>
  <c r="H467" i="4"/>
  <c r="F467" i="4"/>
  <c r="I467" i="4"/>
  <c r="H459" i="4"/>
  <c r="F459" i="4"/>
  <c r="I459" i="4"/>
  <c r="H451" i="4"/>
  <c r="F451" i="4"/>
  <c r="I451" i="4"/>
  <c r="H443" i="4"/>
  <c r="F443" i="4"/>
  <c r="I443" i="4"/>
  <c r="H435" i="4"/>
  <c r="F435" i="4"/>
  <c r="I435" i="4"/>
  <c r="H427" i="4"/>
  <c r="F427" i="4"/>
  <c r="I427" i="4"/>
  <c r="H419" i="4"/>
  <c r="F419" i="4"/>
  <c r="I419" i="4"/>
  <c r="H508" i="4"/>
  <c r="F508" i="4"/>
  <c r="I508" i="4"/>
  <c r="H468" i="4"/>
  <c r="F468" i="4"/>
  <c r="I468" i="4"/>
  <c r="H428" i="4"/>
  <c r="F428" i="4"/>
  <c r="I428" i="4"/>
  <c r="H483" i="4"/>
  <c r="F483" i="4"/>
  <c r="I483" i="4"/>
  <c r="H514" i="4"/>
  <c r="F514" i="4"/>
  <c r="I514" i="4"/>
  <c r="H506" i="4"/>
  <c r="F506" i="4"/>
  <c r="I506" i="4"/>
  <c r="H498" i="4"/>
  <c r="F498" i="4"/>
  <c r="I498" i="4"/>
  <c r="H490" i="4"/>
  <c r="F490" i="4"/>
  <c r="I490" i="4"/>
  <c r="H482" i="4"/>
  <c r="F482" i="4"/>
  <c r="I482" i="4"/>
  <c r="H474" i="4"/>
  <c r="F474" i="4"/>
  <c r="I474" i="4"/>
  <c r="H466" i="4"/>
  <c r="F466" i="4"/>
  <c r="I466" i="4"/>
  <c r="H458" i="4"/>
  <c r="F458" i="4"/>
  <c r="I458" i="4"/>
  <c r="H450" i="4"/>
  <c r="F450" i="4"/>
  <c r="I450" i="4"/>
  <c r="H442" i="4"/>
  <c r="F442" i="4"/>
  <c r="I442" i="4"/>
  <c r="H434" i="4"/>
  <c r="F434" i="4"/>
  <c r="I434" i="4"/>
  <c r="H426" i="4"/>
  <c r="F426" i="4"/>
  <c r="I426" i="4"/>
  <c r="H418" i="4"/>
  <c r="F418" i="4"/>
  <c r="I418" i="4"/>
  <c r="H476" i="4"/>
  <c r="F476" i="4"/>
  <c r="I476" i="4"/>
  <c r="H436" i="4"/>
  <c r="F436" i="4"/>
  <c r="I436" i="4"/>
  <c r="H515" i="4"/>
  <c r="F515" i="4"/>
  <c r="I515" i="4"/>
  <c r="H491" i="4"/>
  <c r="F491" i="4"/>
  <c r="I491" i="4"/>
  <c r="H513" i="4"/>
  <c r="I513" i="4"/>
  <c r="F513" i="4"/>
  <c r="H505" i="4"/>
  <c r="I505" i="4"/>
  <c r="F505" i="4"/>
  <c r="H497" i="4"/>
  <c r="I497" i="4"/>
  <c r="F497" i="4"/>
  <c r="H489" i="4"/>
  <c r="I489" i="4"/>
  <c r="F489" i="4"/>
  <c r="H481" i="4"/>
  <c r="I481" i="4"/>
  <c r="F481" i="4"/>
  <c r="H473" i="4"/>
  <c r="I473" i="4"/>
  <c r="F473" i="4"/>
  <c r="H465" i="4"/>
  <c r="I465" i="4"/>
  <c r="F465" i="4"/>
  <c r="H457" i="4"/>
  <c r="I457" i="4"/>
  <c r="F457" i="4"/>
  <c r="H449" i="4"/>
  <c r="I449" i="4"/>
  <c r="F449" i="4"/>
  <c r="H441" i="4"/>
  <c r="I441" i="4"/>
  <c r="F441" i="4"/>
  <c r="H433" i="4"/>
  <c r="I433" i="4"/>
  <c r="F433" i="4"/>
  <c r="H425" i="4"/>
  <c r="I425" i="4"/>
  <c r="F425" i="4"/>
  <c r="H417" i="4"/>
  <c r="I417" i="4"/>
  <c r="F417" i="4"/>
  <c r="H496" i="4"/>
  <c r="I496" i="4"/>
  <c r="F496" i="4"/>
  <c r="H488" i="4"/>
  <c r="I488" i="4"/>
  <c r="F488" i="4"/>
  <c r="H480" i="4"/>
  <c r="I480" i="4"/>
  <c r="F480" i="4"/>
  <c r="H472" i="4"/>
  <c r="I472" i="4"/>
  <c r="F472" i="4"/>
  <c r="H464" i="4"/>
  <c r="I464" i="4"/>
  <c r="F464" i="4"/>
  <c r="H456" i="4"/>
  <c r="I456" i="4"/>
  <c r="F456" i="4"/>
  <c r="H448" i="4"/>
  <c r="I448" i="4"/>
  <c r="F448" i="4"/>
  <c r="H440" i="4"/>
  <c r="I440" i="4"/>
  <c r="F440" i="4"/>
  <c r="H432" i="4"/>
  <c r="I432" i="4"/>
  <c r="F432" i="4"/>
  <c r="H424" i="4"/>
  <c r="I424" i="4"/>
  <c r="F424" i="4"/>
  <c r="H511" i="4"/>
  <c r="I511" i="4"/>
  <c r="F511" i="4"/>
  <c r="H503" i="4"/>
  <c r="I503" i="4"/>
  <c r="F503" i="4"/>
  <c r="H479" i="4"/>
  <c r="I479" i="4"/>
  <c r="F479" i="4"/>
  <c r="H471" i="4"/>
  <c r="I471" i="4"/>
  <c r="F471" i="4"/>
  <c r="H463" i="4"/>
  <c r="I463" i="4"/>
  <c r="F463" i="4"/>
  <c r="H455" i="4"/>
  <c r="I455" i="4"/>
  <c r="F455" i="4"/>
  <c r="H447" i="4"/>
  <c r="I447" i="4"/>
  <c r="F447" i="4"/>
  <c r="H439" i="4"/>
  <c r="I439" i="4"/>
  <c r="F439" i="4"/>
  <c r="H431" i="4"/>
  <c r="I431" i="4"/>
  <c r="F431" i="4"/>
  <c r="H423" i="4"/>
  <c r="I423" i="4"/>
  <c r="F423" i="4"/>
  <c r="H512" i="4"/>
  <c r="I512" i="4"/>
  <c r="F512" i="4"/>
  <c r="H487" i="4"/>
  <c r="I487" i="4"/>
  <c r="F487" i="4"/>
  <c r="H510" i="4"/>
  <c r="I510" i="4"/>
  <c r="F510" i="4"/>
  <c r="H502" i="4"/>
  <c r="I502" i="4"/>
  <c r="F502" i="4"/>
  <c r="H494" i="4"/>
  <c r="I494" i="4"/>
  <c r="F494" i="4"/>
  <c r="H486" i="4"/>
  <c r="I486" i="4"/>
  <c r="F486" i="4"/>
  <c r="H478" i="4"/>
  <c r="I478" i="4"/>
  <c r="F478" i="4"/>
  <c r="H470" i="4"/>
  <c r="I470" i="4"/>
  <c r="F470" i="4"/>
  <c r="H462" i="4"/>
  <c r="I462" i="4"/>
  <c r="F462" i="4"/>
  <c r="H454" i="4"/>
  <c r="I454" i="4"/>
  <c r="F454" i="4"/>
  <c r="H446" i="4"/>
  <c r="I446" i="4"/>
  <c r="F446" i="4"/>
  <c r="H438" i="4"/>
  <c r="I438" i="4"/>
  <c r="F438" i="4"/>
  <c r="H430" i="4"/>
  <c r="I430" i="4"/>
  <c r="F430" i="4"/>
  <c r="H422" i="4"/>
  <c r="I422" i="4"/>
  <c r="F422" i="4"/>
  <c r="H500" i="4"/>
  <c r="F500" i="4"/>
  <c r="I500" i="4"/>
  <c r="H504" i="4"/>
  <c r="I504" i="4"/>
  <c r="F504" i="4"/>
  <c r="H495" i="4"/>
  <c r="I495" i="4"/>
  <c r="F495" i="4"/>
  <c r="H509" i="4"/>
  <c r="F509" i="4"/>
  <c r="I509" i="4"/>
  <c r="H501" i="4"/>
  <c r="F501" i="4"/>
  <c r="I501" i="4"/>
  <c r="H493" i="4"/>
  <c r="F493" i="4"/>
  <c r="I493" i="4"/>
  <c r="H485" i="4"/>
  <c r="F485" i="4"/>
  <c r="I485" i="4"/>
  <c r="H477" i="4"/>
  <c r="F477" i="4"/>
  <c r="I477" i="4"/>
  <c r="H469" i="4"/>
  <c r="F469" i="4"/>
  <c r="I469" i="4"/>
  <c r="H461" i="4"/>
  <c r="F461" i="4"/>
  <c r="I461" i="4"/>
  <c r="H453" i="4"/>
  <c r="F453" i="4"/>
  <c r="I453" i="4"/>
  <c r="H445" i="4"/>
  <c r="F445" i="4"/>
  <c r="I445" i="4"/>
  <c r="H437" i="4"/>
  <c r="F437" i="4"/>
  <c r="I437" i="4"/>
  <c r="H429" i="4"/>
  <c r="F429" i="4"/>
  <c r="I429" i="4"/>
  <c r="H421" i="4"/>
  <c r="F421" i="4"/>
  <c r="I421" i="4"/>
  <c r="H416" i="4"/>
  <c r="F416" i="4"/>
  <c r="B416" i="4" l="1" a="1"/>
  <c r="B416" i="4" s="1"/>
  <c r="B478" i="4" a="1"/>
  <c r="B478" i="4" s="1"/>
  <c r="B431" i="4" a="1"/>
  <c r="B431" i="4" s="1"/>
  <c r="B511" i="4" a="1"/>
  <c r="B511" i="4" s="1"/>
  <c r="B480" i="4" a="1"/>
  <c r="B480" i="4" s="1"/>
  <c r="B457" i="4" a="1"/>
  <c r="B457" i="4" s="1"/>
  <c r="B446" i="4" a="1"/>
  <c r="B446" i="4" s="1"/>
  <c r="B510" i="4" a="1"/>
  <c r="B510" i="4" s="1"/>
  <c r="B463" i="4" a="1"/>
  <c r="B463" i="4" s="1"/>
  <c r="B448" i="4" a="1"/>
  <c r="B448" i="4" s="1"/>
  <c r="B425" i="4" a="1"/>
  <c r="B425" i="4" s="1"/>
  <c r="B489" i="4" a="1"/>
  <c r="B489" i="4" s="1"/>
  <c r="B426" i="4" a="1"/>
  <c r="B426" i="4" s="1"/>
  <c r="B490" i="4" a="1"/>
  <c r="B490" i="4" s="1"/>
  <c r="B419" i="4" a="1"/>
  <c r="B419" i="4" s="1"/>
  <c r="B499" i="4" a="1"/>
  <c r="B499" i="4" s="1"/>
  <c r="B509" i="4" a="1"/>
  <c r="B509" i="4" s="1"/>
  <c r="B445" i="4" a="1"/>
  <c r="B445" i="4" s="1"/>
  <c r="B482" i="4" a="1"/>
  <c r="B482" i="4" s="1"/>
  <c r="B461" i="4" a="1"/>
  <c r="B461" i="4" s="1"/>
  <c r="B452" i="4" a="1"/>
  <c r="B452" i="4" s="1"/>
  <c r="B449" i="4" a="1"/>
  <c r="B449" i="4" s="1"/>
  <c r="B513" i="4" a="1"/>
  <c r="B513" i="4" s="1"/>
  <c r="B417" i="4" a="1"/>
  <c r="B417" i="4" s="1"/>
  <c r="B429" i="4" a="1"/>
  <c r="B429" i="4" s="1"/>
  <c r="B453" i="4" a="1"/>
  <c r="B453" i="4" s="1"/>
  <c r="B422" i="4" a="1"/>
  <c r="B422" i="4" s="1"/>
  <c r="B486" i="4" a="1"/>
  <c r="B486" i="4" s="1"/>
  <c r="B439" i="4" a="1"/>
  <c r="B439" i="4" s="1"/>
  <c r="B424" i="4" a="1"/>
  <c r="B424" i="4" s="1"/>
  <c r="B488" i="4" a="1"/>
  <c r="B488" i="4" s="1"/>
  <c r="B465" i="4" a="1"/>
  <c r="B465" i="4" s="1"/>
  <c r="B507" i="4" a="1"/>
  <c r="B507" i="4" s="1"/>
  <c r="B469" i="4" a="1"/>
  <c r="B469" i="4" s="1"/>
  <c r="B493" i="4" a="1"/>
  <c r="B493" i="4" s="1"/>
  <c r="B495" i="4" a="1"/>
  <c r="B495" i="4" s="1"/>
  <c r="B462" i="4" a="1"/>
  <c r="B462" i="4" s="1"/>
  <c r="B512" i="4" a="1"/>
  <c r="B512" i="4" s="1"/>
  <c r="B479" i="4" a="1"/>
  <c r="B479" i="4" s="1"/>
  <c r="B440" i="4" a="1"/>
  <c r="B440" i="4" s="1"/>
  <c r="B464" i="4" a="1"/>
  <c r="B464" i="4" s="1"/>
  <c r="B441" i="4" a="1"/>
  <c r="B441" i="4" s="1"/>
  <c r="B505" i="4" a="1"/>
  <c r="B505" i="4" s="1"/>
  <c r="B476" i="4" a="1"/>
  <c r="B476" i="4" s="1"/>
  <c r="B434" i="4" a="1"/>
  <c r="B434" i="4" s="1"/>
  <c r="B474" i="4" a="1"/>
  <c r="B474" i="4" s="1"/>
  <c r="B498" i="4" a="1"/>
  <c r="B498" i="4" s="1"/>
  <c r="B468" i="4" a="1"/>
  <c r="B468" i="4" s="1"/>
  <c r="B427" i="4" a="1"/>
  <c r="B427" i="4" s="1"/>
  <c r="B467" i="4" a="1"/>
  <c r="B467" i="4" s="1"/>
  <c r="B460" i="4" a="1"/>
  <c r="B460" i="4" s="1"/>
  <c r="B515" i="4" a="1"/>
  <c r="B515" i="4" s="1"/>
  <c r="B458" i="4" a="1"/>
  <c r="B458" i="4" s="1"/>
  <c r="B483" i="4" a="1"/>
  <c r="B483" i="4" s="1"/>
  <c r="B451" i="4" a="1"/>
  <c r="B451" i="4" s="1"/>
  <c r="B420" i="4" a="1"/>
  <c r="B420" i="4" s="1"/>
  <c r="B437" i="4" a="1"/>
  <c r="B437" i="4" s="1"/>
  <c r="B501" i="4" a="1"/>
  <c r="B501" i="4" s="1"/>
  <c r="B503" i="4" a="1"/>
  <c r="B503" i="4" s="1"/>
  <c r="B472" i="4" a="1"/>
  <c r="B472" i="4" s="1"/>
  <c r="B418" i="4" a="1"/>
  <c r="B418" i="4" s="1"/>
  <c r="B508" i="4" a="1"/>
  <c r="B508" i="4" s="1"/>
  <c r="B475" i="4" a="1"/>
  <c r="B475" i="4" s="1"/>
  <c r="B492" i="4" a="1"/>
  <c r="B492" i="4" s="1"/>
  <c r="B430" i="4" a="1"/>
  <c r="B430" i="4" s="1"/>
  <c r="B447" i="4" a="1"/>
  <c r="B447" i="4" s="1"/>
  <c r="B432" i="4" a="1"/>
  <c r="B432" i="4" s="1"/>
  <c r="B496" i="4" a="1"/>
  <c r="B496" i="4" s="1"/>
  <c r="B473" i="4" a="1"/>
  <c r="B473" i="4" s="1"/>
  <c r="B442" i="4" a="1"/>
  <c r="B442" i="4" s="1"/>
  <c r="B506" i="4" a="1"/>
  <c r="B506" i="4" s="1"/>
  <c r="B435" i="4" a="1"/>
  <c r="B435" i="4" s="1"/>
  <c r="B494" i="4" a="1"/>
  <c r="B494" i="4" s="1"/>
  <c r="B421" i="4" a="1"/>
  <c r="B421" i="4" s="1"/>
  <c r="B485" i="4" a="1"/>
  <c r="B485" i="4" s="1"/>
  <c r="B504" i="4" a="1"/>
  <c r="B504" i="4" s="1"/>
  <c r="B454" i="4" a="1"/>
  <c r="B454" i="4" s="1"/>
  <c r="B470" i="4" a="1"/>
  <c r="B470" i="4" s="1"/>
  <c r="B487" i="4" a="1"/>
  <c r="B487" i="4" s="1"/>
  <c r="B423" i="4" a="1"/>
  <c r="B423" i="4" s="1"/>
  <c r="B471" i="4" a="1"/>
  <c r="B471" i="4" s="1"/>
  <c r="B456" i="4" a="1"/>
  <c r="B456" i="4" s="1"/>
  <c r="B433" i="4" a="1"/>
  <c r="B433" i="4" s="1"/>
  <c r="B497" i="4" a="1"/>
  <c r="B497" i="4" s="1"/>
  <c r="B436" i="4" a="1"/>
  <c r="B436" i="4" s="1"/>
  <c r="B466" i="4" a="1"/>
  <c r="B466" i="4" s="1"/>
  <c r="B428" i="4" a="1"/>
  <c r="B428" i="4" s="1"/>
  <c r="B459" i="4" a="1"/>
  <c r="B459" i="4" s="1"/>
  <c r="B444" i="4" a="1"/>
  <c r="B444" i="4" s="1"/>
  <c r="B477" i="4" a="1"/>
  <c r="B477" i="4" s="1"/>
  <c r="B500" i="4" a="1"/>
  <c r="B500" i="4" s="1"/>
  <c r="B438" i="4" a="1"/>
  <c r="B438" i="4" s="1"/>
  <c r="B502" i="4" a="1"/>
  <c r="B502" i="4" s="1"/>
  <c r="B455" i="4" a="1"/>
  <c r="B455" i="4" s="1"/>
  <c r="B481" i="4" a="1"/>
  <c r="B481" i="4" s="1"/>
  <c r="B491" i="4" a="1"/>
  <c r="B491" i="4" s="1"/>
  <c r="B450" i="4" a="1"/>
  <c r="B450" i="4" s="1"/>
  <c r="B514" i="4" a="1"/>
  <c r="B514" i="4" s="1"/>
  <c r="B443" i="4" a="1"/>
  <c r="B443" i="4" s="1"/>
  <c r="B484" i="4" a="1"/>
  <c r="B484" i="4" s="1"/>
  <c r="H113" i="1"/>
  <c r="I113" i="1" s="1"/>
  <c r="C161" i="4" l="1"/>
  <c r="C160" i="4"/>
  <c r="B161" i="4"/>
  <c r="B160" i="4"/>
  <c r="B163" i="4"/>
  <c r="B159" i="4" l="1"/>
  <c r="B158" i="4"/>
  <c r="H98" i="1" l="1"/>
  <c r="I98" i="1" s="1"/>
  <c r="U209" i="4" l="1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B192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R208" i="4"/>
  <c r="R209" i="4"/>
  <c r="R210" i="4"/>
  <c r="R211" i="4"/>
  <c r="R212" i="4"/>
  <c r="R213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N208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J208" i="4"/>
  <c r="J209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B125" i="4"/>
  <c r="B179" i="4"/>
  <c r="B178" i="4"/>
  <c r="B168" i="4"/>
  <c r="B167" i="4"/>
  <c r="B145" i="4"/>
  <c r="B131" i="4"/>
  <c r="B133" i="4"/>
  <c r="J210" i="4" s="1"/>
  <c r="B134" i="4"/>
  <c r="B135" i="4"/>
  <c r="B139" i="4"/>
  <c r="B138" i="4"/>
  <c r="B144" i="4"/>
  <c r="B143" i="4"/>
  <c r="B142" i="4"/>
  <c r="B141" i="4"/>
  <c r="B137" i="4"/>
  <c r="E313" i="4"/>
  <c r="E314" i="4"/>
  <c r="E315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9" i="4"/>
  <c r="E410" i="4"/>
  <c r="E411" i="4"/>
  <c r="E312" i="4"/>
  <c r="E316" i="4"/>
  <c r="B7" i="5" l="1"/>
  <c r="B6" i="5"/>
  <c r="B5" i="5"/>
  <c r="B4" i="5"/>
  <c r="B3" i="5"/>
  <c r="B2" i="5"/>
  <c r="B180" i="4" l="1"/>
  <c r="B170" i="4"/>
  <c r="B188" i="4" l="1"/>
  <c r="Z11" i="4" l="1"/>
  <c r="Z13" i="4"/>
  <c r="Z16" i="4"/>
  <c r="Z18" i="4"/>
  <c r="Z21" i="4"/>
  <c r="Z24" i="4"/>
  <c r="Z26" i="4"/>
  <c r="Z27" i="4"/>
  <c r="Z29" i="4"/>
  <c r="Z32" i="4"/>
  <c r="Z34" i="4"/>
  <c r="Z35" i="4"/>
  <c r="Z37" i="4"/>
  <c r="Z39" i="4"/>
  <c r="Z40" i="4"/>
  <c r="Z42" i="4"/>
  <c r="Z43" i="4"/>
  <c r="Z45" i="4"/>
  <c r="Z48" i="4"/>
  <c r="Z50" i="4"/>
  <c r="Z51" i="4"/>
  <c r="Z54" i="4"/>
  <c r="Z56" i="4"/>
  <c r="Z58" i="4"/>
  <c r="Z59" i="4"/>
  <c r="Z60" i="4"/>
  <c r="Z62" i="4"/>
  <c r="Z64" i="4"/>
  <c r="Z66" i="4"/>
  <c r="Z67" i="4"/>
  <c r="Z70" i="4"/>
  <c r="Z72" i="4"/>
  <c r="Z74" i="4"/>
  <c r="Z75" i="4"/>
  <c r="Z76" i="4"/>
  <c r="Z78" i="4"/>
  <c r="Z80" i="4"/>
  <c r="Z82" i="4"/>
  <c r="Z83" i="4"/>
  <c r="Z84" i="4"/>
  <c r="Z86" i="4"/>
  <c r="Z87" i="4"/>
  <c r="Z88" i="4"/>
  <c r="Z90" i="4"/>
  <c r="Z91" i="4"/>
  <c r="Z92" i="4"/>
  <c r="Z94" i="4"/>
  <c r="Z96" i="4"/>
  <c r="Z98" i="4"/>
  <c r="Z99" i="4"/>
  <c r="Z100" i="4"/>
  <c r="Z102" i="4"/>
  <c r="Z104" i="4"/>
  <c r="Z106" i="4"/>
  <c r="Z107" i="4"/>
  <c r="Z108" i="4"/>
  <c r="Z109" i="4"/>
  <c r="U11" i="4" l="1"/>
  <c r="F33" i="1" s="1"/>
  <c r="V11" i="4"/>
  <c r="G33" i="1" s="1"/>
  <c r="T11" i="4"/>
  <c r="C33" i="1" s="1"/>
  <c r="Y112" i="4"/>
  <c r="Z22" i="4"/>
  <c r="Z52" i="4"/>
  <c r="Z30" i="4"/>
  <c r="Z53" i="4"/>
  <c r="Z73" i="4"/>
  <c r="Z68" i="4"/>
  <c r="Z105" i="4"/>
  <c r="Z38" i="4"/>
  <c r="Z89" i="4"/>
  <c r="Z46" i="4"/>
  <c r="Z57" i="4"/>
  <c r="Z69" i="4"/>
  <c r="Z97" i="4"/>
  <c r="Z17" i="4"/>
  <c r="Z81" i="4"/>
  <c r="Z20" i="4"/>
  <c r="Z61" i="4"/>
  <c r="Z65" i="4"/>
  <c r="Z101" i="4"/>
  <c r="Z36" i="4"/>
  <c r="Z25" i="4"/>
  <c r="Z33" i="4"/>
  <c r="Z41" i="4"/>
  <c r="Z49" i="4"/>
  <c r="Z93" i="4"/>
  <c r="Z44" i="4"/>
  <c r="Z28" i="4"/>
  <c r="Z19" i="4"/>
  <c r="Z85" i="4"/>
  <c r="Z77" i="4"/>
  <c r="Z15" i="4"/>
  <c r="Z23" i="4"/>
  <c r="Z31" i="4"/>
  <c r="Z47" i="4"/>
  <c r="Z55" i="4"/>
  <c r="Z63" i="4"/>
  <c r="Z71" i="4"/>
  <c r="Z79" i="4"/>
  <c r="Z95" i="4"/>
  <c r="Z103" i="4"/>
  <c r="B124" i="4" l="1"/>
  <c r="R11" i="4" l="1"/>
  <c r="A33" i="1" s="1"/>
  <c r="N11" i="4"/>
  <c r="O11" i="4" s="1"/>
  <c r="S11" i="4" l="1"/>
  <c r="B33" i="1" s="1"/>
  <c r="I33" i="1" s="1"/>
  <c r="Z14" i="4"/>
  <c r="Z12" i="4" l="1"/>
  <c r="B24" i="5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I110" i="4" s="1"/>
  <c r="B11" i="4"/>
  <c r="X112" i="4" l="1"/>
  <c r="X113" i="4" s="1"/>
  <c r="Z110" i="4"/>
  <c r="I107" i="4"/>
  <c r="I99" i="4"/>
  <c r="I91" i="4"/>
  <c r="I83" i="4"/>
  <c r="I75" i="4"/>
  <c r="I67" i="4"/>
  <c r="I59" i="4"/>
  <c r="I51" i="4"/>
  <c r="I43" i="4"/>
  <c r="I35" i="4"/>
  <c r="I27" i="4"/>
  <c r="I19" i="4"/>
  <c r="I106" i="4"/>
  <c r="I98" i="4"/>
  <c r="I90" i="4"/>
  <c r="I82" i="4"/>
  <c r="I74" i="4"/>
  <c r="I66" i="4"/>
  <c r="I58" i="4"/>
  <c r="I50" i="4"/>
  <c r="I42" i="4"/>
  <c r="I34" i="4"/>
  <c r="I26" i="4"/>
  <c r="I18" i="4"/>
  <c r="I105" i="4"/>
  <c r="I97" i="4"/>
  <c r="I89" i="4"/>
  <c r="I81" i="4"/>
  <c r="I73" i="4"/>
  <c r="I65" i="4"/>
  <c r="I57" i="4"/>
  <c r="I49" i="4"/>
  <c r="I41" i="4"/>
  <c r="I33" i="4"/>
  <c r="I25" i="4"/>
  <c r="I17" i="4"/>
  <c r="I104" i="4"/>
  <c r="I96" i="4"/>
  <c r="I88" i="4"/>
  <c r="I80" i="4"/>
  <c r="I72" i="4"/>
  <c r="I64" i="4"/>
  <c r="I56" i="4"/>
  <c r="I48" i="4"/>
  <c r="I40" i="4"/>
  <c r="I32" i="4"/>
  <c r="I24" i="4"/>
  <c r="I16" i="4"/>
  <c r="I103" i="4"/>
  <c r="I95" i="4"/>
  <c r="I87" i="4"/>
  <c r="I79" i="4"/>
  <c r="I71" i="4"/>
  <c r="I63" i="4"/>
  <c r="I55" i="4"/>
  <c r="I47" i="4"/>
  <c r="I39" i="4"/>
  <c r="I31" i="4"/>
  <c r="I23" i="4"/>
  <c r="I15" i="4"/>
  <c r="I102" i="4"/>
  <c r="I86" i="4"/>
  <c r="I70" i="4"/>
  <c r="I62" i="4"/>
  <c r="I46" i="4"/>
  <c r="I30" i="4"/>
  <c r="I14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94" i="4"/>
  <c r="I78" i="4"/>
  <c r="I54" i="4"/>
  <c r="I38" i="4"/>
  <c r="I22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11" i="4"/>
  <c r="I112" i="4" l="1"/>
  <c r="N12" i="4" l="1"/>
  <c r="O12" i="4" s="1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K11" i="4"/>
  <c r="I208" i="4"/>
  <c r="I212" i="4"/>
  <c r="I209" i="4"/>
  <c r="I210" i="4"/>
  <c r="I211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K12" i="4" l="1"/>
  <c r="F11" i="4" l="1"/>
  <c r="H20" i="1"/>
  <c r="H140" i="1"/>
  <c r="Y208" i="4" l="1"/>
  <c r="X208" i="4"/>
  <c r="I522" i="4"/>
  <c r="J522" i="4" s="1"/>
  <c r="B522" i="4" s="1" a="1"/>
  <c r="B522" i="4" s="1"/>
  <c r="I531" i="4"/>
  <c r="H139" i="1"/>
  <c r="I137" i="1"/>
  <c r="B25" i="5"/>
  <c r="D25" i="5"/>
  <c r="I140" i="1" l="1"/>
  <c r="H148" i="1"/>
  <c r="J531" i="4"/>
  <c r="B531" i="4" s="1" a="1"/>
  <c r="B531" i="4" s="1"/>
  <c r="I521" i="4"/>
  <c r="J521" i="4" l="1"/>
  <c r="B521" i="4" s="1" a="1"/>
  <c r="B521" i="4" s="1"/>
  <c r="I139" i="1" s="1"/>
  <c r="H133" i="1" l="1"/>
  <c r="B16" i="5" s="1"/>
  <c r="H90" i="1"/>
  <c r="H64" i="1"/>
  <c r="H77" i="1"/>
  <c r="B18" i="5" l="1"/>
  <c r="H99" i="1"/>
  <c r="B13" i="5" s="1"/>
  <c r="B28" i="5"/>
  <c r="C28" i="5"/>
  <c r="D28" i="5" s="1"/>
  <c r="B15" i="5" l="1"/>
  <c r="H33" i="1"/>
  <c r="Y209" i="4" l="1"/>
  <c r="H22" i="1"/>
  <c r="H23" i="1"/>
  <c r="H24" i="1"/>
  <c r="H25" i="1"/>
  <c r="H26" i="1"/>
  <c r="H27" i="1"/>
  <c r="H28" i="1"/>
  <c r="H29" i="1"/>
  <c r="X297" i="4" l="1"/>
  <c r="Y297" i="4"/>
  <c r="X304" i="4"/>
  <c r="Y304" i="4"/>
  <c r="X296" i="4"/>
  <c r="Y296" i="4"/>
  <c r="X288" i="4"/>
  <c r="Y288" i="4"/>
  <c r="X280" i="4"/>
  <c r="Y280" i="4"/>
  <c r="X272" i="4"/>
  <c r="Y272" i="4"/>
  <c r="X264" i="4"/>
  <c r="Y264" i="4"/>
  <c r="X256" i="4"/>
  <c r="Y256" i="4"/>
  <c r="X248" i="4"/>
  <c r="Y248" i="4"/>
  <c r="X240" i="4"/>
  <c r="Y240" i="4"/>
  <c r="X232" i="4"/>
  <c r="Y232" i="4"/>
  <c r="X224" i="4"/>
  <c r="Y224" i="4"/>
  <c r="X216" i="4"/>
  <c r="Y216" i="4"/>
  <c r="X305" i="4"/>
  <c r="Y305" i="4"/>
  <c r="X295" i="4"/>
  <c r="Y295" i="4"/>
  <c r="X287" i="4"/>
  <c r="Y287" i="4"/>
  <c r="X279" i="4"/>
  <c r="Y279" i="4"/>
  <c r="X271" i="4"/>
  <c r="Y271" i="4"/>
  <c r="X263" i="4"/>
  <c r="Y263" i="4"/>
  <c r="X255" i="4"/>
  <c r="Y255" i="4"/>
  <c r="X247" i="4"/>
  <c r="Y247" i="4"/>
  <c r="X239" i="4"/>
  <c r="Y239" i="4"/>
  <c r="X231" i="4"/>
  <c r="Y231" i="4"/>
  <c r="X223" i="4"/>
  <c r="Y223" i="4"/>
  <c r="X215" i="4"/>
  <c r="Y215" i="4"/>
  <c r="X303" i="4"/>
  <c r="Y303" i="4"/>
  <c r="X294" i="4"/>
  <c r="Y294" i="4"/>
  <c r="X286" i="4"/>
  <c r="Y286" i="4"/>
  <c r="X278" i="4"/>
  <c r="Y278" i="4"/>
  <c r="X270" i="4"/>
  <c r="Y270" i="4"/>
  <c r="X262" i="4"/>
  <c r="Y262" i="4"/>
  <c r="X254" i="4"/>
  <c r="Y254" i="4"/>
  <c r="X246" i="4"/>
  <c r="Y246" i="4"/>
  <c r="X238" i="4"/>
  <c r="Y238" i="4"/>
  <c r="X230" i="4"/>
  <c r="Y230" i="4"/>
  <c r="X222" i="4"/>
  <c r="Y222" i="4"/>
  <c r="X301" i="4"/>
  <c r="Y301" i="4"/>
  <c r="X293" i="4"/>
  <c r="Y293" i="4"/>
  <c r="X285" i="4"/>
  <c r="Y285" i="4"/>
  <c r="X277" i="4"/>
  <c r="Y277" i="4"/>
  <c r="X269" i="4"/>
  <c r="Y269" i="4"/>
  <c r="X261" i="4"/>
  <c r="Y261" i="4"/>
  <c r="X253" i="4"/>
  <c r="Y253" i="4"/>
  <c r="X245" i="4"/>
  <c r="Y245" i="4"/>
  <c r="X237" i="4"/>
  <c r="Y237" i="4"/>
  <c r="X229" i="4"/>
  <c r="Y229" i="4"/>
  <c r="X221" i="4"/>
  <c r="Y221" i="4"/>
  <c r="X302" i="4"/>
  <c r="Y302" i="4"/>
  <c r="X300" i="4"/>
  <c r="Y300" i="4"/>
  <c r="X292" i="4"/>
  <c r="Y292" i="4"/>
  <c r="X284" i="4"/>
  <c r="Y284" i="4"/>
  <c r="X276" i="4"/>
  <c r="Y276" i="4"/>
  <c r="X268" i="4"/>
  <c r="Y268" i="4"/>
  <c r="X260" i="4"/>
  <c r="Y260" i="4"/>
  <c r="X252" i="4"/>
  <c r="Y252" i="4"/>
  <c r="X244" i="4"/>
  <c r="Y244" i="4"/>
  <c r="X236" i="4"/>
  <c r="Y236" i="4"/>
  <c r="X228" i="4"/>
  <c r="Y228" i="4"/>
  <c r="X220" i="4"/>
  <c r="Y220" i="4"/>
  <c r="X212" i="4"/>
  <c r="Y212" i="4"/>
  <c r="X307" i="4"/>
  <c r="Y307" i="4"/>
  <c r="X299" i="4"/>
  <c r="Y299" i="4"/>
  <c r="X291" i="4"/>
  <c r="Y291" i="4"/>
  <c r="X283" i="4"/>
  <c r="Y283" i="4"/>
  <c r="X275" i="4"/>
  <c r="Y275" i="4"/>
  <c r="X267" i="4"/>
  <c r="Y267" i="4"/>
  <c r="X259" i="4"/>
  <c r="Y259" i="4"/>
  <c r="X251" i="4"/>
  <c r="Y251" i="4"/>
  <c r="X243" i="4"/>
  <c r="Y243" i="4"/>
  <c r="X235" i="4"/>
  <c r="Y235" i="4"/>
  <c r="X227" i="4"/>
  <c r="Y227" i="4"/>
  <c r="X219" i="4"/>
  <c r="Y219" i="4"/>
  <c r="X211" i="4"/>
  <c r="Y211" i="4"/>
  <c r="X306" i="4"/>
  <c r="Y306" i="4"/>
  <c r="X298" i="4"/>
  <c r="Y298" i="4"/>
  <c r="X290" i="4"/>
  <c r="Y290" i="4"/>
  <c r="X282" i="4"/>
  <c r="Y282" i="4"/>
  <c r="X274" i="4"/>
  <c r="Y274" i="4"/>
  <c r="X266" i="4"/>
  <c r="Y266" i="4"/>
  <c r="X258" i="4"/>
  <c r="Y258" i="4"/>
  <c r="X250" i="4"/>
  <c r="Y250" i="4"/>
  <c r="X242" i="4"/>
  <c r="Y242" i="4"/>
  <c r="X234" i="4"/>
  <c r="Y234" i="4"/>
  <c r="X226" i="4"/>
  <c r="Y226" i="4"/>
  <c r="X218" i="4"/>
  <c r="Y218" i="4"/>
  <c r="X210" i="4"/>
  <c r="Y210" i="4"/>
  <c r="X289" i="4"/>
  <c r="Y289" i="4"/>
  <c r="X281" i="4"/>
  <c r="Y281" i="4"/>
  <c r="X273" i="4"/>
  <c r="Y273" i="4"/>
  <c r="X265" i="4"/>
  <c r="Y265" i="4"/>
  <c r="X257" i="4"/>
  <c r="Y257" i="4"/>
  <c r="X249" i="4"/>
  <c r="Y249" i="4"/>
  <c r="X241" i="4"/>
  <c r="Y241" i="4"/>
  <c r="X233" i="4"/>
  <c r="Y233" i="4"/>
  <c r="X225" i="4"/>
  <c r="Y225" i="4"/>
  <c r="X217" i="4"/>
  <c r="Y217" i="4"/>
  <c r="X213" i="4"/>
  <c r="Y213" i="4"/>
  <c r="X214" i="4"/>
  <c r="Y214" i="4"/>
  <c r="X209" i="4"/>
  <c r="H30" i="1"/>
  <c r="L11" i="4"/>
  <c r="C11" i="4"/>
  <c r="L12" i="4"/>
  <c r="B289" i="4" l="1" a="1"/>
  <c r="B289" i="4" s="1"/>
  <c r="B252" i="4" a="1"/>
  <c r="B252" i="4" s="1"/>
  <c r="B298" i="4" a="1"/>
  <c r="B298" i="4" s="1"/>
  <c r="B259" i="4" a="1"/>
  <c r="B259" i="4" s="1"/>
  <c r="B284" i="4" a="1"/>
  <c r="B284" i="4" s="1"/>
  <c r="B221" i="4" a="1"/>
  <c r="B221" i="4" s="1"/>
  <c r="B266" i="4" a="1"/>
  <c r="B266" i="4" s="1"/>
  <c r="B225" i="4" a="1"/>
  <c r="B225" i="4" s="1"/>
  <c r="B220" i="4" a="1"/>
  <c r="B220" i="4" s="1"/>
  <c r="B234" i="4" a="1"/>
  <c r="B234" i="4" s="1"/>
  <c r="B291" i="4" a="1"/>
  <c r="B291" i="4" s="1"/>
  <c r="B257" i="4" a="1"/>
  <c r="B257" i="4" s="1"/>
  <c r="B227" i="4" a="1"/>
  <c r="B227" i="4" s="1"/>
  <c r="B253" i="4" a="1"/>
  <c r="B253" i="4" s="1"/>
  <c r="B213" i="4" a="1"/>
  <c r="B213" i="4" s="1"/>
  <c r="I25" i="1" s="1"/>
  <c r="B250" i="4" a="1"/>
  <c r="B250" i="4" s="1"/>
  <c r="B275" i="4" a="1"/>
  <c r="B275" i="4" s="1"/>
  <c r="B218" i="4" a="1"/>
  <c r="B218" i="4" s="1"/>
  <c r="B243" i="4" a="1"/>
  <c r="B243" i="4" s="1"/>
  <c r="B282" i="4" a="1"/>
  <c r="B282" i="4" s="1"/>
  <c r="B211" i="4" a="1"/>
  <c r="B211" i="4" s="1"/>
  <c r="I23" i="1" s="1"/>
  <c r="B307" i="4" a="1"/>
  <c r="B307" i="4" s="1"/>
  <c r="B236" i="4" a="1"/>
  <c r="B236" i="4" s="1"/>
  <c r="B268" i="4" a="1"/>
  <c r="B268" i="4" s="1"/>
  <c r="B300" i="4" a="1"/>
  <c r="B300" i="4" s="1"/>
  <c r="B237" i="4" a="1"/>
  <c r="B237" i="4" s="1"/>
  <c r="B285" i="4" a="1"/>
  <c r="B285" i="4" s="1"/>
  <c r="B230" i="4" a="1"/>
  <c r="B230" i="4" s="1"/>
  <c r="B262" i="4" a="1"/>
  <c r="B262" i="4" s="1"/>
  <c r="B294" i="4" a="1"/>
  <c r="B294" i="4" s="1"/>
  <c r="B231" i="4" a="1"/>
  <c r="B231" i="4" s="1"/>
  <c r="B263" i="4" a="1"/>
  <c r="B263" i="4" s="1"/>
  <c r="B295" i="4" a="1"/>
  <c r="B295" i="4" s="1"/>
  <c r="B269" i="4" a="1"/>
  <c r="B269" i="4" s="1"/>
  <c r="B301" i="4" a="1"/>
  <c r="B301" i="4" s="1"/>
  <c r="B247" i="4" a="1"/>
  <c r="B247" i="4" s="1"/>
  <c r="B216" i="4" a="1"/>
  <c r="B216" i="4" s="1"/>
  <c r="I28" i="1" s="1"/>
  <c r="B248" i="4" a="1"/>
  <c r="B248" i="4" s="1"/>
  <c r="B280" i="4" a="1"/>
  <c r="B280" i="4" s="1"/>
  <c r="B297" i="4" a="1"/>
  <c r="B297" i="4" s="1"/>
  <c r="B279" i="4" a="1"/>
  <c r="B279" i="4" s="1"/>
  <c r="B232" i="4" a="1"/>
  <c r="B232" i="4" s="1"/>
  <c r="B233" i="4" a="1"/>
  <c r="B233" i="4" s="1"/>
  <c r="B210" i="4" a="1"/>
  <c r="B210" i="4" s="1"/>
  <c r="I22" i="1" s="1"/>
  <c r="B265" i="4" a="1"/>
  <c r="B265" i="4" s="1"/>
  <c r="B242" i="4" a="1"/>
  <c r="B242" i="4" s="1"/>
  <c r="B274" i="4" a="1"/>
  <c r="B274" i="4" s="1"/>
  <c r="B306" i="4" a="1"/>
  <c r="B306" i="4" s="1"/>
  <c r="B235" i="4" a="1"/>
  <c r="B235" i="4" s="1"/>
  <c r="B264" i="4" a="1"/>
  <c r="B264" i="4" s="1"/>
  <c r="B267" i="4" a="1"/>
  <c r="B267" i="4" s="1"/>
  <c r="B299" i="4" a="1"/>
  <c r="B299" i="4" s="1"/>
  <c r="B228" i="4" a="1"/>
  <c r="B228" i="4" s="1"/>
  <c r="B260" i="4" a="1"/>
  <c r="B260" i="4" s="1"/>
  <c r="B292" i="4" a="1"/>
  <c r="B292" i="4" s="1"/>
  <c r="B296" i="4" a="1"/>
  <c r="B296" i="4" s="1"/>
  <c r="B229" i="4" a="1"/>
  <c r="B229" i="4" s="1"/>
  <c r="B261" i="4" a="1"/>
  <c r="B261" i="4" s="1"/>
  <c r="B246" i="4" a="1"/>
  <c r="B246" i="4" s="1"/>
  <c r="B278" i="4" a="1"/>
  <c r="B278" i="4" s="1"/>
  <c r="B215" i="4" a="1"/>
  <c r="B215" i="4" s="1"/>
  <c r="I27" i="1" s="1"/>
  <c r="B238" i="4" a="1"/>
  <c r="B238" i="4" s="1"/>
  <c r="B303" i="4" a="1"/>
  <c r="B303" i="4" s="1"/>
  <c r="B271" i="4" a="1"/>
  <c r="B271" i="4" s="1"/>
  <c r="B305" i="4" a="1"/>
  <c r="B305" i="4" s="1"/>
  <c r="B240" i="4" a="1"/>
  <c r="B240" i="4" s="1"/>
  <c r="B272" i="4" a="1"/>
  <c r="B272" i="4" s="1"/>
  <c r="B304" i="4" a="1"/>
  <c r="B304" i="4" s="1"/>
  <c r="B293" i="4" a="1"/>
  <c r="B293" i="4" s="1"/>
  <c r="B270" i="4" a="1"/>
  <c r="B270" i="4" s="1"/>
  <c r="B239" i="4" a="1"/>
  <c r="B239" i="4" s="1"/>
  <c r="B249" i="4" a="1"/>
  <c r="B249" i="4" s="1"/>
  <c r="B226" i="4" a="1"/>
  <c r="B226" i="4" s="1"/>
  <c r="B290" i="4" a="1"/>
  <c r="B290" i="4" s="1"/>
  <c r="B219" i="4" a="1"/>
  <c r="B219" i="4" s="1"/>
  <c r="B251" i="4" a="1"/>
  <c r="B251" i="4" s="1"/>
  <c r="B283" i="4" a="1"/>
  <c r="B283" i="4" s="1"/>
  <c r="B212" i="4" a="1"/>
  <c r="B212" i="4" s="1"/>
  <c r="I24" i="1" s="1"/>
  <c r="B244" i="4" a="1"/>
  <c r="B244" i="4" s="1"/>
  <c r="B276" i="4" a="1"/>
  <c r="B276" i="4" s="1"/>
  <c r="B302" i="4" a="1"/>
  <c r="B302" i="4" s="1"/>
  <c r="B245" i="4" a="1"/>
  <c r="B245" i="4" s="1"/>
  <c r="B277" i="4" a="1"/>
  <c r="B277" i="4" s="1"/>
  <c r="B222" i="4" a="1"/>
  <c r="B222" i="4" s="1"/>
  <c r="B254" i="4" a="1"/>
  <c r="B254" i="4" s="1"/>
  <c r="B286" i="4" a="1"/>
  <c r="B286" i="4" s="1"/>
  <c r="B223" i="4" a="1"/>
  <c r="B223" i="4" s="1"/>
  <c r="B255" i="4" a="1"/>
  <c r="B255" i="4" s="1"/>
  <c r="B287" i="4" a="1"/>
  <c r="B287" i="4" s="1"/>
  <c r="B224" i="4" a="1"/>
  <c r="B224" i="4" s="1"/>
  <c r="B256" i="4" a="1"/>
  <c r="B256" i="4" s="1"/>
  <c r="B288" i="4" a="1"/>
  <c r="B288" i="4" s="1"/>
  <c r="B217" i="4" a="1"/>
  <c r="B217" i="4" s="1"/>
  <c r="I29" i="1" s="1"/>
  <c r="B241" i="4" a="1"/>
  <c r="B241" i="4" s="1"/>
  <c r="B281" i="4" a="1"/>
  <c r="B281" i="4" s="1"/>
  <c r="B258" i="4" a="1"/>
  <c r="B258" i="4" s="1"/>
  <c r="B273" i="4" a="1"/>
  <c r="B273" i="4" s="1"/>
  <c r="H196" i="1"/>
  <c r="C26" i="5" l="1"/>
  <c r="B26" i="5"/>
  <c r="H11" i="1"/>
  <c r="H10" i="1"/>
  <c r="D26" i="5" l="1"/>
  <c r="F312" i="4"/>
  <c r="F398" i="4" l="1"/>
  <c r="H398" i="4"/>
  <c r="I398" i="4"/>
  <c r="F390" i="4"/>
  <c r="H390" i="4"/>
  <c r="I390" i="4"/>
  <c r="F382" i="4"/>
  <c r="H382" i="4"/>
  <c r="I382" i="4"/>
  <c r="F374" i="4"/>
  <c r="H374" i="4"/>
  <c r="I374" i="4"/>
  <c r="F366" i="4"/>
  <c r="H366" i="4"/>
  <c r="I366" i="4"/>
  <c r="F358" i="4"/>
  <c r="H358" i="4"/>
  <c r="I358" i="4"/>
  <c r="F350" i="4"/>
  <c r="H350" i="4"/>
  <c r="I350" i="4"/>
  <c r="F342" i="4"/>
  <c r="H342" i="4"/>
  <c r="I342" i="4"/>
  <c r="F334" i="4"/>
  <c r="H334" i="4"/>
  <c r="I334" i="4"/>
  <c r="F326" i="4"/>
  <c r="H326" i="4"/>
  <c r="I326" i="4"/>
  <c r="F318" i="4"/>
  <c r="H318" i="4"/>
  <c r="I318" i="4"/>
  <c r="F389" i="4"/>
  <c r="H389" i="4"/>
  <c r="I389" i="4"/>
  <c r="F381" i="4"/>
  <c r="H381" i="4"/>
  <c r="I381" i="4"/>
  <c r="F373" i="4"/>
  <c r="H373" i="4"/>
  <c r="I373" i="4"/>
  <c r="F365" i="4"/>
  <c r="H365" i="4"/>
  <c r="I365" i="4"/>
  <c r="F357" i="4"/>
  <c r="H357" i="4"/>
  <c r="I357" i="4"/>
  <c r="F349" i="4"/>
  <c r="H349" i="4"/>
  <c r="I349" i="4"/>
  <c r="F341" i="4"/>
  <c r="H341" i="4"/>
  <c r="I341" i="4"/>
  <c r="F333" i="4"/>
  <c r="H333" i="4"/>
  <c r="I333" i="4"/>
  <c r="F325" i="4"/>
  <c r="H325" i="4"/>
  <c r="I325" i="4"/>
  <c r="F317" i="4"/>
  <c r="H317" i="4"/>
  <c r="I317" i="4"/>
  <c r="F405" i="4"/>
  <c r="H405" i="4"/>
  <c r="I405" i="4"/>
  <c r="H388" i="4"/>
  <c r="I388" i="4"/>
  <c r="F388" i="4"/>
  <c r="H380" i="4"/>
  <c r="I380" i="4"/>
  <c r="F380" i="4"/>
  <c r="H372" i="4"/>
  <c r="I372" i="4"/>
  <c r="F372" i="4"/>
  <c r="H364" i="4"/>
  <c r="I364" i="4"/>
  <c r="F364" i="4"/>
  <c r="H356" i="4"/>
  <c r="I356" i="4"/>
  <c r="F356" i="4"/>
  <c r="H348" i="4"/>
  <c r="I348" i="4"/>
  <c r="F348" i="4"/>
  <c r="H340" i="4"/>
  <c r="I340" i="4"/>
  <c r="F340" i="4"/>
  <c r="H332" i="4"/>
  <c r="I332" i="4"/>
  <c r="F332" i="4"/>
  <c r="H324" i="4"/>
  <c r="I324" i="4"/>
  <c r="F324" i="4"/>
  <c r="H316" i="4"/>
  <c r="I316" i="4"/>
  <c r="F316" i="4"/>
  <c r="H396" i="4"/>
  <c r="F396" i="4"/>
  <c r="I396" i="4"/>
  <c r="H411" i="4"/>
  <c r="F411" i="4"/>
  <c r="I411" i="4"/>
  <c r="H403" i="4"/>
  <c r="F403" i="4"/>
  <c r="I403" i="4"/>
  <c r="H395" i="4"/>
  <c r="F395" i="4"/>
  <c r="I395" i="4"/>
  <c r="H387" i="4"/>
  <c r="I387" i="4"/>
  <c r="F387" i="4"/>
  <c r="H379" i="4"/>
  <c r="I379" i="4"/>
  <c r="F379" i="4"/>
  <c r="H371" i="4"/>
  <c r="I371" i="4"/>
  <c r="F371" i="4"/>
  <c r="H363" i="4"/>
  <c r="I363" i="4"/>
  <c r="F363" i="4"/>
  <c r="H355" i="4"/>
  <c r="I355" i="4"/>
  <c r="F355" i="4"/>
  <c r="H347" i="4"/>
  <c r="I347" i="4"/>
  <c r="F347" i="4"/>
  <c r="H339" i="4"/>
  <c r="I339" i="4"/>
  <c r="F339" i="4"/>
  <c r="H331" i="4"/>
  <c r="I331" i="4"/>
  <c r="F331" i="4"/>
  <c r="H323" i="4"/>
  <c r="I323" i="4"/>
  <c r="F323" i="4"/>
  <c r="H315" i="4"/>
  <c r="I315" i="4"/>
  <c r="F315" i="4"/>
  <c r="H404" i="4"/>
  <c r="F404" i="4"/>
  <c r="I404" i="4"/>
  <c r="H402" i="4"/>
  <c r="F402" i="4"/>
  <c r="I402" i="4"/>
  <c r="H394" i="4"/>
  <c r="F394" i="4"/>
  <c r="I394" i="4"/>
  <c r="H386" i="4"/>
  <c r="I386" i="4"/>
  <c r="F386" i="4"/>
  <c r="H378" i="4"/>
  <c r="I378" i="4"/>
  <c r="F378" i="4"/>
  <c r="H370" i="4"/>
  <c r="I370" i="4"/>
  <c r="F370" i="4"/>
  <c r="H362" i="4"/>
  <c r="I362" i="4"/>
  <c r="F362" i="4"/>
  <c r="H354" i="4"/>
  <c r="I354" i="4"/>
  <c r="F354" i="4"/>
  <c r="H346" i="4"/>
  <c r="I346" i="4"/>
  <c r="F346" i="4"/>
  <c r="H338" i="4"/>
  <c r="I338" i="4"/>
  <c r="F338" i="4"/>
  <c r="H330" i="4"/>
  <c r="I330" i="4"/>
  <c r="F330" i="4"/>
  <c r="H322" i="4"/>
  <c r="I322" i="4"/>
  <c r="F322" i="4"/>
  <c r="H314" i="4"/>
  <c r="I314" i="4"/>
  <c r="F314" i="4"/>
  <c r="F397" i="4"/>
  <c r="H397" i="4"/>
  <c r="I397" i="4"/>
  <c r="H410" i="4"/>
  <c r="F410" i="4"/>
  <c r="I410" i="4"/>
  <c r="F409" i="4"/>
  <c r="H409" i="4"/>
  <c r="I409" i="4"/>
  <c r="F401" i="4"/>
  <c r="H401" i="4"/>
  <c r="I401" i="4"/>
  <c r="F393" i="4"/>
  <c r="H393" i="4"/>
  <c r="I393" i="4"/>
  <c r="F385" i="4"/>
  <c r="H385" i="4"/>
  <c r="I385" i="4"/>
  <c r="I377" i="4"/>
  <c r="F377" i="4"/>
  <c r="H377" i="4"/>
  <c r="I369" i="4"/>
  <c r="F369" i="4"/>
  <c r="H369" i="4"/>
  <c r="I361" i="4"/>
  <c r="F361" i="4"/>
  <c r="H361" i="4"/>
  <c r="I353" i="4"/>
  <c r="F353" i="4"/>
  <c r="H353" i="4"/>
  <c r="I345" i="4"/>
  <c r="F345" i="4"/>
  <c r="H345" i="4"/>
  <c r="I337" i="4"/>
  <c r="F337" i="4"/>
  <c r="H337" i="4"/>
  <c r="I329" i="4"/>
  <c r="F329" i="4"/>
  <c r="H329" i="4"/>
  <c r="I321" i="4"/>
  <c r="F321" i="4"/>
  <c r="H321" i="4"/>
  <c r="I313" i="4"/>
  <c r="F313" i="4"/>
  <c r="H313" i="4"/>
  <c r="F400" i="4"/>
  <c r="H400" i="4"/>
  <c r="I400" i="4"/>
  <c r="I384" i="4"/>
  <c r="F384" i="4"/>
  <c r="H384" i="4"/>
  <c r="I376" i="4"/>
  <c r="F376" i="4"/>
  <c r="H376" i="4"/>
  <c r="I368" i="4"/>
  <c r="F368" i="4"/>
  <c r="H368" i="4"/>
  <c r="I360" i="4"/>
  <c r="F360" i="4"/>
  <c r="H360" i="4"/>
  <c r="I352" i="4"/>
  <c r="F352" i="4"/>
  <c r="H352" i="4"/>
  <c r="I344" i="4"/>
  <c r="F344" i="4"/>
  <c r="H344" i="4"/>
  <c r="I336" i="4"/>
  <c r="F336" i="4"/>
  <c r="H336" i="4"/>
  <c r="I328" i="4"/>
  <c r="F328" i="4"/>
  <c r="H328" i="4"/>
  <c r="I320" i="4"/>
  <c r="F320" i="4"/>
  <c r="H320" i="4"/>
  <c r="F406" i="4"/>
  <c r="H406" i="4"/>
  <c r="I406" i="4"/>
  <c r="F408" i="4"/>
  <c r="I408" i="4"/>
  <c r="H408" i="4"/>
  <c r="F392" i="4"/>
  <c r="H392" i="4"/>
  <c r="I392" i="4"/>
  <c r="F407" i="4"/>
  <c r="H407" i="4"/>
  <c r="I407" i="4"/>
  <c r="F399" i="4"/>
  <c r="H399" i="4"/>
  <c r="I399" i="4"/>
  <c r="F391" i="4"/>
  <c r="H391" i="4"/>
  <c r="I391" i="4"/>
  <c r="I383" i="4"/>
  <c r="F383" i="4"/>
  <c r="H383" i="4"/>
  <c r="I375" i="4"/>
  <c r="F375" i="4"/>
  <c r="H375" i="4"/>
  <c r="I367" i="4"/>
  <c r="F367" i="4"/>
  <c r="H367" i="4"/>
  <c r="I359" i="4"/>
  <c r="F359" i="4"/>
  <c r="H359" i="4"/>
  <c r="I351" i="4"/>
  <c r="F351" i="4"/>
  <c r="H351" i="4"/>
  <c r="I343" i="4"/>
  <c r="F343" i="4"/>
  <c r="H343" i="4"/>
  <c r="I335" i="4"/>
  <c r="F335" i="4"/>
  <c r="H335" i="4"/>
  <c r="I327" i="4"/>
  <c r="F327" i="4"/>
  <c r="H327" i="4"/>
  <c r="I319" i="4"/>
  <c r="F319" i="4"/>
  <c r="H319" i="4"/>
  <c r="I312" i="4"/>
  <c r="H312" i="4"/>
  <c r="B313" i="4" l="1" a="1"/>
  <c r="B313" i="4" s="1"/>
  <c r="B321" i="4" a="1"/>
  <c r="B321" i="4" s="1"/>
  <c r="B335" i="4" a="1"/>
  <c r="B335" i="4" s="1"/>
  <c r="B370" i="4" a="1"/>
  <c r="B370" i="4" s="1"/>
  <c r="B331" i="4" a="1"/>
  <c r="B331" i="4" s="1"/>
  <c r="B348" i="4" a="1"/>
  <c r="B348" i="4" s="1"/>
  <c r="B312" i="4" a="1"/>
  <c r="B312" i="4" s="1"/>
  <c r="B344" i="4" a="1"/>
  <c r="B344" i="4" s="1"/>
  <c r="B362" i="4" a="1"/>
  <c r="B362" i="4" s="1"/>
  <c r="B402" i="4" a="1"/>
  <c r="B402" i="4" s="1"/>
  <c r="B323" i="4" a="1"/>
  <c r="B323" i="4" s="1"/>
  <c r="B387" i="4" a="1"/>
  <c r="B387" i="4" s="1"/>
  <c r="B340" i="4" a="1"/>
  <c r="B340" i="4" s="1"/>
  <c r="B333" i="4" a="1"/>
  <c r="B333" i="4" s="1"/>
  <c r="B382" i="4" a="1"/>
  <c r="B382" i="4" s="1"/>
  <c r="B351" i="4" a="1"/>
  <c r="B351" i="4" s="1"/>
  <c r="B391" i="4" a="1"/>
  <c r="B391" i="4" s="1"/>
  <c r="B360" i="4" a="1"/>
  <c r="B360" i="4" s="1"/>
  <c r="B337" i="4" a="1"/>
  <c r="B337" i="4" s="1"/>
  <c r="B404" i="4" a="1"/>
  <c r="B404" i="4" s="1"/>
  <c r="B341" i="4" a="1"/>
  <c r="B341" i="4" s="1"/>
  <c r="B326" i="4" a="1"/>
  <c r="B326" i="4" s="1"/>
  <c r="B390" i="4" a="1"/>
  <c r="B390" i="4" s="1"/>
  <c r="B349" i="4" a="1"/>
  <c r="B349" i="4" s="1"/>
  <c r="B334" i="4" a="1"/>
  <c r="B334" i="4" s="1"/>
  <c r="B329" i="4" a="1"/>
  <c r="B329" i="4" s="1"/>
  <c r="B352" i="4" a="1"/>
  <c r="B352" i="4" s="1"/>
  <c r="B354" i="4" a="1"/>
  <c r="B354" i="4" s="1"/>
  <c r="B394" i="4" a="1"/>
  <c r="B394" i="4" s="1"/>
  <c r="B315" i="4" a="1"/>
  <c r="B315" i="4" s="1"/>
  <c r="B343" i="4" a="1"/>
  <c r="B343" i="4" s="1"/>
  <c r="B400" i="4" a="1"/>
  <c r="B400" i="4" s="1"/>
  <c r="B398" i="4" a="1"/>
  <c r="B398" i="4" s="1"/>
  <c r="B367" i="4" a="1"/>
  <c r="B367" i="4" s="1"/>
  <c r="B407" i="4" a="1"/>
  <c r="B407" i="4" s="1"/>
  <c r="B376" i="4" a="1"/>
  <c r="B376" i="4" s="1"/>
  <c r="B353" i="4" a="1"/>
  <c r="B353" i="4" s="1"/>
  <c r="B393" i="4" a="1"/>
  <c r="B393" i="4" s="1"/>
  <c r="B410" i="4" a="1"/>
  <c r="B410" i="4" s="1"/>
  <c r="B322" i="4" a="1"/>
  <c r="B322" i="4" s="1"/>
  <c r="B386" i="4" a="1"/>
  <c r="B386" i="4" s="1"/>
  <c r="B347" i="4" a="1"/>
  <c r="B347" i="4" s="1"/>
  <c r="B364" i="4" a="1"/>
  <c r="B364" i="4" s="1"/>
  <c r="B357" i="4" a="1"/>
  <c r="B357" i="4" s="1"/>
  <c r="B342" i="4" a="1"/>
  <c r="B342" i="4" s="1"/>
  <c r="B327" i="4" a="1"/>
  <c r="B327" i="4" s="1"/>
  <c r="B406" i="4" a="1"/>
  <c r="B406" i="4" s="1"/>
  <c r="B336" i="4" a="1"/>
  <c r="B336" i="4" s="1"/>
  <c r="B377" i="4" a="1"/>
  <c r="B377" i="4" s="1"/>
  <c r="B346" i="4" a="1"/>
  <c r="B346" i="4" s="1"/>
  <c r="B371" i="4" a="1"/>
  <c r="B371" i="4" s="1"/>
  <c r="B411" i="4" a="1"/>
  <c r="B411" i="4" s="1"/>
  <c r="B324" i="4" a="1"/>
  <c r="B324" i="4" s="1"/>
  <c r="B388" i="4" a="1"/>
  <c r="B388" i="4" s="1"/>
  <c r="B317" i="4" a="1"/>
  <c r="B317" i="4" s="1"/>
  <c r="B381" i="4" a="1"/>
  <c r="B381" i="4" s="1"/>
  <c r="B366" i="4" a="1"/>
  <c r="B366" i="4" s="1"/>
  <c r="B375" i="4" a="1"/>
  <c r="B375" i="4" s="1"/>
  <c r="B392" i="4" a="1"/>
  <c r="B392" i="4" s="1"/>
  <c r="B320" i="4" a="1"/>
  <c r="B320" i="4" s="1"/>
  <c r="B384" i="4" a="1"/>
  <c r="B384" i="4" s="1"/>
  <c r="B361" i="4" a="1"/>
  <c r="B361" i="4" s="1"/>
  <c r="B401" i="4" a="1"/>
  <c r="B401" i="4" s="1"/>
  <c r="B330" i="4" a="1"/>
  <c r="B330" i="4" s="1"/>
  <c r="B355" i="4" a="1"/>
  <c r="B355" i="4" s="1"/>
  <c r="B395" i="4" a="1"/>
  <c r="B395" i="4" s="1"/>
  <c r="B372" i="4" a="1"/>
  <c r="B372" i="4" s="1"/>
  <c r="B365" i="4" a="1"/>
  <c r="B365" i="4" s="1"/>
  <c r="B350" i="4" a="1"/>
  <c r="B350" i="4" s="1"/>
  <c r="B397" i="4" a="1"/>
  <c r="B397" i="4" s="1"/>
  <c r="B379" i="4" a="1"/>
  <c r="B379" i="4" s="1"/>
  <c r="B396" i="4" a="1"/>
  <c r="B396" i="4" s="1"/>
  <c r="B332" i="4" a="1"/>
  <c r="B332" i="4" s="1"/>
  <c r="B325" i="4" a="1"/>
  <c r="B325" i="4" s="1"/>
  <c r="B389" i="4" a="1"/>
  <c r="B389" i="4" s="1"/>
  <c r="B374" i="4" a="1"/>
  <c r="B374" i="4" s="1"/>
  <c r="B359" i="4" a="1"/>
  <c r="B359" i="4" s="1"/>
  <c r="B399" i="4" a="1"/>
  <c r="B399" i="4" s="1"/>
  <c r="B368" i="4" a="1"/>
  <c r="B368" i="4" s="1"/>
  <c r="B345" i="4" a="1"/>
  <c r="B345" i="4" s="1"/>
  <c r="B385" i="4" a="1"/>
  <c r="B385" i="4" s="1"/>
  <c r="B314" i="4" a="1"/>
  <c r="B314" i="4" s="1"/>
  <c r="B378" i="4" a="1"/>
  <c r="B378" i="4" s="1"/>
  <c r="B339" i="4" a="1"/>
  <c r="B339" i="4" s="1"/>
  <c r="B356" i="4" a="1"/>
  <c r="B356" i="4" s="1"/>
  <c r="B318" i="4" a="1"/>
  <c r="B318" i="4" s="1"/>
  <c r="B319" i="4" a="1"/>
  <c r="B319" i="4" s="1"/>
  <c r="B383" i="4" a="1"/>
  <c r="B383" i="4" s="1"/>
  <c r="B408" i="4" a="1"/>
  <c r="B408" i="4" s="1"/>
  <c r="B328" i="4" a="1"/>
  <c r="B328" i="4" s="1"/>
  <c r="B369" i="4" a="1"/>
  <c r="B369" i="4" s="1"/>
  <c r="B409" i="4" a="1"/>
  <c r="B409" i="4" s="1"/>
  <c r="B338" i="4" a="1"/>
  <c r="B338" i="4" s="1"/>
  <c r="B363" i="4" a="1"/>
  <c r="B363" i="4" s="1"/>
  <c r="B403" i="4" a="1"/>
  <c r="B403" i="4" s="1"/>
  <c r="B316" i="4" a="1"/>
  <c r="B316" i="4" s="1"/>
  <c r="B380" i="4" a="1"/>
  <c r="B380" i="4" s="1"/>
  <c r="B405" i="4" a="1"/>
  <c r="B405" i="4" s="1"/>
  <c r="B373" i="4" a="1"/>
  <c r="B373" i="4" s="1"/>
  <c r="B358" i="4" a="1"/>
  <c r="B358" i="4" s="1"/>
  <c r="A539" i="3"/>
  <c r="C539" i="3" s="1"/>
  <c r="A538" i="3"/>
  <c r="C538" i="3" s="1"/>
  <c r="A535" i="3"/>
  <c r="C535" i="3" s="1"/>
  <c r="A533" i="3"/>
  <c r="C533" i="3" s="1"/>
  <c r="A536" i="3"/>
  <c r="C536" i="3" s="1"/>
  <c r="A534" i="3"/>
  <c r="C534" i="3" s="1"/>
  <c r="A540" i="3"/>
  <c r="C540" i="3" s="1"/>
  <c r="A541" i="3"/>
  <c r="C541" i="3" s="1"/>
  <c r="A537" i="3"/>
  <c r="C537" i="3" s="1"/>
  <c r="B12" i="4" l="1"/>
  <c r="C12" i="4" l="1"/>
  <c r="B13" i="4"/>
  <c r="C13" i="4" l="1"/>
  <c r="B14" i="4"/>
  <c r="K13" i="4"/>
  <c r="L13" i="4" s="1"/>
  <c r="C14" i="4" l="1"/>
  <c r="B15" i="4"/>
  <c r="K14" i="4"/>
  <c r="L14" i="4" s="1"/>
  <c r="C15" i="4" l="1"/>
  <c r="B16" i="4"/>
  <c r="K15" i="4"/>
  <c r="K16" i="4" s="1"/>
  <c r="C16" i="4" l="1"/>
  <c r="B17" i="4"/>
  <c r="L15" i="4"/>
  <c r="L16" i="4"/>
  <c r="K17" i="4"/>
  <c r="C17" i="4" l="1"/>
  <c r="B18" i="4"/>
  <c r="L17" i="4"/>
  <c r="K18" i="4"/>
  <c r="C18" i="4" l="1"/>
  <c r="B19" i="4"/>
  <c r="K19" i="4"/>
  <c r="L18" i="4"/>
  <c r="C19" i="4" l="1"/>
  <c r="B20" i="4"/>
  <c r="K20" i="4"/>
  <c r="L19" i="4"/>
  <c r="C20" i="4" l="1"/>
  <c r="B21" i="4"/>
  <c r="L20" i="4"/>
  <c r="K21" i="4"/>
  <c r="C21" i="4" l="1"/>
  <c r="B22" i="4"/>
  <c r="L21" i="4"/>
  <c r="K22" i="4"/>
  <c r="C22" i="4" l="1"/>
  <c r="B23" i="4"/>
  <c r="K23" i="4"/>
  <c r="L22" i="4"/>
  <c r="C23" i="4" l="1"/>
  <c r="B24" i="4"/>
  <c r="K24" i="4"/>
  <c r="L23" i="4"/>
  <c r="C24" i="4" l="1"/>
  <c r="B25" i="4"/>
  <c r="L24" i="4"/>
  <c r="K25" i="4"/>
  <c r="C25" i="4" l="1"/>
  <c r="B26" i="4"/>
  <c r="L25" i="4"/>
  <c r="K26" i="4"/>
  <c r="C26" i="4" l="1"/>
  <c r="B27" i="4"/>
  <c r="K27" i="4"/>
  <c r="L26" i="4"/>
  <c r="C27" i="4" l="1"/>
  <c r="B28" i="4"/>
  <c r="K28" i="4"/>
  <c r="L27" i="4"/>
  <c r="C28" i="4" l="1"/>
  <c r="B29" i="4"/>
  <c r="L28" i="4"/>
  <c r="K29" i="4"/>
  <c r="C29" i="4" l="1"/>
  <c r="B30" i="4"/>
  <c r="L29" i="4"/>
  <c r="K30" i="4"/>
  <c r="C30" i="4" l="1"/>
  <c r="B31" i="4"/>
  <c r="K31" i="4"/>
  <c r="L30" i="4"/>
  <c r="C31" i="4" l="1"/>
  <c r="B32" i="4"/>
  <c r="K32" i="4"/>
  <c r="L31" i="4"/>
  <c r="C32" i="4" l="1"/>
  <c r="B33" i="4"/>
  <c r="L32" i="4"/>
  <c r="K33" i="4"/>
  <c r="C33" i="4" l="1"/>
  <c r="B34" i="4"/>
  <c r="L33" i="4"/>
  <c r="K34" i="4"/>
  <c r="C34" i="4" l="1"/>
  <c r="B35" i="4"/>
  <c r="L34" i="4"/>
  <c r="K35" i="4"/>
  <c r="C35" i="4" l="1"/>
  <c r="B36" i="4"/>
  <c r="K36" i="4"/>
  <c r="L35" i="4"/>
  <c r="C36" i="4" l="1"/>
  <c r="B37" i="4"/>
  <c r="L36" i="4"/>
  <c r="K37" i="4"/>
  <c r="C37" i="4" l="1"/>
  <c r="B38" i="4"/>
  <c r="L37" i="4"/>
  <c r="K38" i="4"/>
  <c r="C38" i="4" l="1"/>
  <c r="B39" i="4"/>
  <c r="L38" i="4"/>
  <c r="K39" i="4"/>
  <c r="C39" i="4" l="1"/>
  <c r="B40" i="4"/>
  <c r="K40" i="4"/>
  <c r="L39" i="4"/>
  <c r="C40" i="4" l="1"/>
  <c r="B41" i="4"/>
  <c r="L40" i="4"/>
  <c r="K41" i="4"/>
  <c r="C41" i="4" l="1"/>
  <c r="B42" i="4"/>
  <c r="L41" i="4"/>
  <c r="K42" i="4"/>
  <c r="C42" i="4" l="1"/>
  <c r="B43" i="4"/>
  <c r="L42" i="4"/>
  <c r="K43" i="4"/>
  <c r="C43" i="4" l="1"/>
  <c r="B44" i="4"/>
  <c r="K44" i="4"/>
  <c r="L43" i="4"/>
  <c r="C44" i="4" l="1"/>
  <c r="B45" i="4"/>
  <c r="L44" i="4"/>
  <c r="K45" i="4"/>
  <c r="C45" i="4" l="1"/>
  <c r="B46" i="4"/>
  <c r="L45" i="4"/>
  <c r="K46" i="4"/>
  <c r="C46" i="4" l="1"/>
  <c r="B47" i="4"/>
  <c r="K47" i="4"/>
  <c r="L46" i="4"/>
  <c r="C47" i="4" l="1"/>
  <c r="B48" i="4"/>
  <c r="K48" i="4"/>
  <c r="L47" i="4"/>
  <c r="C48" i="4" l="1"/>
  <c r="B49" i="4"/>
  <c r="L48" i="4"/>
  <c r="K49" i="4"/>
  <c r="C49" i="4" l="1"/>
  <c r="B50" i="4"/>
  <c r="L49" i="4"/>
  <c r="K50" i="4"/>
  <c r="C50" i="4" l="1"/>
  <c r="B51" i="4"/>
  <c r="K51" i="4"/>
  <c r="L50" i="4"/>
  <c r="C51" i="4" l="1"/>
  <c r="B52" i="4"/>
  <c r="K52" i="4"/>
  <c r="L51" i="4"/>
  <c r="C52" i="4" l="1"/>
  <c r="B53" i="4"/>
  <c r="L52" i="4"/>
  <c r="K53" i="4"/>
  <c r="C53" i="4" l="1"/>
  <c r="B54" i="4"/>
  <c r="L53" i="4"/>
  <c r="K54" i="4"/>
  <c r="C54" i="4" l="1"/>
  <c r="B55" i="4"/>
  <c r="K55" i="4"/>
  <c r="L54" i="4"/>
  <c r="C55" i="4" l="1"/>
  <c r="B56" i="4"/>
  <c r="K56" i="4"/>
  <c r="L55" i="4"/>
  <c r="C56" i="4" l="1"/>
  <c r="B57" i="4"/>
  <c r="L56" i="4"/>
  <c r="K57" i="4"/>
  <c r="C57" i="4" l="1"/>
  <c r="B58" i="4"/>
  <c r="L57" i="4"/>
  <c r="K58" i="4"/>
  <c r="C58" i="4" l="1"/>
  <c r="B59" i="4"/>
  <c r="L58" i="4"/>
  <c r="K59" i="4"/>
  <c r="C59" i="4" l="1"/>
  <c r="B60" i="4"/>
  <c r="K60" i="4"/>
  <c r="L59" i="4"/>
  <c r="C60" i="4" l="1"/>
  <c r="B61" i="4"/>
  <c r="L60" i="4"/>
  <c r="K61" i="4"/>
  <c r="C61" i="4" l="1"/>
  <c r="B62" i="4"/>
  <c r="L61" i="4"/>
  <c r="K62" i="4"/>
  <c r="C62" i="4" l="1"/>
  <c r="B63" i="4"/>
  <c r="K63" i="4"/>
  <c r="L62" i="4"/>
  <c r="C63" i="4" l="1"/>
  <c r="B64" i="4"/>
  <c r="K64" i="4"/>
  <c r="L63" i="4"/>
  <c r="C64" i="4" l="1"/>
  <c r="B65" i="4"/>
  <c r="L64" i="4"/>
  <c r="K65" i="4"/>
  <c r="C65" i="4" l="1"/>
  <c r="B66" i="4"/>
  <c r="L65" i="4"/>
  <c r="K66" i="4"/>
  <c r="C66" i="4" l="1"/>
  <c r="B67" i="4"/>
  <c r="K67" i="4"/>
  <c r="L66" i="4"/>
  <c r="C67" i="4" l="1"/>
  <c r="B68" i="4"/>
  <c r="K68" i="4"/>
  <c r="L67" i="4"/>
  <c r="C68" i="4" l="1"/>
  <c r="B69" i="4"/>
  <c r="L68" i="4"/>
  <c r="K69" i="4"/>
  <c r="C69" i="4" l="1"/>
  <c r="B70" i="4"/>
  <c r="L69" i="4"/>
  <c r="K70" i="4"/>
  <c r="C70" i="4" l="1"/>
  <c r="B71" i="4"/>
  <c r="L70" i="4"/>
  <c r="K71" i="4"/>
  <c r="C71" i="4" l="1"/>
  <c r="B72" i="4"/>
  <c r="K72" i="4"/>
  <c r="L71" i="4"/>
  <c r="C72" i="4" l="1"/>
  <c r="B73" i="4"/>
  <c r="L72" i="4"/>
  <c r="K73" i="4"/>
  <c r="C73" i="4" l="1"/>
  <c r="B74" i="4"/>
  <c r="L73" i="4"/>
  <c r="K74" i="4"/>
  <c r="C74" i="4" l="1"/>
  <c r="B75" i="4"/>
  <c r="K75" i="4"/>
  <c r="L74" i="4"/>
  <c r="C75" i="4" l="1"/>
  <c r="B76" i="4"/>
  <c r="K76" i="4"/>
  <c r="L75" i="4"/>
  <c r="C76" i="4" l="1"/>
  <c r="B77" i="4"/>
  <c r="L76" i="4"/>
  <c r="K77" i="4"/>
  <c r="C77" i="4" l="1"/>
  <c r="B78" i="4"/>
  <c r="L77" i="4"/>
  <c r="K78" i="4"/>
  <c r="C78" i="4" l="1"/>
  <c r="B79" i="4"/>
  <c r="K79" i="4"/>
  <c r="L78" i="4"/>
  <c r="C79" i="4" l="1"/>
  <c r="B80" i="4"/>
  <c r="K80" i="4"/>
  <c r="L79" i="4"/>
  <c r="C80" i="4" l="1"/>
  <c r="B81" i="4"/>
  <c r="L80" i="4"/>
  <c r="K81" i="4"/>
  <c r="C81" i="4" l="1"/>
  <c r="B82" i="4"/>
  <c r="L81" i="4"/>
  <c r="K82" i="4"/>
  <c r="C82" i="4" l="1"/>
  <c r="B83" i="4"/>
  <c r="K83" i="4"/>
  <c r="L82" i="4"/>
  <c r="C83" i="4" l="1"/>
  <c r="B84" i="4"/>
  <c r="K84" i="4"/>
  <c r="L83" i="4"/>
  <c r="C84" i="4" l="1"/>
  <c r="B85" i="4"/>
  <c r="L84" i="4"/>
  <c r="K85" i="4"/>
  <c r="C85" i="4" l="1"/>
  <c r="B86" i="4"/>
  <c r="L85" i="4"/>
  <c r="K86" i="4"/>
  <c r="C86" i="4" l="1"/>
  <c r="B87" i="4"/>
  <c r="K87" i="4"/>
  <c r="L86" i="4"/>
  <c r="C87" i="4" l="1"/>
  <c r="B88" i="4"/>
  <c r="K88" i="4"/>
  <c r="L87" i="4"/>
  <c r="C88" i="4" l="1"/>
  <c r="B89" i="4"/>
  <c r="L88" i="4"/>
  <c r="K89" i="4"/>
  <c r="C89" i="4" l="1"/>
  <c r="B90" i="4"/>
  <c r="L89" i="4"/>
  <c r="K90" i="4"/>
  <c r="C90" i="4" l="1"/>
  <c r="B91" i="4"/>
  <c r="L90" i="4"/>
  <c r="K91" i="4"/>
  <c r="C91" i="4" l="1"/>
  <c r="B92" i="4"/>
  <c r="K92" i="4"/>
  <c r="L91" i="4"/>
  <c r="C92" i="4" l="1"/>
  <c r="B93" i="4"/>
  <c r="L92" i="4"/>
  <c r="K93" i="4"/>
  <c r="C93" i="4" l="1"/>
  <c r="B94" i="4"/>
  <c r="L93" i="4"/>
  <c r="K94" i="4"/>
  <c r="C94" i="4" l="1"/>
  <c r="B95" i="4"/>
  <c r="K95" i="4"/>
  <c r="L94" i="4"/>
  <c r="C95" i="4" l="1"/>
  <c r="B96" i="4"/>
  <c r="K96" i="4"/>
  <c r="L95" i="4"/>
  <c r="C96" i="4" l="1"/>
  <c r="B97" i="4"/>
  <c r="L96" i="4"/>
  <c r="K97" i="4"/>
  <c r="C97" i="4" l="1"/>
  <c r="B98" i="4"/>
  <c r="L97" i="4"/>
  <c r="K98" i="4"/>
  <c r="C98" i="4" l="1"/>
  <c r="B99" i="4"/>
  <c r="K99" i="4"/>
  <c r="L98" i="4"/>
  <c r="C99" i="4" l="1"/>
  <c r="B100" i="4"/>
  <c r="K100" i="4"/>
  <c r="L99" i="4"/>
  <c r="C100" i="4" l="1"/>
  <c r="B101" i="4"/>
  <c r="L100" i="4"/>
  <c r="K101" i="4"/>
  <c r="C101" i="4" l="1"/>
  <c r="B102" i="4"/>
  <c r="L101" i="4"/>
  <c r="K102" i="4"/>
  <c r="C102" i="4" l="1"/>
  <c r="B103" i="4"/>
  <c r="K103" i="4"/>
  <c r="L102" i="4"/>
  <c r="C103" i="4" l="1"/>
  <c r="B104" i="4"/>
  <c r="K104" i="4"/>
  <c r="L103" i="4"/>
  <c r="C104" i="4" l="1"/>
  <c r="B105" i="4"/>
  <c r="L104" i="4"/>
  <c r="K105" i="4"/>
  <c r="C105" i="4" l="1"/>
  <c r="B106" i="4"/>
  <c r="L105" i="4"/>
  <c r="K106" i="4"/>
  <c r="C106" i="4" l="1"/>
  <c r="B107" i="4"/>
  <c r="L106" i="4"/>
  <c r="K107" i="4"/>
  <c r="C107" i="4" l="1"/>
  <c r="B108" i="4"/>
  <c r="K108" i="4"/>
  <c r="L107" i="4"/>
  <c r="C108" i="4" l="1"/>
  <c r="B109" i="4"/>
  <c r="L108" i="4"/>
  <c r="K109" i="4"/>
  <c r="C109" i="4" l="1"/>
  <c r="B110" i="4"/>
  <c r="C110" i="4" s="1"/>
  <c r="L109" i="4"/>
  <c r="K110" i="4"/>
  <c r="L110" i="4" s="1"/>
  <c r="C112" i="4" l="1"/>
  <c r="R214" i="4" s="1"/>
  <c r="L112" i="4"/>
  <c r="N209" i="4" s="1"/>
  <c r="B209" i="4" s="1" a="1"/>
  <c r="B209" i="4" s="1"/>
  <c r="I21" i="1" s="1"/>
  <c r="B214" i="4" l="1" a="1"/>
  <c r="B214" i="4" s="1"/>
  <c r="I26" i="1" s="1"/>
  <c r="N13" i="4" l="1"/>
  <c r="N14" i="4" l="1"/>
  <c r="O13" i="4"/>
  <c r="O14" i="4" l="1"/>
  <c r="N15" i="4"/>
  <c r="N16" i="4" l="1"/>
  <c r="O15" i="4"/>
  <c r="O16" i="4" l="1"/>
  <c r="N17" i="4"/>
  <c r="O17" i="4" l="1"/>
  <c r="N18" i="4"/>
  <c r="O18" i="4" l="1"/>
  <c r="N19" i="4"/>
  <c r="N20" i="4" l="1"/>
  <c r="O19" i="4"/>
  <c r="N21" i="4" l="1"/>
  <c r="O20" i="4"/>
  <c r="N22" i="4" l="1"/>
  <c r="O21" i="4"/>
  <c r="N23" i="4" l="1"/>
  <c r="O22" i="4"/>
  <c r="O23" i="4" l="1"/>
  <c r="N24" i="4"/>
  <c r="O24" i="4" l="1"/>
  <c r="N25" i="4"/>
  <c r="O25" i="4" l="1"/>
  <c r="N26" i="4"/>
  <c r="O26" i="4" l="1"/>
  <c r="N27" i="4"/>
  <c r="O27" i="4" l="1"/>
  <c r="N28" i="4"/>
  <c r="N29" i="4" l="1"/>
  <c r="O28" i="4"/>
  <c r="O29" i="4" l="1"/>
  <c r="N30" i="4"/>
  <c r="O30" i="4" l="1"/>
  <c r="N31" i="4"/>
  <c r="N32" i="4" l="1"/>
  <c r="O31" i="4"/>
  <c r="O32" i="4" l="1"/>
  <c r="N33" i="4"/>
  <c r="O33" i="4" l="1"/>
  <c r="N34" i="4"/>
  <c r="O34" i="4" l="1"/>
  <c r="N35" i="4"/>
  <c r="O35" i="4" l="1"/>
  <c r="N36" i="4"/>
  <c r="O36" i="4" l="1"/>
  <c r="N37" i="4"/>
  <c r="O37" i="4" l="1"/>
  <c r="N38" i="4"/>
  <c r="O38" i="4" l="1"/>
  <c r="N39" i="4"/>
  <c r="O39" i="4" l="1"/>
  <c r="N40" i="4"/>
  <c r="O40" i="4" l="1"/>
  <c r="N41" i="4"/>
  <c r="O41" i="4" l="1"/>
  <c r="N42" i="4"/>
  <c r="O42" i="4" l="1"/>
  <c r="N43" i="4"/>
  <c r="O43" i="4" l="1"/>
  <c r="N44" i="4"/>
  <c r="N45" i="4" l="1"/>
  <c r="O44" i="4"/>
  <c r="O45" i="4" l="1"/>
  <c r="N46" i="4"/>
  <c r="O46" i="4" l="1"/>
  <c r="N47" i="4"/>
  <c r="O47" i="4" l="1"/>
  <c r="N48" i="4"/>
  <c r="N49" i="4" l="1"/>
  <c r="O48" i="4"/>
  <c r="N50" i="4" l="1"/>
  <c r="O49" i="4"/>
  <c r="O50" i="4" l="1"/>
  <c r="N51" i="4"/>
  <c r="O51" i="4" l="1"/>
  <c r="N52" i="4"/>
  <c r="O52" i="4" l="1"/>
  <c r="N53" i="4"/>
  <c r="N54" i="4" l="1"/>
  <c r="O53" i="4"/>
  <c r="N55" i="4" l="1"/>
  <c r="O54" i="4"/>
  <c r="N56" i="4" l="1"/>
  <c r="O55" i="4"/>
  <c r="N57" i="4" l="1"/>
  <c r="O56" i="4"/>
  <c r="O57" i="4" l="1"/>
  <c r="N58" i="4"/>
  <c r="O58" i="4" l="1"/>
  <c r="N59" i="4"/>
  <c r="O59" i="4" l="1"/>
  <c r="N60" i="4"/>
  <c r="O60" i="4" l="1"/>
  <c r="N61" i="4"/>
  <c r="N62" i="4" l="1"/>
  <c r="O61" i="4"/>
  <c r="O62" i="4" l="1"/>
  <c r="N63" i="4"/>
  <c r="O63" i="4" l="1"/>
  <c r="N64" i="4"/>
  <c r="N65" i="4" l="1"/>
  <c r="O64" i="4"/>
  <c r="N66" i="4" l="1"/>
  <c r="O65" i="4"/>
  <c r="O66" i="4" l="1"/>
  <c r="N67" i="4"/>
  <c r="O67" i="4" l="1"/>
  <c r="N68" i="4"/>
  <c r="O68" i="4" l="1"/>
  <c r="N69" i="4"/>
  <c r="O69" i="4" l="1"/>
  <c r="N70" i="4"/>
  <c r="N71" i="4" l="1"/>
  <c r="O70" i="4"/>
  <c r="O71" i="4" l="1"/>
  <c r="N72" i="4"/>
  <c r="O72" i="4" l="1"/>
  <c r="N73" i="4"/>
  <c r="O73" i="4" l="1"/>
  <c r="N74" i="4"/>
  <c r="O74" i="4" l="1"/>
  <c r="N75" i="4"/>
  <c r="O75" i="4" l="1"/>
  <c r="N76" i="4"/>
  <c r="O76" i="4" l="1"/>
  <c r="N77" i="4"/>
  <c r="N78" i="4" l="1"/>
  <c r="O77" i="4"/>
  <c r="N79" i="4" l="1"/>
  <c r="O78" i="4"/>
  <c r="N80" i="4" l="1"/>
  <c r="O79" i="4"/>
  <c r="N81" i="4" l="1"/>
  <c r="O80" i="4"/>
  <c r="O81" i="4" l="1"/>
  <c r="N82" i="4"/>
  <c r="O82" i="4" l="1"/>
  <c r="N83" i="4"/>
  <c r="O83" i="4" l="1"/>
  <c r="N84" i="4"/>
  <c r="O84" i="4" l="1"/>
  <c r="N85" i="4"/>
  <c r="N86" i="4" l="1"/>
  <c r="O85" i="4"/>
  <c r="O86" i="4" l="1"/>
  <c r="N87" i="4"/>
  <c r="N88" i="4" l="1"/>
  <c r="O87" i="4"/>
  <c r="N89" i="4" l="1"/>
  <c r="O88" i="4"/>
  <c r="N90" i="4" l="1"/>
  <c r="O89" i="4"/>
  <c r="N91" i="4" l="1"/>
  <c r="O90" i="4"/>
  <c r="N92" i="4" l="1"/>
  <c r="O91" i="4"/>
  <c r="O92" i="4" l="1"/>
  <c r="N93" i="4"/>
  <c r="N94" i="4" l="1"/>
  <c r="O93" i="4"/>
  <c r="N95" i="4" l="1"/>
  <c r="O94" i="4"/>
  <c r="N96" i="4" l="1"/>
  <c r="O95" i="4"/>
  <c r="O96" i="4" l="1"/>
  <c r="N97" i="4"/>
  <c r="O97" i="4" l="1"/>
  <c r="N98" i="4"/>
  <c r="O98" i="4" l="1"/>
  <c r="N99" i="4"/>
  <c r="O99" i="4" l="1"/>
  <c r="N100" i="4"/>
  <c r="N101" i="4" l="1"/>
  <c r="O100" i="4"/>
  <c r="O101" i="4" l="1"/>
  <c r="N102" i="4"/>
  <c r="O102" i="4" l="1"/>
  <c r="N103" i="4"/>
  <c r="N104" i="4" l="1"/>
  <c r="O103" i="4"/>
  <c r="N105" i="4" l="1"/>
  <c r="O104" i="4"/>
  <c r="O105" i="4" l="1"/>
  <c r="N106" i="4"/>
  <c r="N107" i="4" l="1"/>
  <c r="O106" i="4"/>
  <c r="O107" i="4" l="1"/>
  <c r="N108" i="4"/>
  <c r="N109" i="4" l="1"/>
  <c r="O108" i="4"/>
  <c r="N110" i="4" l="1"/>
  <c r="O110" i="4" s="1"/>
  <c r="O109" i="4"/>
  <c r="O112" i="4" l="1"/>
  <c r="V208" i="4" l="1"/>
  <c r="B29" i="5" l="1"/>
  <c r="B27" i="5" l="1"/>
  <c r="H197" i="1"/>
  <c r="C27" i="5"/>
  <c r="D27" i="5" l="1"/>
  <c r="C29" i="5"/>
  <c r="H13" i="1"/>
  <c r="D30" i="5" l="1"/>
  <c r="D29" i="5"/>
  <c r="U208" i="4" l="1"/>
  <c r="B208" i="4" l="1" a="1"/>
  <c r="B208" i="4" s="1"/>
  <c r="I20" i="1" s="1"/>
  <c r="H114" i="1"/>
  <c r="B14" i="5" s="1"/>
  <c r="B8" i="3" l="1"/>
  <c r="B126" i="4" s="1"/>
  <c r="I151" i="1" l="1"/>
  <c r="I159" i="1"/>
  <c r="I156" i="1"/>
  <c r="I160" i="1"/>
  <c r="I157" i="1"/>
  <c r="I152" i="1"/>
  <c r="I154" i="1"/>
  <c r="I153" i="1"/>
  <c r="I155" i="1"/>
  <c r="I158" i="1"/>
  <c r="H161" i="1"/>
  <c r="H162" i="1" l="1"/>
  <c r="B17" i="5" l="1"/>
  <c r="U12" i="4" l="1"/>
  <c r="F34" i="1" s="1"/>
  <c r="V12" i="4"/>
  <c r="G34" i="1" s="1"/>
  <c r="S12" i="4"/>
  <c r="B34" i="1" s="1"/>
  <c r="T12" i="4"/>
  <c r="C34" i="1" s="1"/>
  <c r="R12" i="4" l="1"/>
  <c r="A34" i="1" s="1"/>
  <c r="I34" i="1" l="1"/>
  <c r="H34" i="1"/>
  <c r="T73" i="4"/>
  <c r="T36" i="4"/>
  <c r="T66" i="4"/>
  <c r="U98" i="4"/>
  <c r="V52" i="4"/>
  <c r="U44" i="4"/>
  <c r="T29" i="4"/>
  <c r="V32" i="4"/>
  <c r="V86" i="4"/>
  <c r="T86" i="4"/>
  <c r="T75" i="4"/>
  <c r="T108" i="4"/>
  <c r="V108" i="4"/>
  <c r="U87" i="4"/>
  <c r="V76" i="4"/>
  <c r="V90" i="4"/>
  <c r="U70" i="4"/>
  <c r="V70" i="4"/>
  <c r="T70" i="4"/>
  <c r="V44" i="4"/>
  <c r="U90" i="4"/>
  <c r="U63" i="4"/>
  <c r="V91" i="4"/>
  <c r="V31" i="4"/>
  <c r="U43" i="4"/>
  <c r="U18" i="4"/>
  <c r="F40" i="1" s="1"/>
  <c r="T47" i="4"/>
  <c r="T54" i="4"/>
  <c r="U48" i="4"/>
  <c r="V48" i="4"/>
  <c r="U47" i="4"/>
  <c r="V88" i="4"/>
  <c r="U32" i="4"/>
  <c r="V66" i="4"/>
  <c r="T68" i="4"/>
  <c r="T93" i="4"/>
  <c r="U93" i="4"/>
  <c r="V92" i="4"/>
  <c r="V15" i="4"/>
  <c r="G37" i="1" s="1"/>
  <c r="U13" i="4"/>
  <c r="F35" i="1" s="1"/>
  <c r="S82" i="4"/>
  <c r="V19" i="4"/>
  <c r="G41" i="1" s="1"/>
  <c r="T40" i="4"/>
  <c r="T50" i="4"/>
  <c r="U108" i="4"/>
  <c r="T109" i="4"/>
  <c r="U92" i="4"/>
  <c r="V106" i="4"/>
  <c r="T106" i="4"/>
  <c r="T87" i="4"/>
  <c r="T71" i="4"/>
  <c r="U76" i="4"/>
  <c r="T90" i="4"/>
  <c r="S110" i="4"/>
  <c r="T57" i="4"/>
  <c r="S35" i="4"/>
  <c r="U65" i="4"/>
  <c r="V30" i="4"/>
  <c r="T30" i="4"/>
  <c r="T42" i="4"/>
  <c r="V87" i="4"/>
  <c r="T95" i="4"/>
  <c r="V55" i="4"/>
  <c r="V61" i="4"/>
  <c r="T84" i="4"/>
  <c r="S65" i="4"/>
  <c r="U103" i="4"/>
  <c r="U61" i="4"/>
  <c r="V54" i="4"/>
  <c r="T48" i="4"/>
  <c r="U31" i="4"/>
  <c r="S93" i="4"/>
  <c r="V62" i="4"/>
  <c r="V80" i="4"/>
  <c r="T97" i="4"/>
  <c r="U67" i="4"/>
  <c r="V69" i="4"/>
  <c r="T27" i="4"/>
  <c r="S75" i="4"/>
  <c r="U22" i="4"/>
  <c r="U36" i="4"/>
  <c r="V93" i="4"/>
  <c r="T103" i="4"/>
  <c r="S109" i="4"/>
  <c r="V99" i="4"/>
  <c r="V14" i="4"/>
  <c r="G36" i="1" s="1"/>
  <c r="U14" i="4"/>
  <c r="F36" i="1" s="1"/>
  <c r="V40" i="4"/>
  <c r="U50" i="4"/>
  <c r="T101" i="4"/>
  <c r="T91" i="4"/>
  <c r="V98" i="4"/>
  <c r="S61" i="4"/>
  <c r="T72" i="4"/>
  <c r="U72" i="4"/>
  <c r="V26" i="4"/>
  <c r="T33" i="4"/>
  <c r="S70" i="4"/>
  <c r="T102" i="4"/>
  <c r="U78" i="4"/>
  <c r="U17" i="4"/>
  <c r="F39" i="1" s="1"/>
  <c r="U57" i="4"/>
  <c r="U16" i="4"/>
  <c r="F38" i="1" s="1"/>
  <c r="T98" i="4"/>
  <c r="T60" i="4"/>
  <c r="U60" i="4"/>
  <c r="U79" i="4"/>
  <c r="V75" i="4"/>
  <c r="T77" i="4"/>
  <c r="U85" i="4"/>
  <c r="V51" i="4"/>
  <c r="U96" i="4"/>
  <c r="S104" i="4"/>
  <c r="T74" i="4"/>
  <c r="V82" i="4"/>
  <c r="U49" i="4"/>
  <c r="V20" i="4"/>
  <c r="G42" i="1" s="1"/>
  <c r="S32" i="4"/>
  <c r="V50" i="4"/>
  <c r="T21" i="4"/>
  <c r="S99" i="4"/>
  <c r="U25" i="4"/>
  <c r="T81" i="4"/>
  <c r="U81" i="4"/>
  <c r="S81" i="4"/>
  <c r="V63" i="4"/>
  <c r="U59" i="4"/>
  <c r="V59" i="4"/>
  <c r="T104" i="4"/>
  <c r="S105" i="4"/>
  <c r="V105" i="4"/>
  <c r="T43" i="4"/>
  <c r="S36" i="4"/>
  <c r="U106" i="4"/>
  <c r="T105" i="4"/>
  <c r="U84" i="4"/>
  <c r="T92" i="4"/>
  <c r="T107" i="4"/>
  <c r="U73" i="4"/>
  <c r="V74" i="4"/>
  <c r="U24" i="4"/>
  <c r="V24" i="4"/>
  <c r="V77" i="4"/>
  <c r="T64" i="4"/>
  <c r="V71" i="4"/>
  <c r="V107" i="4"/>
  <c r="S17" i="4"/>
  <c r="B39" i="1" s="1"/>
  <c r="V49" i="4"/>
  <c r="T56" i="4"/>
  <c r="V96" i="4"/>
  <c r="T17" i="4"/>
  <c r="C39" i="1" s="1"/>
  <c r="V89" i="4"/>
  <c r="U33" i="4"/>
  <c r="V101" i="4"/>
  <c r="U29" i="4"/>
  <c r="V73" i="4"/>
  <c r="U56" i="4"/>
  <c r="V65" i="4"/>
  <c r="V36" i="4"/>
  <c r="U66" i="4"/>
  <c r="S66" i="4"/>
  <c r="V103" i="4"/>
  <c r="V97" i="4"/>
  <c r="U109" i="4"/>
  <c r="U74" i="4"/>
  <c r="V27" i="4"/>
  <c r="S92" i="4"/>
  <c r="V47" i="4"/>
  <c r="S80" i="4"/>
  <c r="S57" i="4"/>
  <c r="U23" i="4"/>
  <c r="T14" i="4"/>
  <c r="C36" i="1" s="1"/>
  <c r="U101" i="4"/>
  <c r="V58" i="4"/>
  <c r="V68" i="4"/>
  <c r="U21" i="4"/>
  <c r="T24" i="4"/>
  <c r="S42" i="4"/>
  <c r="T37" i="4"/>
  <c r="U30" i="4"/>
  <c r="T15" i="4"/>
  <c r="C37" i="1" s="1"/>
  <c r="S34" i="4"/>
  <c r="T34" i="4"/>
  <c r="U34" i="4"/>
  <c r="U40" i="4"/>
  <c r="S83" i="4"/>
  <c r="U107" i="4"/>
  <c r="T83" i="4"/>
  <c r="V110" i="4"/>
  <c r="S50" i="4"/>
  <c r="S29" i="4"/>
  <c r="V60" i="4"/>
  <c r="V56" i="4"/>
  <c r="T80" i="4"/>
  <c r="U55" i="4"/>
  <c r="V35" i="4"/>
  <c r="S84" i="4"/>
  <c r="S97" i="4"/>
  <c r="S18" i="4"/>
  <c r="B40" i="1" s="1"/>
  <c r="S60" i="4"/>
  <c r="S95" i="4"/>
  <c r="S26" i="4"/>
  <c r="T94" i="4"/>
  <c r="S94" i="4"/>
  <c r="U69" i="4"/>
  <c r="S39" i="4"/>
  <c r="S51" i="4"/>
  <c r="T46" i="4"/>
  <c r="S91" i="4"/>
  <c r="U91" i="4"/>
  <c r="S58" i="4"/>
  <c r="U28" i="4"/>
  <c r="T49" i="4"/>
  <c r="U104" i="4"/>
  <c r="V29" i="4"/>
  <c r="S53" i="4"/>
  <c r="V78" i="4"/>
  <c r="U35" i="4"/>
  <c r="U27" i="4"/>
  <c r="U110" i="4"/>
  <c r="T51" i="4"/>
  <c r="U75" i="4"/>
  <c r="T20" i="4"/>
  <c r="C42" i="1" s="1"/>
  <c r="T44" i="4"/>
  <c r="T96" i="4"/>
  <c r="S16" i="4"/>
  <c r="B38" i="1" s="1"/>
  <c r="S56" i="4"/>
  <c r="S48" i="4"/>
  <c r="T32" i="4"/>
  <c r="T16" i="4"/>
  <c r="C38" i="1" s="1"/>
  <c r="V25" i="4"/>
  <c r="S67" i="4"/>
  <c r="V100" i="4"/>
  <c r="U26" i="4"/>
  <c r="T67" i="4"/>
  <c r="T99" i="4"/>
  <c r="T110" i="4"/>
  <c r="S49" i="4"/>
  <c r="V67" i="4"/>
  <c r="T26" i="4"/>
  <c r="U45" i="4"/>
  <c r="T76" i="4"/>
  <c r="V21" i="4"/>
  <c r="S90" i="4"/>
  <c r="S46" i="4"/>
  <c r="U94" i="4"/>
  <c r="S103" i="4"/>
  <c r="T38" i="4"/>
  <c r="V38" i="4"/>
  <c r="V94" i="4"/>
  <c r="U68" i="4"/>
  <c r="T28" i="4"/>
  <c r="S28" i="4"/>
  <c r="U51" i="4"/>
  <c r="V79" i="4"/>
  <c r="S69" i="4"/>
  <c r="S63" i="4"/>
  <c r="V42" i="4"/>
  <c r="V37" i="4"/>
  <c r="S24" i="4"/>
  <c r="U88" i="4"/>
  <c r="T19" i="4"/>
  <c r="C41" i="1" s="1"/>
  <c r="U80" i="4"/>
  <c r="U58" i="4"/>
  <c r="S72" i="4"/>
  <c r="S14" i="4"/>
  <c r="B36" i="1" s="1"/>
  <c r="U102" i="4"/>
  <c r="S107" i="4"/>
  <c r="U95" i="4"/>
  <c r="T25" i="4"/>
  <c r="U37" i="4"/>
  <c r="V104" i="4"/>
  <c r="T18" i="4"/>
  <c r="C40" i="1" s="1"/>
  <c r="S98" i="4"/>
  <c r="T88" i="4"/>
  <c r="T31" i="4"/>
  <c r="V23" i="4"/>
  <c r="V18" i="4"/>
  <c r="G40" i="1" s="1"/>
  <c r="U99" i="4"/>
  <c r="T41" i="4"/>
  <c r="V95" i="4"/>
  <c r="S45" i="4"/>
  <c r="S78" i="4"/>
  <c r="V102" i="4"/>
  <c r="V84" i="4"/>
  <c r="U20" i="4"/>
  <c r="F42" i="1" s="1"/>
  <c r="S19" i="4"/>
  <c r="B41" i="1" s="1"/>
  <c r="T89" i="4"/>
  <c r="V53" i="4"/>
  <c r="T100" i="4"/>
  <c r="V17" i="4"/>
  <c r="G39" i="1" s="1"/>
  <c r="V81" i="4"/>
  <c r="S100" i="4"/>
  <c r="U100" i="4"/>
  <c r="S106" i="4"/>
  <c r="U82" i="4"/>
  <c r="V72" i="4"/>
  <c r="S30" i="4"/>
  <c r="S55" i="4"/>
  <c r="U53" i="4"/>
  <c r="U42" i="4"/>
  <c r="V85" i="4"/>
  <c r="S20" i="4"/>
  <c r="B42" i="1" s="1"/>
  <c r="T23" i="4"/>
  <c r="T59" i="4"/>
  <c r="V83" i="4"/>
  <c r="S79" i="4"/>
  <c r="V39" i="4"/>
  <c r="T65" i="4"/>
  <c r="S74" i="4"/>
  <c r="U38" i="4"/>
  <c r="U62" i="4"/>
  <c r="T69" i="4"/>
  <c r="V16" i="4"/>
  <c r="G38" i="1" s="1"/>
  <c r="U97" i="4"/>
  <c r="S108" i="4"/>
  <c r="S33" i="4"/>
  <c r="T58" i="4"/>
  <c r="S21" i="4"/>
  <c r="S68" i="4"/>
  <c r="U52" i="4"/>
  <c r="T63" i="4"/>
  <c r="T82" i="4"/>
  <c r="V28" i="4"/>
  <c r="S22" i="4"/>
  <c r="U64" i="4"/>
  <c r="S44" i="4"/>
  <c r="S71" i="4"/>
  <c r="S89" i="4"/>
  <c r="U19" i="4"/>
  <c r="F41" i="1" s="1"/>
  <c r="V34" i="4"/>
  <c r="V109" i="4"/>
  <c r="T22" i="4"/>
  <c r="U83" i="4"/>
  <c r="U77" i="4"/>
  <c r="S62" i="4"/>
  <c r="S40" i="4"/>
  <c r="T13" i="4"/>
  <c r="C35" i="1" s="1"/>
  <c r="S76" i="4"/>
  <c r="V22" i="4"/>
  <c r="S77" i="4"/>
  <c r="S38" i="4"/>
  <c r="V43" i="4"/>
  <c r="V57" i="4"/>
  <c r="U39" i="4"/>
  <c r="V45" i="4"/>
  <c r="V46" i="4"/>
  <c r="S47" i="4"/>
  <c r="V41" i="4"/>
  <c r="U89" i="4"/>
  <c r="T61" i="4"/>
  <c r="T85" i="4"/>
  <c r="U86" i="4"/>
  <c r="T78" i="4"/>
  <c r="S27" i="4"/>
  <c r="T35" i="4"/>
  <c r="V33" i="4"/>
  <c r="V64" i="4"/>
  <c r="S15" i="4"/>
  <c r="B37" i="1" s="1"/>
  <c r="S59" i="4"/>
  <c r="S13" i="4"/>
  <c r="B35" i="1" s="1"/>
  <c r="T55" i="4"/>
  <c r="V13" i="4"/>
  <c r="G35" i="1" s="1"/>
  <c r="T79" i="4"/>
  <c r="S86" i="4"/>
  <c r="U54" i="4"/>
  <c r="T52" i="4"/>
  <c r="U71" i="4"/>
  <c r="S31" i="4"/>
  <c r="S54" i="4"/>
  <c r="S64" i="4"/>
  <c r="S85" i="4"/>
  <c r="S96" i="4"/>
  <c r="S88" i="4"/>
  <c r="T53" i="4"/>
  <c r="S102" i="4"/>
  <c r="S101" i="4"/>
  <c r="S87" i="4"/>
  <c r="U41" i="4"/>
  <c r="T39" i="4"/>
  <c r="T62" i="4"/>
  <c r="U46" i="4"/>
  <c r="S25" i="4"/>
  <c r="S37" i="4"/>
  <c r="U105" i="4"/>
  <c r="S23" i="4"/>
  <c r="S73" i="4"/>
  <c r="U15" i="4"/>
  <c r="F37" i="1" s="1"/>
  <c r="S52" i="4"/>
  <c r="S43" i="4"/>
  <c r="S41" i="4"/>
  <c r="T45" i="4"/>
  <c r="R32" i="4" l="1"/>
  <c r="R105" i="4"/>
  <c r="R40" i="4"/>
  <c r="R96" i="4"/>
  <c r="R104" i="4"/>
  <c r="R29" i="4"/>
  <c r="R22" i="4"/>
  <c r="R26" i="4"/>
  <c r="R93" i="4"/>
  <c r="R16" i="4"/>
  <c r="A38" i="1" s="1"/>
  <c r="R33" i="4"/>
  <c r="R20" i="4"/>
  <c r="A42" i="1" s="1"/>
  <c r="H42" i="1" s="1"/>
  <c r="R73" i="4"/>
  <c r="R100" i="4"/>
  <c r="R34" i="4"/>
  <c r="R31" i="4"/>
  <c r="R60" i="4"/>
  <c r="R98" i="4"/>
  <c r="R89" i="4"/>
  <c r="R38" i="4"/>
  <c r="R30" i="4"/>
  <c r="R85" i="4"/>
  <c r="R51" i="4"/>
  <c r="R84" i="4"/>
  <c r="R67" i="4"/>
  <c r="R46" i="4"/>
  <c r="R42" i="4"/>
  <c r="R77" i="4"/>
  <c r="R55" i="4"/>
  <c r="R21" i="4"/>
  <c r="R78" i="4"/>
  <c r="R47" i="4"/>
  <c r="R83" i="4"/>
  <c r="R48" i="4"/>
  <c r="R28" i="4"/>
  <c r="R102" i="4"/>
  <c r="R76" i="4"/>
  <c r="R68" i="4"/>
  <c r="R92" i="4"/>
  <c r="R75" i="4"/>
  <c r="R37" i="4"/>
  <c r="R70" i="4"/>
  <c r="R72" i="4"/>
  <c r="R109" i="4"/>
  <c r="R49" i="4"/>
  <c r="R74" i="4"/>
  <c r="R71" i="4"/>
  <c r="R79" i="4"/>
  <c r="R45" i="4"/>
  <c r="R94" i="4"/>
  <c r="R56" i="4"/>
  <c r="R63" i="4"/>
  <c r="R14" i="4"/>
  <c r="A36" i="1" s="1"/>
  <c r="R43" i="4"/>
  <c r="R25" i="4"/>
  <c r="R44" i="4"/>
  <c r="R99" i="4"/>
  <c r="R61" i="4"/>
  <c r="R101" i="4"/>
  <c r="R18" i="4"/>
  <c r="A40" i="1" s="1"/>
  <c r="R66" i="4"/>
  <c r="R15" i="4"/>
  <c r="A37" i="1" s="1"/>
  <c r="I37" i="1" s="1"/>
  <c r="R86" i="4"/>
  <c r="R23" i="4"/>
  <c r="R91" i="4"/>
  <c r="R95" i="4"/>
  <c r="R39" i="4"/>
  <c r="R80" i="4"/>
  <c r="R27" i="4"/>
  <c r="R53" i="4"/>
  <c r="R81" i="4"/>
  <c r="R54" i="4"/>
  <c r="R110" i="4"/>
  <c r="R87" i="4"/>
  <c r="R35" i="4"/>
  <c r="R62" i="4"/>
  <c r="R88" i="4"/>
  <c r="R65" i="4"/>
  <c r="R50" i="4"/>
  <c r="R97" i="4"/>
  <c r="R82" i="4"/>
  <c r="R108" i="4"/>
  <c r="R41" i="4"/>
  <c r="R103" i="4"/>
  <c r="R69" i="4"/>
  <c r="R107" i="4"/>
  <c r="R36" i="4"/>
  <c r="R17" i="4"/>
  <c r="A39" i="1" s="1"/>
  <c r="R64" i="4"/>
  <c r="R58" i="4"/>
  <c r="R106" i="4"/>
  <c r="R59" i="4"/>
  <c r="R57" i="4"/>
  <c r="R52" i="4"/>
  <c r="R90" i="4"/>
  <c r="R19" i="4"/>
  <c r="A41" i="1" s="1"/>
  <c r="R13" i="4"/>
  <c r="A35" i="1" s="1"/>
  <c r="E12" i="4" s="1"/>
  <c r="R24" i="4"/>
  <c r="E13" i="4" l="1"/>
  <c r="F12" i="4"/>
  <c r="I36" i="1"/>
  <c r="H36" i="1"/>
  <c r="H39" i="1"/>
  <c r="I39" i="1"/>
  <c r="H41" i="1"/>
  <c r="I41" i="1"/>
  <c r="H40" i="1"/>
  <c r="I40" i="1"/>
  <c r="I35" i="1"/>
  <c r="H35" i="1"/>
  <c r="G36" i="5"/>
  <c r="H38" i="1"/>
  <c r="I38" i="1"/>
  <c r="H37" i="1"/>
  <c r="I42" i="1"/>
  <c r="F13" i="4" l="1"/>
  <c r="E14" i="4"/>
  <c r="H43" i="1"/>
  <c r="F14" i="4" l="1"/>
  <c r="E15" i="4"/>
  <c r="B12" i="5"/>
  <c r="H44" i="1"/>
  <c r="H8" i="1" s="1"/>
  <c r="H15" i="1" s="1"/>
  <c r="I133" i="1" l="1"/>
  <c r="I148" i="1"/>
  <c r="I123" i="1"/>
  <c r="F15" i="4"/>
  <c r="E16" i="4"/>
  <c r="B11" i="5"/>
  <c r="B33" i="5"/>
  <c r="B19" i="5"/>
  <c r="B32" i="5" s="1"/>
  <c r="F16" i="4" l="1"/>
  <c r="E17" i="4"/>
  <c r="I114" i="1"/>
  <c r="B23" i="5"/>
  <c r="B30" i="5" s="1"/>
  <c r="C23" i="5"/>
  <c r="C30" i="5" s="1"/>
  <c r="B198" i="4"/>
  <c r="C198" i="4"/>
  <c r="I3" i="1"/>
  <c r="I8" i="1"/>
  <c r="H7" i="1"/>
  <c r="I196" i="1" s="1"/>
  <c r="I162" i="1"/>
  <c r="H9" i="1" l="1"/>
  <c r="B34" i="5"/>
  <c r="A198" i="4" a="1"/>
  <c r="A198" i="4" s="1"/>
  <c r="F17" i="4"/>
  <c r="E18" i="4"/>
  <c r="I12" i="1"/>
  <c r="B189" i="4"/>
  <c r="C745" i="4" s="1"/>
  <c r="H12" i="1"/>
  <c r="B745" i="4"/>
  <c r="E745" i="4"/>
  <c r="H14" i="1"/>
  <c r="F18" i="4" l="1"/>
  <c r="E19" i="4"/>
  <c r="D745" i="4"/>
  <c r="A745" i="4" s="1"/>
  <c r="I197" i="1" s="1"/>
  <c r="I15" i="1" s="1"/>
  <c r="F19" i="4" l="1"/>
  <c r="E20" i="4"/>
  <c r="F20" i="4" l="1"/>
  <c r="E21" i="4"/>
  <c r="F21" i="4" l="1"/>
  <c r="E22" i="4"/>
  <c r="F22" i="4" l="1"/>
  <c r="E23" i="4"/>
  <c r="F23" i="4" l="1"/>
  <c r="E24" i="4"/>
  <c r="F24" i="4" l="1"/>
  <c r="E25" i="4"/>
  <c r="F25" i="4" l="1"/>
  <c r="E26" i="4"/>
  <c r="E27" i="4" l="1"/>
  <c r="F26" i="4"/>
  <c r="F27" i="4" l="1"/>
  <c r="E28" i="4"/>
  <c r="E29" i="4" l="1"/>
  <c r="F28" i="4"/>
  <c r="E30" i="4" l="1"/>
  <c r="F29" i="4"/>
  <c r="F30" i="4" l="1"/>
  <c r="E31" i="4"/>
  <c r="F31" i="4" l="1"/>
  <c r="E32" i="4"/>
  <c r="F32" i="4" l="1"/>
  <c r="E33" i="4"/>
  <c r="F33" i="4" l="1"/>
  <c r="E34" i="4"/>
  <c r="F34" i="4" l="1"/>
  <c r="E35" i="4"/>
  <c r="E36" i="4" l="1"/>
  <c r="F35" i="4"/>
  <c r="F36" i="4" l="1"/>
  <c r="E37" i="4"/>
  <c r="F37" i="4" l="1"/>
  <c r="E38" i="4"/>
  <c r="F38" i="4" l="1"/>
  <c r="E39" i="4"/>
  <c r="F39" i="4" l="1"/>
  <c r="E40" i="4"/>
  <c r="F40" i="4" l="1"/>
  <c r="E41" i="4"/>
  <c r="F41" i="4" l="1"/>
  <c r="E42" i="4"/>
  <c r="F42" i="4" l="1"/>
  <c r="E43" i="4"/>
  <c r="E44" i="4" l="1"/>
  <c r="F43" i="4"/>
  <c r="F44" i="4" l="1"/>
  <c r="E45" i="4"/>
  <c r="F45" i="4" l="1"/>
  <c r="E46" i="4"/>
  <c r="F46" i="4" l="1"/>
  <c r="E47" i="4"/>
  <c r="F47" i="4" l="1"/>
  <c r="E48" i="4"/>
  <c r="E49" i="4" l="1"/>
  <c r="F48" i="4"/>
  <c r="F49" i="4" l="1"/>
  <c r="E50" i="4"/>
  <c r="F50" i="4" l="1"/>
  <c r="E51" i="4"/>
  <c r="E52" i="4" l="1"/>
  <c r="F51" i="4"/>
  <c r="F52" i="4" l="1"/>
  <c r="E53" i="4"/>
  <c r="F53" i="4" l="1"/>
  <c r="E54" i="4"/>
  <c r="F54" i="4" l="1"/>
  <c r="E55" i="4"/>
  <c r="F55" i="4" l="1"/>
  <c r="E56" i="4"/>
  <c r="E57" i="4" l="1"/>
  <c r="F56" i="4"/>
  <c r="F57" i="4" l="1"/>
  <c r="E58" i="4"/>
  <c r="E59" i="4" l="1"/>
  <c r="F58" i="4"/>
  <c r="F59" i="4" l="1"/>
  <c r="E60" i="4"/>
  <c r="F60" i="4" l="1"/>
  <c r="E61" i="4"/>
  <c r="F61" i="4" l="1"/>
  <c r="E62" i="4"/>
  <c r="F62" i="4" l="1"/>
  <c r="E63" i="4"/>
  <c r="F63" i="4" l="1"/>
  <c r="E64" i="4"/>
  <c r="F64" i="4" l="1"/>
  <c r="E65" i="4"/>
  <c r="F65" i="4" l="1"/>
  <c r="E66" i="4"/>
  <c r="F66" i="4" l="1"/>
  <c r="E67" i="4"/>
  <c r="F67" i="4" l="1"/>
  <c r="E68" i="4"/>
  <c r="E69" i="4" l="1"/>
  <c r="F68" i="4"/>
  <c r="F69" i="4" l="1"/>
  <c r="E70" i="4"/>
  <c r="F70" i="4" l="1"/>
  <c r="E71" i="4"/>
  <c r="E72" i="4" l="1"/>
  <c r="F71" i="4"/>
  <c r="F72" i="4" l="1"/>
  <c r="E73" i="4"/>
  <c r="F73" i="4" l="1"/>
  <c r="E74" i="4"/>
  <c r="E75" i="4" l="1"/>
  <c r="F74" i="4"/>
  <c r="F75" i="4" l="1"/>
  <c r="E76" i="4"/>
  <c r="F76" i="4" l="1"/>
  <c r="E77" i="4"/>
  <c r="F77" i="4" l="1"/>
  <c r="E78" i="4"/>
  <c r="F78" i="4" l="1"/>
  <c r="E79" i="4"/>
  <c r="F79" i="4" l="1"/>
  <c r="E80" i="4"/>
  <c r="F80" i="4" l="1"/>
  <c r="E81" i="4"/>
  <c r="E82" i="4" l="1"/>
  <c r="F81" i="4"/>
  <c r="F82" i="4" l="1"/>
  <c r="E83" i="4"/>
  <c r="F83" i="4" l="1"/>
  <c r="E84" i="4"/>
  <c r="F84" i="4" l="1"/>
  <c r="E85" i="4"/>
  <c r="E86" i="4" l="1"/>
  <c r="F85" i="4"/>
  <c r="F86" i="4" l="1"/>
  <c r="E87" i="4"/>
  <c r="F87" i="4" l="1"/>
  <c r="E88" i="4"/>
  <c r="F88" i="4" l="1"/>
  <c r="E89" i="4"/>
  <c r="F89" i="4" l="1"/>
  <c r="E90" i="4"/>
  <c r="F90" i="4" l="1"/>
  <c r="E91" i="4"/>
  <c r="F91" i="4" l="1"/>
  <c r="E92" i="4"/>
  <c r="F92" i="4" l="1"/>
  <c r="E93" i="4"/>
  <c r="E94" i="4" l="1"/>
  <c r="F93" i="4"/>
  <c r="E95" i="4" l="1"/>
  <c r="F94" i="4"/>
  <c r="F95" i="4" l="1"/>
  <c r="E96" i="4"/>
  <c r="F96" i="4" l="1"/>
  <c r="E97" i="4"/>
  <c r="F97" i="4" l="1"/>
  <c r="E98" i="4"/>
  <c r="F98" i="4" l="1"/>
  <c r="E99" i="4"/>
  <c r="F99" i="4" l="1"/>
  <c r="E100" i="4"/>
  <c r="F100" i="4" l="1"/>
  <c r="E101" i="4"/>
  <c r="E102" i="4" l="1"/>
  <c r="F101" i="4"/>
  <c r="F102" i="4" l="1"/>
  <c r="E103" i="4"/>
  <c r="E104" i="4" l="1"/>
  <c r="F103" i="4"/>
  <c r="F104" i="4" l="1"/>
  <c r="E105" i="4"/>
  <c r="F105" i="4" l="1"/>
  <c r="E106" i="4"/>
  <c r="E107" i="4" l="1"/>
  <c r="F106" i="4"/>
  <c r="F107" i="4" l="1"/>
  <c r="E108" i="4"/>
  <c r="E109" i="4" l="1"/>
  <c r="F108" i="4"/>
  <c r="F109" i="4" l="1"/>
  <c r="E110" i="4"/>
  <c r="F110" i="4" s="1"/>
  <c r="F112" i="4" s="1"/>
  <c r="B157" i="4" l="1"/>
  <c r="I99" i="1" s="1"/>
</calcChain>
</file>

<file path=xl/sharedStrings.xml><?xml version="1.0" encoding="utf-8"?>
<sst xmlns="http://schemas.openxmlformats.org/spreadsheetml/2006/main" count="1362" uniqueCount="865">
  <si>
    <t>Project title:</t>
  </si>
  <si>
    <t>File number:</t>
  </si>
  <si>
    <t>Main applicant:</t>
  </si>
  <si>
    <t>Summary</t>
  </si>
  <si>
    <t>Total project budget incl. co-funding</t>
  </si>
  <si>
    <t>Totals</t>
  </si>
  <si>
    <t>Total co-funding</t>
  </si>
  <si>
    <t>Personnel costs</t>
  </si>
  <si>
    <t>Total personnel costs:</t>
  </si>
  <si>
    <t>Sub total:</t>
  </si>
  <si>
    <t>Material costs</t>
  </si>
  <si>
    <t>Project-related goods/services</t>
  </si>
  <si>
    <t>Description</t>
  </si>
  <si>
    <t>Amount</t>
  </si>
  <si>
    <t>Travel and accommodation costs</t>
  </si>
  <si>
    <t>Implementation costs</t>
  </si>
  <si>
    <t>Investments</t>
  </si>
  <si>
    <t>Total material costs:</t>
  </si>
  <si>
    <t>Knowledge utilisation</t>
  </si>
  <si>
    <t>Internationalisation and Money follows Cooperation</t>
  </si>
  <si>
    <t>Internationalisation</t>
  </si>
  <si>
    <t>Co-funding</t>
  </si>
  <si>
    <t>provide FTE and months.</t>
  </si>
  <si>
    <t>University</t>
  </si>
  <si>
    <t>NCB Naturalis</t>
  </si>
  <si>
    <t>Other</t>
  </si>
  <si>
    <t>TO2 institute</t>
  </si>
  <si>
    <t>Netherlands Cancer Institute</t>
  </si>
  <si>
    <t>Prinses Máxima Center for pediatric oncology</t>
  </si>
  <si>
    <t>UMC</t>
  </si>
  <si>
    <t>ARCNL</t>
  </si>
  <si>
    <t>Max Planck Institute for Psycholinguistics</t>
  </si>
  <si>
    <t>DUBBLE Beamline at the ESRF</t>
  </si>
  <si>
    <t>Business micro</t>
  </si>
  <si>
    <t>Business large</t>
  </si>
  <si>
    <t>Citizen initiative</t>
  </si>
  <si>
    <t>NGO</t>
  </si>
  <si>
    <t>Foundation</t>
  </si>
  <si>
    <t>Association</t>
  </si>
  <si>
    <t>% co-funding of total project budget</t>
  </si>
  <si>
    <t>Category</t>
  </si>
  <si>
    <t>FTE</t>
  </si>
  <si>
    <t>Months</t>
  </si>
  <si>
    <t>Personnel academic institutes</t>
  </si>
  <si>
    <t>NFU - Postdoc</t>
  </si>
  <si>
    <t>NFU - Non-scientific personnel (MBO)</t>
  </si>
  <si>
    <t>NFU - Non-scientific personnel (HBO)</t>
  </si>
  <si>
    <t>NFU - Non-scientific personnel (WO)</t>
  </si>
  <si>
    <t>Students</t>
  </si>
  <si>
    <t>Supporting staff NWP MBO</t>
  </si>
  <si>
    <t>Supporting staff NWP HBO</t>
  </si>
  <si>
    <t>Junior researcher</t>
  </si>
  <si>
    <t>School teacher</t>
  </si>
  <si>
    <t>Supporting staff NWP Academic</t>
  </si>
  <si>
    <t>MD PhD researcher</t>
  </si>
  <si>
    <t>Teacher researcher</t>
  </si>
  <si>
    <t>Senior researcher</t>
  </si>
  <si>
    <t>Management/lector</t>
  </si>
  <si>
    <t>Medior researcher - PhD level</t>
  </si>
  <si>
    <t>Medior researcher - Postdoc level</t>
  </si>
  <si>
    <t>lijst tbv keuze instelling - gecombineerd:</t>
  </si>
  <si>
    <t>lijst tbv keuze instelling - other institutes:</t>
  </si>
  <si>
    <t>Total co-funding:</t>
  </si>
  <si>
    <t>Project management</t>
  </si>
  <si>
    <t>KNAW institute</t>
  </si>
  <si>
    <t>NWO institute</t>
  </si>
  <si>
    <t>Organisation type</t>
  </si>
  <si>
    <t>University of applied sciences</t>
  </si>
  <si>
    <t>RKI (governmental knowledge institute)</t>
  </si>
  <si>
    <t>Public knowledge institute</t>
  </si>
  <si>
    <t>Private knowledge institute</t>
  </si>
  <si>
    <t>Healthcare organisation</t>
  </si>
  <si>
    <t>Business SME</t>
  </si>
  <si>
    <t>Governmental organisation</t>
  </si>
  <si>
    <t>In-kind co-funding</t>
  </si>
  <si>
    <t>In-cash co-funding</t>
  </si>
  <si>
    <t>Costs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</si>
  <si>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</si>
  <si>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</si>
  <si>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</si>
  <si>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</si>
  <si>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</si>
  <si>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</si>
  <si>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</si>
  <si>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</si>
  <si>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</si>
  <si>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</si>
  <si>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</si>
  <si>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</si>
  <si>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</si>
  <si>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</si>
  <si>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</si>
  <si>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</si>
  <si>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</si>
  <si>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</si>
  <si>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</si>
  <si>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</si>
  <si>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</si>
  <si>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</si>
  <si>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</si>
  <si>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</si>
  <si>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</si>
  <si>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</si>
  <si>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</si>
  <si>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</si>
  <si>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</si>
  <si>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</si>
  <si>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</si>
  <si>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</si>
  <si>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</si>
  <si>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</si>
  <si>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</si>
  <si>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</si>
  <si>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</si>
  <si>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</si>
  <si>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</si>
  <si>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</si>
  <si>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</si>
  <si>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</si>
  <si>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</si>
  <si>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</si>
  <si>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</si>
  <si>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</si>
  <si>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</si>
  <si>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</si>
  <si>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</si>
  <si>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</si>
  <si>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</si>
  <si>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</si>
  <si>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</si>
  <si>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</si>
  <si>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</si>
  <si>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</si>
  <si>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</si>
  <si>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</si>
  <si>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</si>
  <si>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</si>
  <si>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</si>
  <si>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</si>
  <si>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</si>
  <si>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</si>
  <si>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</si>
  <si>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</si>
  <si>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</si>
  <si>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</si>
  <si>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</si>
  <si>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</si>
  <si>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</si>
  <si>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</si>
  <si>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</si>
  <si>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</si>
  <si>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</si>
  <si>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</si>
  <si>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</si>
  <si>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</si>
  <si>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</si>
  <si>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</si>
  <si>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</si>
  <si>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</si>
  <si>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</si>
  <si>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</si>
  <si>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</si>
  <si>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</si>
  <si>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</si>
  <si>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</si>
  <si>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</si>
  <si>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</si>
  <si>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</si>
  <si>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</si>
  <si>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</si>
  <si>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</si>
  <si>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</si>
  <si>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</si>
  <si>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category</t>
  </si>
  <si>
    <t>Total NWO funding</t>
  </si>
  <si>
    <t>Max NWO funding</t>
  </si>
  <si>
    <t>Total funding in-cash via NWO</t>
  </si>
  <si>
    <t>% in-cash co-funding of total project budget</t>
  </si>
  <si>
    <t>Benchfee amount</t>
  </si>
  <si>
    <t># Benchfee</t>
  </si>
  <si>
    <t>Section CfP max tariffs personell other institutes.</t>
  </si>
  <si>
    <t>3.2.1</t>
  </si>
  <si>
    <t xml:space="preserve"> </t>
  </si>
  <si>
    <t xml:space="preserve">  </t>
  </si>
  <si>
    <t xml:space="preserve">   </t>
  </si>
  <si>
    <t>Money follows Cooperation: Materials</t>
  </si>
  <si>
    <t>Money follows Cooperation: Personnel academic institutes</t>
  </si>
  <si>
    <t>Country</t>
  </si>
  <si>
    <t>TKI/PPS-allowance</t>
  </si>
  <si>
    <t>General parameters</t>
  </si>
  <si>
    <t>Lists</t>
  </si>
  <si>
    <t>keuzelijst instelling - academisch:</t>
  </si>
  <si>
    <t>Max project duration [months]</t>
  </si>
  <si>
    <t>NFU - PhD</t>
  </si>
  <si>
    <t>NFU - PDEng</t>
  </si>
  <si>
    <t>File originally created:</t>
  </si>
  <si>
    <t>Personnel</t>
  </si>
  <si>
    <t>date VSNU rates</t>
  </si>
  <si>
    <t>date NFU rates</t>
  </si>
  <si>
    <t>date HOT rates</t>
  </si>
  <si>
    <t>Maximum amount Other scientific personnel</t>
  </si>
  <si>
    <t>Own contribution applicable?</t>
  </si>
  <si>
    <t>yes</t>
  </si>
  <si>
    <t>Maximum amount without own contribution</t>
  </si>
  <si>
    <t>Min % own contribution above threshold amount</t>
  </si>
  <si>
    <t>Min total amount investments</t>
  </si>
  <si>
    <t>Max total amount investments</t>
  </si>
  <si>
    <t>Row in table</t>
  </si>
  <si>
    <t>Total:</t>
  </si>
  <si>
    <t>FTE*year</t>
  </si>
  <si>
    <t>Salary table VSNU/NFU</t>
  </si>
  <si>
    <t>Salary table personnel other institutes</t>
  </si>
  <si>
    <t>Max hourly rate</t>
  </si>
  <si>
    <t>instruction</t>
  </si>
  <si>
    <t>Totals:</t>
  </si>
  <si>
    <t>Materials</t>
  </si>
  <si>
    <t>Type HOT rates</t>
  </si>
  <si>
    <t>Cost Plus</t>
  </si>
  <si>
    <t>Costs accountant</t>
  </si>
  <si>
    <t>Knowledge Utilisation and Entrepeneurship</t>
  </si>
  <si>
    <t>Minimal amount, % of NWO contribution</t>
  </si>
  <si>
    <t>Max amount KU and Entrepeneurship</t>
  </si>
  <si>
    <t>Max amount Internationalisation and MfC</t>
  </si>
  <si>
    <t>Max amount MfC, % of NWO contribution</t>
  </si>
  <si>
    <t>Max amount, % of NWO contribution</t>
  </si>
  <si>
    <t>Min % co-funding, of total project budget</t>
  </si>
  <si>
    <t>Max % co-funding, of total project budget</t>
  </si>
  <si>
    <t>Min % in-cash co-funding, of total project budget</t>
  </si>
  <si>
    <t>Invoicing via NWO/knowledge institute</t>
  </si>
  <si>
    <t>Total in-cash co-funding</t>
  </si>
  <si>
    <t>Total in-kind co-funding</t>
  </si>
  <si>
    <t>Country Correction Coefficients</t>
  </si>
  <si>
    <t>https://www.nwo.nl/documents/nwo/beleid/money-follows-cooperation/nwo-country-correction-coefficients-ccc</t>
  </si>
  <si>
    <t>https://www.iso.org/iso-3166-country-codes.html</t>
  </si>
  <si>
    <t>Code</t>
  </si>
  <si>
    <t>Code and Country</t>
  </si>
  <si>
    <t>CC</t>
  </si>
  <si>
    <t>Categorie</t>
  </si>
  <si>
    <t>AL</t>
  </si>
  <si>
    <t>Albania</t>
  </si>
  <si>
    <t>Other Horizon 2020</t>
  </si>
  <si>
    <t>DZ</t>
  </si>
  <si>
    <t>Algeria</t>
  </si>
  <si>
    <t>Third countries</t>
  </si>
  <si>
    <t>AO</t>
  </si>
  <si>
    <t>Angola</t>
  </si>
  <si>
    <t>AR</t>
  </si>
  <si>
    <t>Argentina</t>
  </si>
  <si>
    <t>AM</t>
  </si>
  <si>
    <t>Armenia</t>
  </si>
  <si>
    <t>AU</t>
  </si>
  <si>
    <t>Australia</t>
  </si>
  <si>
    <t>AT</t>
  </si>
  <si>
    <t>Austria</t>
  </si>
  <si>
    <t>EU member states</t>
  </si>
  <si>
    <t>AZ</t>
  </si>
  <si>
    <t>Azerbaijan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</si>
  <si>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</si>
  <si>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</si>
  <si>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</si>
  <si>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</si>
  <si>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</si>
  <si>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</si>
  <si>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</si>
  <si>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</si>
  <si>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</si>
  <si>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</si>
  <si>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</si>
  <si>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</si>
  <si>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</si>
  <si>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</si>
  <si>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BO</t>
  </si>
  <si>
    <t>Bolivia (Plurinational State of)</t>
  </si>
  <si>
    <t>BA</t>
  </si>
  <si>
    <t>Bosnia and Herzegovina</t>
  </si>
  <si>
    <t>BW</t>
  </si>
  <si>
    <t>Botswana</t>
  </si>
  <si>
    <t>BR</t>
  </si>
  <si>
    <t>Brazil</t>
  </si>
  <si>
    <t>BG</t>
  </si>
  <si>
    <t>Bulgaria</t>
  </si>
  <si>
    <t>BF</t>
  </si>
  <si>
    <t>Burkina Faso</t>
  </si>
  <si>
    <t>BI</t>
  </si>
  <si>
    <t>Burundi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</si>
  <si>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</si>
  <si>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</si>
  <si>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</si>
  <si>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</si>
  <si>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</si>
  <si>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</si>
  <si>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</si>
  <si>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</si>
  <si>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CF</t>
  </si>
  <si>
    <t>Central African Republic (the)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</si>
  <si>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</si>
  <si>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</si>
  <si>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</si>
  <si>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</si>
  <si>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</si>
  <si>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</si>
  <si>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</si>
  <si>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</si>
  <si>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</si>
  <si>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 (the)</t>
  </si>
  <si>
    <t>CD</t>
  </si>
  <si>
    <t>Congo (the Democratic Republic of the)</t>
  </si>
  <si>
    <t>CG</t>
  </si>
  <si>
    <t>Congo (the)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</si>
  <si>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</si>
  <si>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</si>
  <si>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</si>
  <si>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</si>
  <si>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</si>
  <si>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</si>
  <si>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</si>
  <si>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</si>
  <si>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</si>
  <si>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</si>
  <si>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</si>
  <si>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Czechia</t>
  </si>
  <si>
    <t>DK</t>
  </si>
  <si>
    <t>Denmark</t>
  </si>
  <si>
    <t>DJ</t>
  </si>
  <si>
    <t>Djibouti</t>
  </si>
  <si>
    <t>DO</t>
  </si>
  <si>
    <t>Dominican Republic (the)</t>
  </si>
  <si>
    <t>EC</t>
  </si>
  <si>
    <t>Ecuador</t>
  </si>
  <si>
    <t>EG</t>
  </si>
  <si>
    <t>Egypt</t>
  </si>
  <si>
    <t>SV</t>
  </si>
  <si>
    <t>El Salvador</t>
  </si>
  <si>
    <t>ER</t>
  </si>
  <si>
    <t>Eritrea</t>
  </si>
  <si>
    <t>EE</t>
  </si>
  <si>
    <t>Estonia</t>
  </si>
  <si>
    <t>SZ</t>
  </si>
  <si>
    <t>Eswatini</t>
  </si>
  <si>
    <t>ET</t>
  </si>
  <si>
    <t>Ethiopia</t>
  </si>
  <si>
    <t>FO</t>
  </si>
  <si>
    <t>Faroe Islands (the)</t>
  </si>
  <si>
    <t>FJ</t>
  </si>
  <si>
    <t>Fiji</t>
  </si>
  <si>
    <t>FI</t>
  </si>
  <si>
    <t>Finland</t>
  </si>
  <si>
    <t>FR</t>
  </si>
  <si>
    <t>France</t>
  </si>
  <si>
    <t>GA</t>
  </si>
  <si>
    <t>Gabon</t>
  </si>
  <si>
    <t>GM</t>
  </si>
  <si>
    <t>Gambia (the)</t>
  </si>
  <si>
    <t>GE</t>
  </si>
  <si>
    <t>Georgia</t>
  </si>
  <si>
    <t>DE</t>
  </si>
  <si>
    <t>Germany</t>
  </si>
  <si>
    <t>GH</t>
  </si>
  <si>
    <t>Ghana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</si>
  <si>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</si>
  <si>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</si>
  <si>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</si>
  <si>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</si>
  <si>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</si>
  <si>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</si>
  <si>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</si>
  <si>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</si>
  <si>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</si>
  <si>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</si>
  <si>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</si>
  <si>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</si>
  <si>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</si>
  <si>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</si>
  <si>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</si>
  <si>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</si>
  <si>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</si>
  <si>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</si>
  <si>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</si>
  <si>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</si>
  <si>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</si>
  <si>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</si>
  <si>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</si>
  <si>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</si>
  <si>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</si>
  <si>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</si>
  <si>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</si>
  <si>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</si>
  <si>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</si>
  <si>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</si>
  <si>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</si>
  <si>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</si>
  <si>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</si>
  <si>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</si>
  <si>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</si>
  <si>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</si>
  <si>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</si>
  <si>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</si>
  <si>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KR</t>
  </si>
  <si>
    <t>Korea (the Republic of)</t>
  </si>
  <si>
    <t>KG</t>
  </si>
  <si>
    <t>Kyrgyzstan</t>
  </si>
  <si>
    <t>LA</t>
  </si>
  <si>
    <t>Lao People's Democratic Republic (the)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</si>
  <si>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</si>
  <si>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</si>
  <si>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</si>
  <si>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</si>
  <si>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</si>
  <si>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</si>
  <si>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</si>
  <si>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</si>
  <si>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</si>
  <si>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</si>
  <si>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</si>
  <si>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</si>
  <si>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</si>
  <si>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</si>
  <si>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</si>
  <si>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</si>
  <si>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MG</t>
  </si>
  <si>
    <t>Madagascar</t>
  </si>
  <si>
    <t>MW</t>
  </si>
  <si>
    <t>Malawi</t>
  </si>
  <si>
    <t>MY</t>
  </si>
  <si>
    <t>Malaysia</t>
  </si>
  <si>
    <t>ML</t>
  </si>
  <si>
    <t>Mali</t>
  </si>
  <si>
    <t>MT</t>
  </si>
  <si>
    <t>Malta</t>
  </si>
  <si>
    <t>MR</t>
  </si>
  <si>
    <t>Mauritania</t>
  </si>
  <si>
    <t>MU</t>
  </si>
  <si>
    <t>Mauritius</t>
  </si>
  <si>
    <t>MX</t>
  </si>
  <si>
    <t>Mexico</t>
  </si>
  <si>
    <t>MD</t>
  </si>
  <si>
    <t>Moldova (the Republic of)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</si>
  <si>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</si>
  <si>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</si>
  <si>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</si>
  <si>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</si>
  <si>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</si>
  <si>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</si>
  <si>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</si>
  <si>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</si>
  <si>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</si>
  <si>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</si>
  <si>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NP</t>
  </si>
  <si>
    <t>Nepal</t>
  </si>
  <si>
    <t>NL</t>
  </si>
  <si>
    <t>Netherlands (the)</t>
  </si>
  <si>
    <t>NC</t>
  </si>
  <si>
    <t>New Caledonia</t>
  </si>
  <si>
    <t>NZ</t>
  </si>
  <si>
    <t>New Zealand</t>
  </si>
  <si>
    <t>NI</t>
  </si>
  <si>
    <t>Nicaragua</t>
  </si>
  <si>
    <t>NE</t>
  </si>
  <si>
    <t>Niger (the)</t>
  </si>
  <si>
    <t>NG</t>
  </si>
  <si>
    <t>Nigeria</t>
  </si>
  <si>
    <t>MK</t>
  </si>
  <si>
    <t>North Macedonia</t>
  </si>
  <si>
    <t>NO</t>
  </si>
  <si>
    <t>Norway</t>
  </si>
  <si>
    <t>PK</t>
  </si>
  <si>
    <t>Pakistan</t>
  </si>
  <si>
    <t>PS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</si>
  <si>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</si>
  <si>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</si>
  <si>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</si>
  <si>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</si>
  <si>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</si>
  <si>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</si>
  <si>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</si>
  <si>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</si>
  <si>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</si>
  <si>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 (the)</t>
  </si>
  <si>
    <t>PL</t>
  </si>
  <si>
    <t>Poland</t>
  </si>
  <si>
    <t>PT</t>
  </si>
  <si>
    <t>Portugal</t>
  </si>
  <si>
    <t>RO</t>
  </si>
  <si>
    <t>Romania</t>
  </si>
  <si>
    <t>RU</t>
  </si>
  <si>
    <t>Russian Federation (the)</t>
  </si>
  <si>
    <t>RW</t>
  </si>
  <si>
    <t>Rwanda</t>
  </si>
  <si>
    <t>WS</t>
  </si>
  <si>
    <t>Samoa</t>
  </si>
  <si>
    <t>SA</t>
  </si>
  <si>
    <t>Saudi Arabia</t>
  </si>
  <si>
    <t>SN</t>
  </si>
  <si>
    <t>Senegal</t>
  </si>
  <si>
    <t>RS</t>
  </si>
  <si>
    <t>Serbia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</si>
  <si>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</si>
  <si>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</si>
  <si>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</si>
  <si>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</si>
  <si>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</si>
  <si>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</si>
  <si>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</si>
  <si>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</si>
  <si>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</si>
  <si>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</si>
  <si>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</si>
  <si>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</si>
  <si>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ES</t>
  </si>
  <si>
    <t>Spain</t>
  </si>
  <si>
    <t>LK</t>
  </si>
  <si>
    <t>Sri Lanka</t>
  </si>
  <si>
    <t>SD</t>
  </si>
  <si>
    <t>Sudan (the)</t>
  </si>
  <si>
    <t>SR</t>
  </si>
  <si>
    <t>Suriname</t>
  </si>
  <si>
    <t>SE</t>
  </si>
  <si>
    <t>Sweden</t>
  </si>
  <si>
    <t>CH</t>
  </si>
  <si>
    <t>Switzerland</t>
  </si>
  <si>
    <t>SY</t>
  </si>
  <si>
    <t>Syrian Arab Republic (the)</t>
  </si>
  <si>
    <t>TW</t>
  </si>
  <si>
    <t>Taiwan (Province of China)</t>
  </si>
  <si>
    <t>TJ</t>
  </si>
  <si>
    <t>Tajikistan</t>
  </si>
  <si>
    <t>TZ</t>
  </si>
  <si>
    <t>Tanzania, the United Republic of</t>
  </si>
  <si>
    <t>TH</t>
  </si>
  <si>
    <t>Thailand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</si>
  <si>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</si>
  <si>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</si>
  <si>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</si>
  <si>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</si>
  <si>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</si>
  <si>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</si>
  <si>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</si>
  <si>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</si>
  <si>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</si>
  <si>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</si>
  <si>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</si>
  <si>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</si>
  <si>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</si>
  <si>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</si>
  <si>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UG</t>
  </si>
  <si>
    <t>Uganda</t>
  </si>
  <si>
    <t>UA</t>
  </si>
  <si>
    <t>Ukraine</t>
  </si>
  <si>
    <t>AE</t>
  </si>
  <si>
    <t>United Arab Emirates (the)</t>
  </si>
  <si>
    <t>UK</t>
  </si>
  <si>
    <t>United Kingdom of Great Britain and Northern Ireland (the)</t>
  </si>
  <si>
    <t>US</t>
  </si>
  <si>
    <t>United States of America (the)</t>
  </si>
  <si>
    <t>UY</t>
  </si>
  <si>
    <t>Uruguay</t>
  </si>
  <si>
    <t>UZ</t>
  </si>
  <si>
    <t>Uzbekistan</t>
  </si>
  <si>
    <t>VU</t>
  </si>
  <si>
    <t>Vanuatu</t>
  </si>
  <si>
    <t>VE</t>
  </si>
  <si>
    <t>Venezuela (Bolivarian Republic of)</t>
  </si>
  <si>
    <t>VN</t>
  </si>
  <si>
    <t>Viet Nam</t>
  </si>
  <si>
    <t>YE</t>
  </si>
  <si>
    <t>Yemen</t>
  </si>
  <si>
    <t>ZM</t>
  </si>
  <si>
    <t>Zambia</t>
  </si>
  <si>
    <t>ZW</t>
  </si>
  <si>
    <t>Zimbabwe</t>
  </si>
  <si>
    <t>EL</t>
  </si>
  <si>
    <t>XK</t>
  </si>
  <si>
    <t>Checks on input</t>
  </si>
  <si>
    <t>Check exceeding max amount Other Scientific Personnel</t>
  </si>
  <si>
    <t>Situation</t>
  </si>
  <si>
    <t>Message</t>
  </si>
  <si>
    <t>Nr of months of academic personnel exceeding max project duration (or &gt;96 months).</t>
  </si>
  <si>
    <t>Number of months exceeds maximum.</t>
  </si>
  <si>
    <t>Exceeding nr months</t>
  </si>
  <si>
    <t>Row nr</t>
  </si>
  <si>
    <t>Appointment 3-year PhD less than the equivalent of 36 full-time months</t>
  </si>
  <si>
    <t>3y PhD &lt;36 months</t>
  </si>
  <si>
    <t>PDEng combination with PhD/PD</t>
  </si>
  <si>
    <t>PDENg position can only be requested if also PhD or PD position is requested.</t>
  </si>
  <si>
    <t>PDEng duration</t>
  </si>
  <si>
    <t>PD min duration</t>
  </si>
  <si>
    <t>PD max duration</t>
  </si>
  <si>
    <t>NSP combi</t>
  </si>
  <si>
    <t>NSP max amount</t>
  </si>
  <si>
    <t>Check exceeding max amount Non-Scientific Personnel</t>
  </si>
  <si>
    <t>NSP min duration</t>
  </si>
  <si>
    <t>NSP max duration</t>
  </si>
  <si>
    <t>Combined notes</t>
  </si>
  <si>
    <t>Other scientific personnel only in combination with PhD or PD</t>
  </si>
  <si>
    <t>An OSP-position can only be applied for in combination with a PostDoc and/or Phd/PDEng/MD PhD.</t>
  </si>
  <si>
    <t>OSP combi with PD/PhD</t>
  </si>
  <si>
    <t>OSP max amount</t>
  </si>
  <si>
    <t>OSP min duration</t>
  </si>
  <si>
    <t>OSP max duration</t>
  </si>
  <si>
    <t>Research leave - max duration</t>
  </si>
  <si>
    <t>Check exceeding max FTE * months Research leave</t>
  </si>
  <si>
    <t>Combined notes per position - academic</t>
  </si>
  <si>
    <t>Benchfee - requested number of benchfees exceeds FTE</t>
  </si>
  <si>
    <t>Check FTE*year by Scientific employee non-academic for Material costs</t>
  </si>
  <si>
    <t>Row in table containing 'researcher'</t>
  </si>
  <si>
    <t>years</t>
  </si>
  <si>
    <t>Maximum allowed requested material budget per non-academic researcher, per year of appointment</t>
  </si>
  <si>
    <t>Minimum FTE of non-academic researcher to allow for material budget</t>
  </si>
  <si>
    <t>Minimum nr of months appointment of non-academic researcher to allow for material budget</t>
  </si>
  <si>
    <t># hours/year for non-academic personnel</t>
  </si>
  <si>
    <t>Benchee - requested for non-specified category</t>
  </si>
  <si>
    <t>Benchfee can only be requested for PhD and Postdoc positions.</t>
  </si>
  <si>
    <t>Total amount of KU and entrepeneurship too low</t>
  </si>
  <si>
    <t>Total amount of KU and entrepeneurship too high</t>
  </si>
  <si>
    <t>Total amount Internationalisation and MfC too high</t>
  </si>
  <si>
    <t>Project management - cannot be requested</t>
  </si>
  <si>
    <t>Project management - exceeding max amount</t>
  </si>
  <si>
    <t>In-cash cofunding - not enough</t>
  </si>
  <si>
    <t>Cofunding - not enough</t>
  </si>
  <si>
    <t>Cofunding - too much</t>
  </si>
  <si>
    <t>VSNU:</t>
  </si>
  <si>
    <t>NFU:</t>
  </si>
  <si>
    <t>HOT-Tabel van:</t>
  </si>
  <si>
    <t>Total Material</t>
  </si>
  <si>
    <t>Total project management</t>
  </si>
  <si>
    <t>NWO</t>
  </si>
  <si>
    <t>Date:</t>
  </si>
  <si>
    <t>Checklist valid entries</t>
  </si>
  <si>
    <t>Start date later than end date</t>
  </si>
  <si>
    <t>Start date before end date.</t>
  </si>
  <si>
    <t>Start date before today</t>
  </si>
  <si>
    <t>Start date lies in the past.</t>
  </si>
  <si>
    <t>Threshold amount min. Cofunding</t>
  </si>
  <si>
    <t>Cofunding - not enough, including threshold amount</t>
  </si>
  <si>
    <t>Requested NWO budget too high</t>
  </si>
  <si>
    <t>Min NWO funding</t>
  </si>
  <si>
    <t>Requested NWO budget too low</t>
  </si>
  <si>
    <t>Project duration too long</t>
  </si>
  <si>
    <t>private?</t>
  </si>
  <si>
    <t>no</t>
  </si>
  <si>
    <t>Private co-funding - inkind</t>
  </si>
  <si>
    <t>list cofunders</t>
  </si>
  <si>
    <t>Private co-funding - incash</t>
  </si>
  <si>
    <t>Total priv. cof.:</t>
  </si>
  <si>
    <t>Private cofunding - not enough</t>
  </si>
  <si>
    <t>Min % of private co-funding, of total project budget</t>
  </si>
  <si>
    <t>Organisation</t>
  </si>
  <si>
    <t>An NSP-position can only be applied for in combination with PostDoc and/or Phd/PDEng/MD PhD.</t>
  </si>
  <si>
    <t>Max amount Internationalisation</t>
  </si>
  <si>
    <t>Max amount Internationalisation, % of NWO contribution</t>
  </si>
  <si>
    <t>Total amount for Internationalisation too high - amount</t>
  </si>
  <si>
    <t>Total amount for Internationalisation too high - percentage</t>
  </si>
  <si>
    <t>Max amount MfC</t>
  </si>
  <si>
    <t>Total amount for MfC too high - percentage</t>
  </si>
  <si>
    <t>Total amount for MfC too high - amount</t>
  </si>
  <si>
    <t>Max amount Int + MfC, % of NWO contribution</t>
  </si>
  <si>
    <t>Total amount Internationalisation and MfC too high - amount</t>
  </si>
  <si>
    <t>Provide these amounts without VAT.</t>
  </si>
  <si>
    <t>Name call:</t>
  </si>
  <si>
    <t>Cash cofunding via:</t>
  </si>
  <si>
    <t>Expenses</t>
  </si>
  <si>
    <t>Budget post</t>
  </si>
  <si>
    <t>Total personnel</t>
  </si>
  <si>
    <t>-Personnel ac. institutes (incl benchfee)</t>
  </si>
  <si>
    <r>
      <t xml:space="preserve">Total Investments </t>
    </r>
    <r>
      <rPr>
        <b/>
        <i/>
        <sz val="10"/>
        <color theme="1"/>
        <rFont val="Calibri"/>
        <family val="2"/>
        <scheme val="minor"/>
      </rPr>
      <t>(incl by inst)</t>
    </r>
  </si>
  <si>
    <t>Total required resources</t>
  </si>
  <si>
    <t>Funding</t>
  </si>
  <si>
    <t>Via NWO</t>
  </si>
  <si>
    <t>Via institute</t>
  </si>
  <si>
    <t>NWO funding</t>
  </si>
  <si>
    <t>N/A</t>
  </si>
  <si>
    <t>In-kind cofunding</t>
  </si>
  <si>
    <t>Investments via institute</t>
  </si>
  <si>
    <t>In-cash cofunding</t>
  </si>
  <si>
    <t>Project fee</t>
  </si>
  <si>
    <t>-Total in-cash</t>
  </si>
  <si>
    <t>Total funding</t>
  </si>
  <si>
    <t>Total project budget</t>
  </si>
  <si>
    <t>Total requested NWO budget</t>
  </si>
  <si>
    <t>Total via NWO (for tranches)</t>
  </si>
  <si>
    <t>Cofunding per organisation type (excl TKI/PPS-allowance)</t>
  </si>
  <si>
    <t>Type of funding</t>
  </si>
  <si>
    <t>No organisation type given</t>
  </si>
  <si>
    <t>Organisation type applicable</t>
  </si>
  <si>
    <t>Organisation type not specified.</t>
  </si>
  <si>
    <t>per individual budget post</t>
  </si>
  <si>
    <t>Research leave - max perc of NWO funding</t>
  </si>
  <si>
    <t>Research leave - max duration [eq. months]</t>
  </si>
  <si>
    <t>Min amount KU, % of NWO contribution</t>
  </si>
  <si>
    <t>Max amount KU, % of NWO contribution</t>
  </si>
  <si>
    <t>No category selected</t>
  </si>
  <si>
    <t>Hourly rate too high</t>
  </si>
  <si>
    <t>Pers other inst - no category selected</t>
  </si>
  <si>
    <t>No personnel category is selected.</t>
  </si>
  <si>
    <t>Pers other inst - hourly rate too high</t>
  </si>
  <si>
    <t>PDEng - combination with PhD or Postdoc</t>
  </si>
  <si>
    <t>PDEng - too long</t>
  </si>
  <si>
    <t>Postdoc - too short</t>
  </si>
  <si>
    <t>Postdoc - too long</t>
  </si>
  <si>
    <t>NSP - combination with PhD or PD</t>
  </si>
  <si>
    <t>NSP - exceeding max amount</t>
  </si>
  <si>
    <t>Maximum amount Non-Scientific Personnel</t>
  </si>
  <si>
    <t>Other scientific personnel - max amount exceeded</t>
  </si>
  <si>
    <t>OSP position- (equivalent) duration not long enough</t>
  </si>
  <si>
    <t>OSP position - (equivalent) duration too long</t>
  </si>
  <si>
    <t>Research leave - (equivalent) duration too long</t>
  </si>
  <si>
    <t>Research leave - total max amount exceeded</t>
  </si>
  <si>
    <t>NSP position- (equivalent) duration not long enough</t>
  </si>
  <si>
    <t>NSP position - (equivalent) duration too long</t>
  </si>
  <si>
    <t>Max (equiv) duration NSP position [months]</t>
  </si>
  <si>
    <t>Min (equiv) duration OSP position [months]</t>
  </si>
  <si>
    <t>Max (equiv) duration OSP position [months]</t>
  </si>
  <si>
    <t>Min (equiv) duration NSP position [months]</t>
  </si>
  <si>
    <t>Min (equiv.) duration PhD [months]</t>
  </si>
  <si>
    <t>Min (equiv.) duration 3-year PhD [months]</t>
  </si>
  <si>
    <t>Min (equiv.) duration PD [months]</t>
  </si>
  <si>
    <t>Max (equiv.) duration PD [months]</t>
  </si>
  <si>
    <t>Max (equiv.) duration PDEng [months]</t>
  </si>
  <si>
    <t>Research Leave - amount</t>
  </si>
  <si>
    <t>Costs specified</t>
  </si>
  <si>
    <t>Personnel ac - costs specified, but not relevant</t>
  </si>
  <si>
    <t>Costs are specified, but default rates apply.</t>
  </si>
  <si>
    <t>Minimal threshold NWO funding above which Proj Mngmt may be requested</t>
  </si>
  <si>
    <t>Cleanroom costs</t>
  </si>
  <si>
    <t>Material - amount too high</t>
  </si>
  <si>
    <t>Minimum total costs cleanroom (if &gt;€ 0)</t>
  </si>
  <si>
    <t xml:space="preserve">Maximum total costs cleanroom </t>
  </si>
  <si>
    <t>Material - cleanroom costs too low</t>
  </si>
  <si>
    <t>Material - cleanroom costs too high</t>
  </si>
  <si>
    <t>Investments - contribution KI too low (indiv budget posts)</t>
  </si>
  <si>
    <t>Investments - budget too low</t>
  </si>
  <si>
    <t>Remarks</t>
  </si>
  <si>
    <t>Name organisation</t>
  </si>
  <si>
    <t>Name org</t>
  </si>
  <si>
    <t>€/benchfee</t>
  </si>
  <si>
    <t>Combined notes per position - other institutes (2017 table)</t>
  </si>
  <si>
    <t>Combined notes per position - other institutes (2021 table)</t>
  </si>
  <si>
    <t>Pers other inst 2021 - no description provided</t>
  </si>
  <si>
    <t>No description provided.</t>
  </si>
  <si>
    <t xml:space="preserve">    </t>
  </si>
  <si>
    <t>Unit price or hourly rate</t>
  </si>
  <si>
    <t>Nr of units or Nr of hours</t>
  </si>
  <si>
    <t>Total amount of KU too low</t>
  </si>
  <si>
    <t>MfC personnel - no costs given for Other Scientific personnel</t>
  </si>
  <si>
    <t>MfC personnel - country not specified</t>
  </si>
  <si>
    <t>Provide country for this position.</t>
  </si>
  <si>
    <t>Combined notes per position - MfC academic personnel</t>
  </si>
  <si>
    <t>MfC personnel - no category provided</t>
  </si>
  <si>
    <t>Provide the category for this position.</t>
  </si>
  <si>
    <t>OSP - costs</t>
  </si>
  <si>
    <t>Country not specified</t>
  </si>
  <si>
    <t>Instruction</t>
  </si>
  <si>
    <t>Provide costs for this position.</t>
  </si>
  <si>
    <t>cost not relevant</t>
  </si>
  <si>
    <t>MfC personnel - costs specified but not applicable</t>
  </si>
  <si>
    <t>MfC personnel - organisation type not specified</t>
  </si>
  <si>
    <t>MfC personnel - organisation name not specified</t>
  </si>
  <si>
    <t>organisation type</t>
  </si>
  <si>
    <t>organisation name</t>
  </si>
  <si>
    <t>Organisation name applicable</t>
  </si>
  <si>
    <t>Combined notes cofunding</t>
  </si>
  <si>
    <t>too less - no threshold</t>
  </si>
  <si>
    <t>too less - incl threshold</t>
  </si>
  <si>
    <t>too much</t>
  </si>
  <si>
    <t>private part too low</t>
  </si>
  <si>
    <t>per position</t>
  </si>
  <si>
    <t>Check FTE*year by PhD, PD and PDEng for Material costs</t>
  </si>
  <si>
    <t>Maximum allowed requested amount /FTE /year PostDoc/PhD/PDEng</t>
  </si>
  <si>
    <t>Max amount KU</t>
  </si>
  <si>
    <t>Total amount of KU too high - %</t>
  </si>
  <si>
    <t>Total amount of KU too high - €</t>
  </si>
  <si>
    <t>Provide the number of positions for which a benchfee is requested.</t>
  </si>
  <si>
    <t>Nr of persons cannot be determined based on FTE</t>
  </si>
  <si>
    <t>pers other inst - too many hours for 1 year (exc 1 FTE)</t>
  </si>
  <si>
    <t>exceeding 1 FTE</t>
  </si>
  <si>
    <t>Required resources per organisation type (excl. investments by inst.)</t>
  </si>
  <si>
    <t>Name organisation not specified.</t>
  </si>
  <si>
    <t>No costs provided</t>
  </si>
  <si>
    <t>Specify costs for this position.</t>
  </si>
  <si>
    <t>No costs given</t>
  </si>
  <si>
    <t>No organisation name given</t>
  </si>
  <si>
    <t>Investments small - amount too high</t>
  </si>
  <si>
    <t>Investments large - amount too high</t>
  </si>
  <si>
    <t>Nr months not given</t>
  </si>
  <si>
    <t>Nr of months not provided.</t>
  </si>
  <si>
    <t>Pers other inst - months not given</t>
  </si>
  <si>
    <t>Nr of months not given</t>
  </si>
  <si>
    <t>No File number provided</t>
  </si>
  <si>
    <t>Project title not provided</t>
  </si>
  <si>
    <t>Project title is not provided.</t>
  </si>
  <si>
    <t>File number is not provided.</t>
  </si>
  <si>
    <t>Start date not provided</t>
  </si>
  <si>
    <t>End date not provided</t>
  </si>
  <si>
    <t>Combined notes start/end date</t>
  </si>
  <si>
    <t>start date missing</t>
  </si>
  <si>
    <t>end date missing</t>
  </si>
  <si>
    <t>start date before end date</t>
  </si>
  <si>
    <t>start date before now</t>
  </si>
  <si>
    <t>Start date not provided.</t>
  </si>
  <si>
    <t>End date not provided.</t>
  </si>
  <si>
    <t>Empty lines</t>
  </si>
  <si>
    <t>Empty row</t>
  </si>
  <si>
    <t>Allow empty lines in between budget posts</t>
  </si>
  <si>
    <t>if no: warning appears in Budget sheet with empty lines</t>
  </si>
  <si>
    <t>Empty line</t>
  </si>
  <si>
    <t>Hourly rate junior researcher</t>
  </si>
  <si>
    <t>Hourly rate senior researcher</t>
  </si>
  <si>
    <t>Combined notes in-kind cofunding</t>
  </si>
  <si>
    <t>No type co-funding</t>
  </si>
  <si>
    <t>No rate type</t>
  </si>
  <si>
    <t>No organisation type</t>
  </si>
  <si>
    <t>No organisation name</t>
  </si>
  <si>
    <t>In-kind - type of co-funding not specified</t>
  </si>
  <si>
    <t>Default hourly rates apply for in-kind?</t>
  </si>
  <si>
    <t>In-kind junior researcher rate too high</t>
  </si>
  <si>
    <t>In-kind senior researcher rate too high</t>
  </si>
  <si>
    <t>In-kind - type of rate not specified</t>
  </si>
  <si>
    <t>Exceeding rate</t>
  </si>
  <si>
    <t>Type rate given</t>
  </si>
  <si>
    <t>In-kind - Rate type not applicable</t>
  </si>
  <si>
    <t>Type rate specified, but not applicable for materials.</t>
  </si>
  <si>
    <t>yes: column to specify organisation type</t>
  </si>
  <si>
    <t>yes: column to provide organisation name</t>
  </si>
  <si>
    <t>Money follows Cooperation</t>
  </si>
  <si>
    <t>Total Internationalisation:</t>
  </si>
  <si>
    <t>Total Money follows Cooperation:</t>
  </si>
  <si>
    <t>Total Internationalisation</t>
  </si>
  <si>
    <t>Total Money follow Cooperation</t>
  </si>
  <si>
    <t>Total Knowledge Utilisation</t>
  </si>
  <si>
    <t>Provide 1 position per row.</t>
  </si>
  <si>
    <t>PhD - appointment too short</t>
  </si>
  <si>
    <t>PhD - appointment too long</t>
  </si>
  <si>
    <t>Max (equiv) duration PhD [months]</t>
  </si>
  <si>
    <t>PhD duration too small</t>
  </si>
  <si>
    <t>PhD too long</t>
  </si>
  <si>
    <t>Benchfee only for PhD, PD, PDENg + Industrial/Societal Doctorates</t>
  </si>
  <si>
    <t>Threshold amount investments for investment nature</t>
  </si>
  <si>
    <r>
      <t xml:space="preserve">Max NWO funding -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investment nature</t>
    </r>
  </si>
  <si>
    <r>
      <t xml:space="preserve">Max NWO funding -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investment nature</t>
    </r>
  </si>
  <si>
    <t>Finance Summary</t>
  </si>
  <si>
    <t>Association Private</t>
  </si>
  <si>
    <t>Association Public</t>
  </si>
  <si>
    <t>Foundation Private</t>
  </si>
  <si>
    <t>Foundation Public</t>
  </si>
  <si>
    <t>Healthcare organisation Private</t>
  </si>
  <si>
    <t>Healthcare organisation Public</t>
  </si>
  <si>
    <t>Other private</t>
  </si>
  <si>
    <t>Other public</t>
  </si>
  <si>
    <t>Total investments:</t>
  </si>
  <si>
    <t>Total knowledge utilisation:</t>
  </si>
  <si>
    <t>File number (filled in by NWO):</t>
  </si>
  <si>
    <t>UNL - PhD</t>
  </si>
  <si>
    <t>UNL - PDEng</t>
  </si>
  <si>
    <t>UNL - Postdoc</t>
  </si>
  <si>
    <t>UNL - Non-scientific personnel (MBO)</t>
  </si>
  <si>
    <t>UNL - Non-scientific personnel (HBO)</t>
  </si>
  <si>
    <t>UNL - Non-scientific personnel (WO)</t>
  </si>
  <si>
    <t>UNL &amp; NFU - Other scientific personnel</t>
  </si>
  <si>
    <t>provide FTE, months and amount.</t>
  </si>
  <si>
    <t>Notes on budget format:
  - Only the blue-marked fields should be filled in;
   - Provide in-cash amounts without VAT;
   - In case you do not have to pay VAT because of own appointments,
     VAT cannot be included in the budget;
  - You may wish to consult the instruction manual on this budget form,
     which can be found on the website of this call.</t>
  </si>
  <si>
    <t>The application of the MfR scheme in the specific case must not conflict with international and national sanction laws and regulations. www.sanctionsmap.eu is indicative in this regard</t>
  </si>
  <si>
    <t>Open Technology Programme 2024</t>
  </si>
  <si>
    <t>Name organisation2</t>
  </si>
  <si>
    <r>
      <t>Benchfee</t>
    </r>
    <r>
      <rPr>
        <sz val="10"/>
        <color theme="1"/>
        <rFont val="Calibri"/>
        <family val="2"/>
        <scheme val="minor"/>
      </rPr>
      <t xml:space="preserve"> (for PhD, Postdoc and PDEng)</t>
    </r>
  </si>
  <si>
    <t>% co-funding of total project budget minus treshhold of € 650.000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</si>
</sst>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€&quot;\ #,##0;&quot;€&quot;\ \-#,##0"/>
    <numFmt numFmtId="164" formatCode="&quot;€&quot;\ #,##0.00"/>
    <numFmt numFmtId="165" formatCode="&quot;€&quot;\ #,##0"/>
    <numFmt numFmtId="166" formatCode="0.0%"/>
    <numFmt numFmtId="167" formatCode="[$-413]d/mmm/yyyy;@"/>
    <numFmt numFmtId="168" formatCode="\ "/>
    <numFmt numFmtId="169" formatCode="0;\-0;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1356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CBDED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6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DEDF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14" fontId="5" fillId="3" borderId="2" xfId="0" applyNumberFormat="1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5" fillId="2" borderId="2" xfId="0" applyFont="1" applyFill="1" applyBorder="1" applyAlignment="1">
      <alignment vertical="center"/>
    </xf>
    <xf numFmtId="165" fontId="4" fillId="0" borderId="2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quotePrefix="1" applyFont="1" applyAlignment="1" applyProtection="1">
      <alignment vertical="center"/>
      <protection hidden="1"/>
    </xf>
    <xf numFmtId="0" fontId="5" fillId="6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vertical="top"/>
      <protection hidden="1"/>
    </xf>
    <xf numFmtId="0" fontId="4" fillId="0" borderId="12" xfId="0" applyFont="1" applyFill="1" applyBorder="1" applyAlignment="1" applyProtection="1">
      <alignment vertical="center"/>
      <protection hidden="1"/>
    </xf>
    <xf numFmtId="0" fontId="4" fillId="0" borderId="11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5" fillId="0" borderId="5" xfId="0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vertical="center"/>
      <protection hidden="1"/>
    </xf>
    <xf numFmtId="165" fontId="0" fillId="0" borderId="0" xfId="0" applyNumberFormat="1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0" borderId="0" xfId="0" applyNumberFormat="1" applyFont="1" applyAlignment="1" applyProtection="1">
      <alignment vertical="center"/>
      <protection hidden="1"/>
    </xf>
    <xf numFmtId="0" fontId="0" fillId="0" borderId="0" xfId="0" applyNumberFormat="1" applyFont="1" applyBorder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4" fillId="5" borderId="24" xfId="0" applyFont="1" applyFill="1" applyBorder="1" applyAlignment="1" applyProtection="1">
      <alignment vertical="center"/>
      <protection locked="0"/>
    </xf>
    <xf numFmtId="0" fontId="4" fillId="5" borderId="21" xfId="0" applyFont="1" applyFill="1" applyBorder="1" applyAlignment="1" applyProtection="1">
      <alignment vertical="center"/>
      <protection locked="0"/>
    </xf>
    <xf numFmtId="0" fontId="5" fillId="6" borderId="11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center" vertical="center"/>
    </xf>
    <xf numFmtId="0" fontId="4" fillId="5" borderId="21" xfId="0" applyFont="1" applyFill="1" applyBorder="1" applyAlignment="1" applyProtection="1">
      <alignment vertical="center"/>
      <protection locked="0"/>
    </xf>
    <xf numFmtId="165" fontId="4" fillId="0" borderId="33" xfId="0" applyNumberFormat="1" applyFont="1" applyBorder="1" applyAlignment="1" applyProtection="1">
      <alignment vertical="center"/>
      <protection hidden="1"/>
    </xf>
    <xf numFmtId="165" fontId="4" fillId="0" borderId="32" xfId="0" applyNumberFormat="1" applyFont="1" applyBorder="1" applyAlignment="1" applyProtection="1">
      <alignment vertical="center"/>
      <protection hidden="1"/>
    </xf>
    <xf numFmtId="0" fontId="5" fillId="0" borderId="5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4" fillId="5" borderId="25" xfId="0" applyFont="1" applyFill="1" applyBorder="1" applyAlignment="1" applyProtection="1">
      <alignment horizontal="left" vertical="center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15" fillId="0" borderId="9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>
      <alignment horizontal="center" vertical="center"/>
    </xf>
    <xf numFmtId="165" fontId="0" fillId="0" borderId="0" xfId="0" applyNumberFormat="1" applyFont="1" applyAlignment="1" applyProtection="1">
      <alignment horizontal="left" vertical="center"/>
      <protection hidden="1"/>
    </xf>
    <xf numFmtId="3" fontId="4" fillId="0" borderId="17" xfId="0" applyNumberFormat="1" applyFont="1" applyFill="1" applyBorder="1" applyAlignment="1" applyProtection="1">
      <alignment horizontal="center" vertical="center"/>
      <protection hidden="1"/>
    </xf>
    <xf numFmtId="3" fontId="4" fillId="0" borderId="20" xfId="0" applyNumberFormat="1" applyFont="1" applyFill="1" applyBorder="1" applyAlignment="1" applyProtection="1">
      <alignment horizontal="center" vertical="center"/>
      <protection hidden="1"/>
    </xf>
    <xf numFmtId="0" fontId="4" fillId="5" borderId="21" xfId="0" applyFont="1" applyFill="1" applyBorder="1" applyAlignment="1" applyProtection="1">
      <alignment horizontal="left" vertical="center"/>
      <protection locked="0"/>
    </xf>
    <xf numFmtId="0" fontId="4" fillId="5" borderId="19" xfId="0" applyFont="1" applyFill="1" applyBorder="1" applyAlignment="1" applyProtection="1">
      <alignment vertical="center"/>
      <protection locked="0"/>
    </xf>
    <xf numFmtId="0" fontId="4" fillId="5" borderId="21" xfId="0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hidden="1"/>
    </xf>
    <xf numFmtId="0" fontId="4" fillId="5" borderId="18" xfId="0" applyFont="1" applyFill="1" applyBorder="1" applyAlignment="1" applyProtection="1">
      <alignment vertical="center"/>
      <protection locked="0"/>
    </xf>
    <xf numFmtId="0" fontId="4" fillId="5" borderId="24" xfId="0" applyFont="1" applyFill="1" applyBorder="1" applyAlignment="1" applyProtection="1">
      <alignment vertical="center"/>
      <protection locked="0"/>
    </xf>
    <xf numFmtId="0" fontId="4" fillId="5" borderId="24" xfId="0" applyFont="1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6" fillId="5" borderId="36" xfId="0" applyFont="1" applyFill="1" applyBorder="1" applyAlignment="1" applyProtection="1">
      <alignment horizontal="left" vertical="center"/>
      <protection locked="0"/>
    </xf>
    <xf numFmtId="0" fontId="14" fillId="5" borderId="21" xfId="0" applyFont="1" applyFill="1" applyBorder="1" applyAlignment="1" applyProtection="1">
      <alignment vertical="center"/>
      <protection locked="0"/>
    </xf>
    <xf numFmtId="0" fontId="16" fillId="5" borderId="22" xfId="0" applyFont="1" applyFill="1" applyBorder="1" applyAlignment="1" applyProtection="1">
      <alignment vertical="center"/>
      <protection locked="0"/>
    </xf>
    <xf numFmtId="0" fontId="16" fillId="5" borderId="20" xfId="0" applyFont="1" applyFill="1" applyBorder="1" applyAlignment="1" applyProtection="1">
      <alignment vertical="center"/>
      <protection locked="0"/>
    </xf>
    <xf numFmtId="0" fontId="4" fillId="5" borderId="38" xfId="0" applyFont="1" applyFill="1" applyBorder="1" applyAlignment="1" applyProtection="1">
      <alignment horizontal="left" vertical="center"/>
      <protection locked="0"/>
    </xf>
    <xf numFmtId="2" fontId="4" fillId="5" borderId="17" xfId="0" applyNumberFormat="1" applyFont="1" applyFill="1" applyBorder="1" applyAlignment="1" applyProtection="1">
      <alignment horizontal="center" vertical="center"/>
      <protection locked="0"/>
    </xf>
    <xf numFmtId="2" fontId="4" fillId="5" borderId="20" xfId="0" applyNumberFormat="1" applyFont="1" applyFill="1" applyBorder="1" applyAlignment="1" applyProtection="1">
      <alignment horizontal="center" vertical="center"/>
      <protection locked="0"/>
    </xf>
    <xf numFmtId="1" fontId="4" fillId="5" borderId="17" xfId="0" applyNumberFormat="1" applyFont="1" applyFill="1" applyBorder="1" applyAlignment="1" applyProtection="1">
      <alignment horizontal="center" vertical="center"/>
      <protection locked="0"/>
    </xf>
    <xf numFmtId="1" fontId="4" fillId="5" borderId="20" xfId="0" applyNumberFormat="1" applyFont="1" applyFill="1" applyBorder="1" applyAlignment="1" applyProtection="1">
      <alignment horizontal="center" vertical="center"/>
      <protection locked="0"/>
    </xf>
    <xf numFmtId="0" fontId="4" fillId="5" borderId="24" xfId="0" applyFont="1" applyFill="1" applyBorder="1" applyAlignment="1" applyProtection="1">
      <alignment horizontal="left" vertical="center"/>
    </xf>
    <xf numFmtId="0" fontId="4" fillId="5" borderId="21" xfId="0" applyFont="1" applyFill="1" applyBorder="1" applyAlignment="1" applyProtection="1">
      <alignment horizontal="left" vertical="center"/>
    </xf>
    <xf numFmtId="0" fontId="4" fillId="5" borderId="22" xfId="0" applyFont="1" applyFill="1" applyBorder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  <protection hidden="1"/>
    </xf>
    <xf numFmtId="0" fontId="16" fillId="5" borderId="21" xfId="0" applyFont="1" applyFill="1" applyBorder="1" applyAlignment="1" applyProtection="1">
      <alignment horizontal="left" vertical="center"/>
    </xf>
    <xf numFmtId="0" fontId="16" fillId="5" borderId="36" xfId="0" applyFont="1" applyFill="1" applyBorder="1" applyAlignment="1" applyProtection="1">
      <alignment horizontal="left" vertical="center"/>
    </xf>
    <xf numFmtId="0" fontId="4" fillId="5" borderId="24" xfId="0" applyFont="1" applyFill="1" applyBorder="1" applyAlignment="1" applyProtection="1">
      <alignment vertical="center"/>
    </xf>
    <xf numFmtId="0" fontId="4" fillId="5" borderId="27" xfId="0" applyFont="1" applyFill="1" applyBorder="1" applyAlignment="1" applyProtection="1">
      <alignment vertical="center"/>
    </xf>
    <xf numFmtId="0" fontId="4" fillId="5" borderId="21" xfId="0" applyFont="1" applyFill="1" applyBorder="1" applyAlignment="1" applyProtection="1">
      <alignment vertical="center"/>
    </xf>
    <xf numFmtId="0" fontId="4" fillId="5" borderId="22" xfId="0" applyFont="1" applyFill="1" applyBorder="1" applyAlignment="1" applyProtection="1">
      <alignment vertical="center"/>
    </xf>
    <xf numFmtId="0" fontId="4" fillId="5" borderId="24" xfId="0" applyFont="1" applyFill="1" applyBorder="1" applyAlignment="1" applyProtection="1">
      <alignment vertical="center"/>
      <protection hidden="1"/>
    </xf>
    <xf numFmtId="0" fontId="4" fillId="5" borderId="27" xfId="0" applyFont="1" applyFill="1" applyBorder="1" applyAlignment="1" applyProtection="1">
      <alignment vertical="center"/>
      <protection hidden="1"/>
    </xf>
    <xf numFmtId="0" fontId="4" fillId="5" borderId="21" xfId="0" applyFont="1" applyFill="1" applyBorder="1" applyAlignment="1" applyProtection="1">
      <alignment vertical="center"/>
      <protection hidden="1"/>
    </xf>
    <xf numFmtId="0" fontId="4" fillId="5" borderId="22" xfId="0" applyFont="1" applyFill="1" applyBorder="1" applyAlignment="1" applyProtection="1">
      <alignment vertical="center"/>
      <protection hidden="1"/>
    </xf>
    <xf numFmtId="0" fontId="4" fillId="5" borderId="36" xfId="0" applyFont="1" applyFill="1" applyBorder="1" applyAlignment="1" applyProtection="1">
      <alignment vertical="center"/>
      <protection hidden="1"/>
    </xf>
    <xf numFmtId="0" fontId="14" fillId="5" borderId="21" xfId="0" applyFont="1" applyFill="1" applyBorder="1" applyAlignment="1" applyProtection="1">
      <alignment vertical="center"/>
      <protection hidden="1"/>
    </xf>
    <xf numFmtId="0" fontId="4" fillId="0" borderId="5" xfId="0" applyFont="1" applyFill="1" applyBorder="1" applyAlignment="1" applyProtection="1">
      <alignment horizontal="center" vertical="center"/>
      <protection hidden="1"/>
    </xf>
    <xf numFmtId="0" fontId="2" fillId="0" borderId="0" xfId="0" applyNumberFormat="1" applyFont="1" applyBorder="1" applyAlignment="1" applyProtection="1">
      <alignment vertical="center"/>
      <protection hidden="1"/>
    </xf>
    <xf numFmtId="0" fontId="4" fillId="5" borderId="26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hidden="1"/>
    </xf>
    <xf numFmtId="165" fontId="4" fillId="5" borderId="18" xfId="0" applyNumberFormat="1" applyFont="1" applyFill="1" applyBorder="1" applyAlignment="1" applyProtection="1">
      <alignment vertical="center"/>
      <protection locked="0"/>
    </xf>
    <xf numFmtId="165" fontId="4" fillId="5" borderId="39" xfId="0" applyNumberFormat="1" applyFont="1" applyFill="1" applyBorder="1" applyAlignment="1" applyProtection="1">
      <alignment vertical="center"/>
      <protection locked="0"/>
    </xf>
    <xf numFmtId="165" fontId="4" fillId="5" borderId="19" xfId="0" applyNumberFormat="1" applyFont="1" applyFill="1" applyBorder="1" applyAlignment="1" applyProtection="1">
      <alignment vertical="center"/>
      <protection locked="0"/>
    </xf>
    <xf numFmtId="3" fontId="4" fillId="5" borderId="27" xfId="0" applyNumberFormat="1" applyFont="1" applyFill="1" applyBorder="1" applyAlignment="1" applyProtection="1">
      <alignment horizontal="center" vertical="center"/>
      <protection locked="0"/>
    </xf>
    <xf numFmtId="3" fontId="4" fillId="5" borderId="22" xfId="0" applyNumberFormat="1" applyFont="1" applyFill="1" applyBorder="1" applyAlignment="1" applyProtection="1">
      <alignment horizontal="center" vertical="center"/>
      <protection locked="0"/>
    </xf>
    <xf numFmtId="4" fontId="4" fillId="0" borderId="17" xfId="0" applyNumberFormat="1" applyFont="1" applyFill="1" applyBorder="1" applyAlignment="1" applyProtection="1">
      <alignment horizontal="center" vertical="center"/>
      <protection hidden="1"/>
    </xf>
    <xf numFmtId="4" fontId="4" fillId="0" borderId="20" xfId="0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Font="1" applyAlignment="1" applyProtection="1">
      <alignment horizontal="left" vertical="center"/>
      <protection hidden="1"/>
    </xf>
    <xf numFmtId="0" fontId="4" fillId="0" borderId="35" xfId="0" applyFont="1" applyFill="1" applyBorder="1" applyAlignment="1" applyProtection="1">
      <alignment horizontal="left" vertical="center"/>
      <protection hidden="1"/>
    </xf>
    <xf numFmtId="2" fontId="4" fillId="5" borderId="34" xfId="0" applyNumberFormat="1" applyFont="1" applyFill="1" applyBorder="1" applyAlignment="1" applyProtection="1">
      <alignment horizontal="center" vertical="center"/>
      <protection locked="0"/>
    </xf>
    <xf numFmtId="2" fontId="16" fillId="5" borderId="20" xfId="0" applyNumberFormat="1" applyFont="1" applyFill="1" applyBorder="1" applyAlignment="1" applyProtection="1">
      <alignment horizontal="center" vertical="center"/>
      <protection locked="0"/>
    </xf>
    <xf numFmtId="1" fontId="4" fillId="5" borderId="34" xfId="0" applyNumberFormat="1" applyFont="1" applyFill="1" applyBorder="1" applyAlignment="1" applyProtection="1">
      <alignment horizontal="center" vertical="center"/>
      <protection locked="0"/>
    </xf>
    <xf numFmtId="1" fontId="16" fillId="5" borderId="20" xfId="0" applyNumberFormat="1" applyFont="1" applyFill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>
      <alignment horizontal="center" vertical="center"/>
    </xf>
    <xf numFmtId="165" fontId="14" fillId="5" borderId="19" xfId="0" applyNumberFormat="1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65" fontId="4" fillId="5" borderId="33" xfId="0" applyNumberFormat="1" applyFont="1" applyFill="1" applyBorder="1" applyAlignment="1" applyProtection="1">
      <alignment vertical="center"/>
      <protection locked="0"/>
    </xf>
    <xf numFmtId="165" fontId="4" fillId="5" borderId="32" xfId="0" applyNumberFormat="1" applyFont="1" applyFill="1" applyBorder="1" applyAlignment="1" applyProtection="1">
      <alignment vertical="center"/>
      <protection locked="0"/>
    </xf>
    <xf numFmtId="165" fontId="4" fillId="5" borderId="41" xfId="0" applyNumberFormat="1" applyFont="1" applyFill="1" applyBorder="1" applyAlignment="1" applyProtection="1">
      <alignment vertical="center"/>
      <protection locked="0"/>
    </xf>
    <xf numFmtId="165" fontId="16" fillId="5" borderId="32" xfId="0" applyNumberFormat="1" applyFont="1" applyFill="1" applyBorder="1" applyAlignment="1" applyProtection="1">
      <alignment vertical="center"/>
      <protection locked="0"/>
    </xf>
    <xf numFmtId="14" fontId="0" fillId="0" borderId="0" xfId="0" applyNumberFormat="1" applyFont="1" applyAlignment="1" applyProtection="1">
      <alignment horizontal="left" vertical="center"/>
      <protection hidden="1"/>
    </xf>
    <xf numFmtId="1" fontId="0" fillId="0" borderId="0" xfId="0" applyNumberFormat="1" applyFont="1" applyAlignment="1" applyProtection="1">
      <alignment horizontal="left" vertical="center"/>
      <protection hidden="1"/>
    </xf>
    <xf numFmtId="9" fontId="0" fillId="0" borderId="0" xfId="0" applyNumberFormat="1" applyFont="1" applyAlignment="1" applyProtection="1">
      <alignment horizontal="left" vertical="center"/>
      <protection hidden="1"/>
    </xf>
    <xf numFmtId="165" fontId="0" fillId="0" borderId="16" xfId="0" applyNumberFormat="1" applyFont="1" applyBorder="1" applyAlignment="1" applyProtection="1">
      <alignment vertical="center"/>
      <protection hidden="1"/>
    </xf>
    <xf numFmtId="165" fontId="0" fillId="0" borderId="40" xfId="0" applyNumberFormat="1" applyFont="1" applyBorder="1" applyAlignment="1" applyProtection="1">
      <alignment vertical="center"/>
      <protection hidden="1"/>
    </xf>
    <xf numFmtId="165" fontId="0" fillId="0" borderId="45" xfId="0" applyNumberFormat="1" applyFont="1" applyBorder="1" applyAlignment="1" applyProtection="1">
      <alignment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4" fontId="0" fillId="0" borderId="16" xfId="0" applyNumberFormat="1" applyFont="1" applyBorder="1" applyAlignment="1" applyProtection="1">
      <alignment vertical="center"/>
      <protection hidden="1"/>
    </xf>
    <xf numFmtId="4" fontId="0" fillId="0" borderId="40" xfId="0" applyNumberFormat="1" applyFont="1" applyBorder="1" applyAlignment="1" applyProtection="1">
      <alignment vertical="center"/>
      <protection hidden="1"/>
    </xf>
    <xf numFmtId="4" fontId="0" fillId="0" borderId="45" xfId="0" applyNumberFormat="1" applyFont="1" applyBorder="1" applyAlignment="1" applyProtection="1">
      <alignment vertical="center"/>
      <protection hidden="1"/>
    </xf>
    <xf numFmtId="165" fontId="5" fillId="0" borderId="2" xfId="0" applyNumberFormat="1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vertical="center"/>
    </xf>
    <xf numFmtId="0" fontId="4" fillId="3" borderId="5" xfId="0" applyFont="1" applyFill="1" applyBorder="1" applyAlignment="1" applyProtection="1">
      <alignment vertical="center"/>
    </xf>
    <xf numFmtId="0" fontId="0" fillId="0" borderId="0" xfId="0" applyFont="1" applyAlignment="1" applyProtection="1">
      <alignment vertical="center" wrapText="1"/>
      <protection hidden="1"/>
    </xf>
    <xf numFmtId="165" fontId="0" fillId="0" borderId="0" xfId="0" applyNumberFormat="1" applyFont="1" applyAlignment="1" applyProtection="1">
      <alignment horizontal="left" vertical="top"/>
      <protection hidden="1"/>
    </xf>
    <xf numFmtId="0" fontId="17" fillId="0" borderId="0" xfId="0" applyFont="1" applyAlignment="1" applyProtection="1">
      <alignment vertical="center" wrapText="1"/>
      <protection hidden="1"/>
    </xf>
    <xf numFmtId="165" fontId="4" fillId="5" borderId="34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  <protection hidden="1"/>
    </xf>
    <xf numFmtId="165" fontId="4" fillId="0" borderId="17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Font="1" applyBorder="1" applyAlignment="1" applyProtection="1">
      <alignment horizontal="left" vertical="center"/>
      <protection hidden="1"/>
    </xf>
    <xf numFmtId="0" fontId="0" fillId="0" borderId="43" xfId="0" applyFont="1" applyBorder="1" applyAlignment="1" applyProtection="1">
      <alignment horizontal="left" vertical="center"/>
      <protection hidden="1"/>
    </xf>
    <xf numFmtId="0" fontId="0" fillId="0" borderId="44" xfId="0" applyFont="1" applyBorder="1" applyAlignment="1" applyProtection="1">
      <alignment horizontal="left" vertical="center"/>
      <protection hidden="1"/>
    </xf>
    <xf numFmtId="4" fontId="2" fillId="0" borderId="0" xfId="0" applyNumberFormat="1" applyFont="1" applyAlignment="1" applyProtection="1">
      <alignment vertical="center"/>
      <protection hidden="1"/>
    </xf>
    <xf numFmtId="165" fontId="2" fillId="0" borderId="0" xfId="0" applyNumberFormat="1" applyFont="1" applyAlignment="1" applyProtection="1">
      <alignment vertical="center"/>
      <protection hidden="1"/>
    </xf>
    <xf numFmtId="3" fontId="0" fillId="0" borderId="16" xfId="0" applyNumberFormat="1" applyFont="1" applyBorder="1" applyAlignment="1" applyProtection="1">
      <alignment vertical="center"/>
      <protection hidden="1"/>
    </xf>
    <xf numFmtId="3" fontId="0" fillId="0" borderId="40" xfId="0" applyNumberFormat="1" applyFont="1" applyBorder="1" applyAlignment="1" applyProtection="1">
      <alignment vertical="center"/>
      <protection hidden="1"/>
    </xf>
    <xf numFmtId="3" fontId="0" fillId="0" borderId="45" xfId="0" applyNumberFormat="1" applyFont="1" applyBorder="1" applyAlignment="1" applyProtection="1">
      <alignment vertical="center"/>
      <protection hidden="1"/>
    </xf>
    <xf numFmtId="0" fontId="12" fillId="0" borderId="0" xfId="0" applyFont="1" applyAlignment="1">
      <alignment vertical="center"/>
    </xf>
    <xf numFmtId="4" fontId="0" fillId="0" borderId="0" xfId="0" applyNumberFormat="1" applyFont="1" applyBorder="1" applyAlignment="1" applyProtection="1">
      <alignment vertical="center"/>
      <protection hidden="1"/>
    </xf>
    <xf numFmtId="0" fontId="0" fillId="0" borderId="14" xfId="0" applyFont="1" applyFill="1" applyBorder="1" applyAlignment="1" applyProtection="1">
      <alignment horizontal="left" vertical="center"/>
      <protection hidden="1"/>
    </xf>
    <xf numFmtId="0" fontId="0" fillId="0" borderId="43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0" fillId="0" borderId="0" xfId="0" applyNumberFormat="1" applyFont="1" applyFill="1" applyAlignment="1" applyProtection="1">
      <alignment vertical="center"/>
      <protection hidden="1"/>
    </xf>
    <xf numFmtId="4" fontId="0" fillId="0" borderId="16" xfId="0" applyNumberFormat="1" applyFont="1" applyFill="1" applyBorder="1" applyAlignment="1" applyProtection="1">
      <alignment vertical="center"/>
      <protection hidden="1"/>
    </xf>
    <xf numFmtId="4" fontId="0" fillId="0" borderId="40" xfId="0" applyNumberFormat="1" applyFont="1" applyFill="1" applyBorder="1" applyAlignment="1" applyProtection="1">
      <alignment vertical="center"/>
      <protection hidden="1"/>
    </xf>
    <xf numFmtId="0" fontId="0" fillId="0" borderId="44" xfId="0" applyFont="1" applyFill="1" applyBorder="1" applyAlignment="1" applyProtection="1">
      <alignment horizontal="left" vertical="center"/>
      <protection hidden="1"/>
    </xf>
    <xf numFmtId="4" fontId="0" fillId="0" borderId="45" xfId="0" applyNumberFormat="1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top" wrapText="1"/>
      <protection hidden="1"/>
    </xf>
    <xf numFmtId="4" fontId="0" fillId="0" borderId="0" xfId="0" applyNumberFormat="1" applyFont="1" applyAlignment="1" applyProtection="1">
      <alignment horizontal="left" vertical="top"/>
      <protection hidden="1"/>
    </xf>
    <xf numFmtId="0" fontId="0" fillId="0" borderId="0" xfId="0" applyFont="1" applyAlignment="1" applyProtection="1">
      <alignment horizontal="left" vertical="top"/>
      <protection hidden="1"/>
    </xf>
    <xf numFmtId="0" fontId="5" fillId="0" borderId="5" xfId="0" applyFont="1" applyBorder="1" applyAlignment="1">
      <alignment vertical="center"/>
    </xf>
    <xf numFmtId="0" fontId="4" fillId="5" borderId="36" xfId="0" applyFont="1" applyFill="1" applyBorder="1" applyAlignment="1" applyProtection="1">
      <alignment horizontal="left" vertical="center"/>
    </xf>
    <xf numFmtId="1" fontId="4" fillId="5" borderId="36" xfId="0" applyNumberFormat="1" applyFont="1" applyFill="1" applyBorder="1" applyAlignment="1" applyProtection="1">
      <alignment horizontal="center" vertical="center"/>
    </xf>
    <xf numFmtId="1" fontId="4" fillId="5" borderId="21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8" fillId="0" borderId="13" xfId="2" quotePrefix="1" applyFont="1" applyBorder="1" applyAlignment="1" applyProtection="1">
      <alignment vertical="center" wrapText="1"/>
      <protection hidden="1"/>
    </xf>
    <xf numFmtId="0" fontId="7" fillId="0" borderId="0" xfId="0" applyFont="1" applyFill="1" applyBorder="1" applyAlignment="1" applyProtection="1">
      <alignment vertical="top"/>
    </xf>
    <xf numFmtId="167" fontId="4" fillId="5" borderId="2" xfId="0" applyNumberFormat="1" applyFont="1" applyFill="1" applyBorder="1" applyAlignment="1" applyProtection="1">
      <alignment vertical="center"/>
      <protection locked="0"/>
    </xf>
    <xf numFmtId="166" fontId="4" fillId="0" borderId="2" xfId="1" applyNumberFormat="1" applyFont="1" applyFill="1" applyBorder="1" applyAlignment="1" applyProtection="1">
      <alignment horizontal="right" vertical="center"/>
      <protection hidden="1"/>
    </xf>
    <xf numFmtId="0" fontId="0" fillId="8" borderId="0" xfId="0" applyFill="1"/>
    <xf numFmtId="3" fontId="0" fillId="8" borderId="0" xfId="0" applyNumberFormat="1" applyFill="1"/>
    <xf numFmtId="3" fontId="0" fillId="8" borderId="0" xfId="0" applyNumberFormat="1" applyFill="1" applyAlignment="1">
      <alignment horizontal="right"/>
    </xf>
    <xf numFmtId="1" fontId="0" fillId="8" borderId="0" xfId="0" applyNumberFormat="1" applyFill="1" applyAlignment="1">
      <alignment horizontal="left"/>
    </xf>
    <xf numFmtId="0" fontId="4" fillId="8" borderId="0" xfId="0" applyFont="1" applyFill="1" applyBorder="1"/>
    <xf numFmtId="0" fontId="21" fillId="8" borderId="0" xfId="0" applyFont="1" applyFill="1"/>
    <xf numFmtId="0" fontId="21" fillId="8" borderId="0" xfId="0" applyFont="1" applyFill="1" applyBorder="1"/>
    <xf numFmtId="165" fontId="21" fillId="8" borderId="0" xfId="0" applyNumberFormat="1" applyFont="1" applyFill="1" applyBorder="1"/>
    <xf numFmtId="165" fontId="0" fillId="8" borderId="0" xfId="0" applyNumberFormat="1" applyFill="1"/>
    <xf numFmtId="165" fontId="21" fillId="8" borderId="0" xfId="0" applyNumberFormat="1" applyFont="1" applyFill="1" applyAlignment="1">
      <alignment horizontal="right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4" fillId="0" borderId="38" xfId="0" applyNumberFormat="1" applyFont="1" applyFill="1" applyBorder="1" applyAlignment="1" applyProtection="1">
      <alignment horizontal="left" vertical="center"/>
      <protection hidden="1"/>
    </xf>
    <xf numFmtId="0" fontId="4" fillId="0" borderId="23" xfId="0" applyNumberFormat="1" applyFont="1" applyFill="1" applyBorder="1" applyAlignment="1" applyProtection="1">
      <alignment horizontal="left" vertical="center"/>
      <protection hidden="1"/>
    </xf>
    <xf numFmtId="0" fontId="13" fillId="7" borderId="31" xfId="0" applyFont="1" applyFill="1" applyBorder="1" applyAlignment="1" applyProtection="1">
      <alignment vertical="center"/>
      <protection hidden="1"/>
    </xf>
    <xf numFmtId="0" fontId="13" fillId="7" borderId="0" xfId="0" applyFont="1" applyFill="1" applyBorder="1" applyAlignment="1" applyProtection="1">
      <alignment horizontal="right" vertical="center"/>
      <protection hidden="1"/>
    </xf>
    <xf numFmtId="165" fontId="0" fillId="0" borderId="0" xfId="0" applyNumberFormat="1" applyFont="1" applyFill="1" applyBorder="1" applyAlignment="1" applyProtection="1">
      <alignment vertical="center"/>
      <protection hidden="1"/>
    </xf>
    <xf numFmtId="165" fontId="0" fillId="0" borderId="0" xfId="0" applyNumberFormat="1" applyFont="1" applyFill="1" applyAlignment="1" applyProtection="1">
      <alignment vertical="center"/>
      <protection hidden="1"/>
    </xf>
    <xf numFmtId="0" fontId="0" fillId="0" borderId="0" xfId="0" applyFill="1" applyProtection="1"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17" fillId="0" borderId="0" xfId="0" applyFont="1" applyFill="1" applyBorder="1" applyAlignment="1" applyProtection="1">
      <alignment vertical="center"/>
      <protection hidden="1"/>
    </xf>
    <xf numFmtId="0" fontId="11" fillId="0" borderId="0" xfId="0" applyNumberFormat="1" applyFont="1" applyBorder="1" applyAlignment="1" applyProtection="1">
      <alignment horizontal="left" vertical="center"/>
      <protection hidden="1"/>
    </xf>
    <xf numFmtId="165" fontId="0" fillId="0" borderId="0" xfId="0" applyNumberFormat="1" applyBorder="1" applyAlignment="1" applyProtection="1">
      <alignment horizontal="left" vertical="center"/>
      <protection hidden="1"/>
    </xf>
    <xf numFmtId="165" fontId="11" fillId="0" borderId="0" xfId="0" applyNumberFormat="1" applyFont="1" applyBorder="1" applyAlignment="1" applyProtection="1">
      <alignment horizontal="left" vertical="center"/>
      <protection hidden="1"/>
    </xf>
    <xf numFmtId="0" fontId="3" fillId="0" borderId="0" xfId="2" applyAlignment="1" applyProtection="1">
      <alignment vertical="top"/>
      <protection hidden="1"/>
    </xf>
    <xf numFmtId="0" fontId="3" fillId="0" borderId="0" xfId="2" applyProtection="1">
      <protection hidden="1"/>
    </xf>
    <xf numFmtId="0" fontId="2" fillId="0" borderId="0" xfId="0" applyFont="1" applyProtection="1">
      <protection hidden="1"/>
    </xf>
    <xf numFmtId="166" fontId="2" fillId="0" borderId="0" xfId="0" applyNumberFormat="1" applyFont="1" applyProtection="1">
      <protection hidden="1"/>
    </xf>
    <xf numFmtId="0" fontId="0" fillId="0" borderId="0" xfId="0" applyFont="1" applyProtection="1">
      <protection hidden="1"/>
    </xf>
    <xf numFmtId="0" fontId="19" fillId="0" borderId="0" xfId="0" applyFont="1" applyProtection="1">
      <protection hidden="1"/>
    </xf>
    <xf numFmtId="166" fontId="0" fillId="0" borderId="0" xfId="0" applyNumberFormat="1" applyFont="1" applyProtection="1">
      <protection hidden="1"/>
    </xf>
    <xf numFmtId="0" fontId="18" fillId="0" borderId="0" xfId="0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0" fontId="18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17" fillId="0" borderId="0" xfId="0" applyFont="1" applyProtection="1">
      <protection hidden="1"/>
    </xf>
    <xf numFmtId="0" fontId="0" fillId="0" borderId="33" xfId="0" applyFill="1" applyBorder="1" applyAlignment="1" applyProtection="1">
      <alignment horizontal="left" vertical="center"/>
      <protection hidden="1"/>
    </xf>
    <xf numFmtId="0" fontId="0" fillId="0" borderId="32" xfId="0" applyFill="1" applyBorder="1" applyAlignment="1" applyProtection="1">
      <alignment horizontal="left" vertical="center"/>
      <protection hidden="1"/>
    </xf>
    <xf numFmtId="0" fontId="0" fillId="0" borderId="0" xfId="0" applyNumberFormat="1" applyFont="1" applyBorder="1" applyAlignment="1" applyProtection="1">
      <alignment vertical="center" wrapText="1"/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165" fontId="0" fillId="0" borderId="14" xfId="0" applyNumberFormat="1" applyBorder="1" applyProtection="1">
      <protection hidden="1"/>
    </xf>
    <xf numFmtId="165" fontId="0" fillId="0" borderId="16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Protection="1">
      <protection hidden="1"/>
    </xf>
    <xf numFmtId="165" fontId="0" fillId="0" borderId="43" xfId="0" applyNumberFormat="1" applyBorder="1" applyProtection="1">
      <protection hidden="1"/>
    </xf>
    <xf numFmtId="165" fontId="0" fillId="0" borderId="40" xfId="0" applyNumberFormat="1" applyBorder="1" applyProtection="1">
      <protection hidden="1"/>
    </xf>
    <xf numFmtId="0" fontId="0" fillId="0" borderId="1" xfId="0" applyBorder="1" applyProtection="1">
      <protection hidden="1"/>
    </xf>
    <xf numFmtId="165" fontId="0" fillId="0" borderId="44" xfId="0" applyNumberFormat="1" applyBorder="1" applyProtection="1">
      <protection hidden="1"/>
    </xf>
    <xf numFmtId="165" fontId="0" fillId="0" borderId="45" xfId="0" applyNumberFormat="1" applyBorder="1" applyProtection="1">
      <protection hidden="1"/>
    </xf>
    <xf numFmtId="3" fontId="2" fillId="0" borderId="0" xfId="0" applyNumberFormat="1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5" fontId="2" fillId="0" borderId="0" xfId="0" applyNumberFormat="1" applyFont="1" applyProtection="1">
      <protection hidden="1"/>
    </xf>
    <xf numFmtId="0" fontId="0" fillId="0" borderId="0" xfId="0" applyFont="1" applyAlignment="1" applyProtection="1">
      <alignment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17" fillId="0" borderId="0" xfId="0" applyFont="1" applyAlignment="1" applyProtection="1">
      <alignment vertical="top" wrapText="1"/>
      <protection hidden="1"/>
    </xf>
    <xf numFmtId="0" fontId="0" fillId="0" borderId="0" xfId="0" applyNumberFormat="1" applyProtection="1"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165" fontId="4" fillId="0" borderId="2" xfId="0" applyNumberFormat="1" applyFont="1" applyBorder="1" applyAlignment="1" applyProtection="1">
      <alignment horizontal="right" vertical="center"/>
      <protection hidden="1"/>
    </xf>
    <xf numFmtId="10" fontId="4" fillId="0" borderId="2" xfId="0" applyNumberFormat="1" applyFont="1" applyBorder="1" applyAlignment="1" applyProtection="1">
      <alignment horizontal="right" vertical="center"/>
      <protection hidden="1"/>
    </xf>
    <xf numFmtId="0" fontId="17" fillId="8" borderId="0" xfId="0" applyFont="1" applyFill="1"/>
    <xf numFmtId="0" fontId="5" fillId="3" borderId="2" xfId="0" applyFont="1" applyFill="1" applyBorder="1" applyAlignment="1">
      <alignment horizontal="right"/>
    </xf>
    <xf numFmtId="3" fontId="5" fillId="3" borderId="2" xfId="0" applyNumberFormat="1" applyFont="1" applyFill="1" applyBorder="1" applyAlignment="1">
      <alignment horizontal="right"/>
    </xf>
    <xf numFmtId="0" fontId="17" fillId="8" borderId="0" xfId="0" applyFont="1" applyFill="1" applyBorder="1"/>
    <xf numFmtId="0" fontId="0" fillId="0" borderId="0" xfId="0" applyBorder="1"/>
    <xf numFmtId="0" fontId="0" fillId="8" borderId="0" xfId="0" applyFill="1" applyBorder="1" applyAlignment="1">
      <alignment wrapText="1"/>
    </xf>
    <xf numFmtId="0" fontId="5" fillId="8" borderId="46" xfId="0" applyFont="1" applyFill="1" applyBorder="1"/>
    <xf numFmtId="165" fontId="5" fillId="8" borderId="46" xfId="0" applyNumberFormat="1" applyFont="1" applyFill="1" applyBorder="1" applyAlignment="1">
      <alignment horizontal="left" vertical="top"/>
    </xf>
    <xf numFmtId="0" fontId="0" fillId="8" borderId="0" xfId="0" applyFill="1" applyBorder="1"/>
    <xf numFmtId="0" fontId="6" fillId="8" borderId="42" xfId="0" quotePrefix="1" applyFont="1" applyFill="1" applyBorder="1" applyAlignment="1">
      <alignment horizontal="right"/>
    </xf>
    <xf numFmtId="165" fontId="6" fillId="8" borderId="42" xfId="0" applyNumberFormat="1" applyFont="1" applyFill="1" applyBorder="1"/>
    <xf numFmtId="0" fontId="5" fillId="8" borderId="32" xfId="0" applyFont="1" applyFill="1" applyBorder="1"/>
    <xf numFmtId="165" fontId="5" fillId="8" borderId="32" xfId="0" applyNumberFormat="1" applyFont="1" applyFill="1" applyBorder="1" applyAlignment="1">
      <alignment horizontal="left"/>
    </xf>
    <xf numFmtId="0" fontId="10" fillId="3" borderId="2" xfId="0" applyFont="1" applyFill="1" applyBorder="1" applyAlignment="1"/>
    <xf numFmtId="165" fontId="10" fillId="3" borderId="2" xfId="0" applyNumberFormat="1" applyFont="1" applyFill="1" applyBorder="1" applyAlignment="1">
      <alignment horizontal="left"/>
    </xf>
    <xf numFmtId="0" fontId="5" fillId="4" borderId="2" xfId="0" applyFont="1" applyFill="1" applyBorder="1"/>
    <xf numFmtId="165" fontId="5" fillId="4" borderId="2" xfId="0" applyNumberFormat="1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5" fontId="4" fillId="8" borderId="0" xfId="0" applyNumberFormat="1" applyFont="1" applyFill="1" applyBorder="1"/>
    <xf numFmtId="0" fontId="4" fillId="0" borderId="42" xfId="0" applyFont="1" applyFill="1" applyBorder="1"/>
    <xf numFmtId="165" fontId="4" fillId="0" borderId="42" xfId="0" applyNumberFormat="1" applyFont="1" applyFill="1" applyBorder="1" applyAlignment="1">
      <alignment horizontal="left" vertical="center"/>
    </xf>
    <xf numFmtId="0" fontId="4" fillId="8" borderId="42" xfId="0" applyFont="1" applyFill="1" applyBorder="1"/>
    <xf numFmtId="165" fontId="4" fillId="8" borderId="42" xfId="0" applyNumberFormat="1" applyFont="1" applyFill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165" fontId="4" fillId="0" borderId="42" xfId="0" applyNumberFormat="1" applyFont="1" applyBorder="1" applyAlignment="1">
      <alignment horizontal="left" vertical="center"/>
    </xf>
    <xf numFmtId="0" fontId="6" fillId="8" borderId="47" xfId="0" quotePrefix="1" applyFont="1" applyFill="1" applyBorder="1" applyAlignment="1">
      <alignment horizontal="right"/>
    </xf>
    <xf numFmtId="165" fontId="6" fillId="8" borderId="47" xfId="0" applyNumberFormat="1" applyFont="1" applyFill="1" applyBorder="1" applyAlignment="1">
      <alignment horizontal="right"/>
    </xf>
    <xf numFmtId="165" fontId="6" fillId="0" borderId="47" xfId="0" applyNumberFormat="1" applyFont="1" applyBorder="1" applyAlignment="1">
      <alignment horizontal="right"/>
    </xf>
    <xf numFmtId="0" fontId="4" fillId="8" borderId="47" xfId="0" applyFont="1" applyFill="1" applyBorder="1" applyAlignment="1">
      <alignment horizontal="left"/>
    </xf>
    <xf numFmtId="165" fontId="4" fillId="8" borderId="47" xfId="0" applyNumberFormat="1" applyFont="1" applyFill="1" applyBorder="1" applyAlignment="1">
      <alignment horizontal="right"/>
    </xf>
    <xf numFmtId="165" fontId="4" fillId="0" borderId="47" xfId="0" applyNumberFormat="1" applyFont="1" applyBorder="1" applyAlignment="1">
      <alignment horizontal="right"/>
    </xf>
    <xf numFmtId="0" fontId="5" fillId="3" borderId="2" xfId="0" applyFont="1" applyFill="1" applyBorder="1"/>
    <xf numFmtId="165" fontId="5" fillId="8" borderId="2" xfId="0" applyNumberFormat="1" applyFont="1" applyFill="1" applyBorder="1"/>
    <xf numFmtId="0" fontId="4" fillId="0" borderId="0" xfId="0" applyFont="1"/>
    <xf numFmtId="165" fontId="17" fillId="8" borderId="0" xfId="0" applyNumberFormat="1" applyFont="1" applyFill="1" applyBorder="1"/>
    <xf numFmtId="0" fontId="17" fillId="0" borderId="0" xfId="0" applyFont="1" applyFill="1" applyBorder="1"/>
    <xf numFmtId="0" fontId="5" fillId="9" borderId="10" xfId="0" applyFont="1" applyFill="1" applyBorder="1" applyAlignment="1">
      <alignment wrapText="1"/>
    </xf>
    <xf numFmtId="3" fontId="5" fillId="9" borderId="10" xfId="0" applyNumberFormat="1" applyFont="1" applyFill="1" applyBorder="1" applyAlignment="1">
      <alignment horizontal="left" vertical="top" wrapText="1"/>
    </xf>
    <xf numFmtId="0" fontId="13" fillId="7" borderId="48" xfId="0" applyFont="1" applyFill="1" applyBorder="1"/>
    <xf numFmtId="0" fontId="13" fillId="7" borderId="49" xfId="0" applyFont="1" applyFill="1" applyBorder="1"/>
    <xf numFmtId="0" fontId="0" fillId="0" borderId="0" xfId="0" applyNumberFormat="1" applyFont="1" applyAlignment="1" applyProtection="1">
      <alignment horizontal="left" vertical="center"/>
      <protection hidden="1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7" fillId="0" borderId="0" xfId="0" applyFont="1" applyAlignment="1" applyProtection="1">
      <protection hidden="1"/>
    </xf>
    <xf numFmtId="165" fontId="4" fillId="0" borderId="17" xfId="0" applyNumberFormat="1" applyFont="1" applyFill="1" applyBorder="1" applyAlignment="1" applyProtection="1">
      <alignment horizontal="center" vertical="center"/>
      <protection hidden="1"/>
    </xf>
    <xf numFmtId="165" fontId="4" fillId="0" borderId="2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165" fontId="4" fillId="5" borderId="24" xfId="0" applyNumberFormat="1" applyFont="1" applyFill="1" applyBorder="1" applyAlignment="1" applyProtection="1">
      <alignment horizontal="center" vertical="center"/>
      <protection hidden="1"/>
    </xf>
    <xf numFmtId="165" fontId="4" fillId="5" borderId="21" xfId="0" applyNumberFormat="1" applyFont="1" applyFill="1" applyBorder="1" applyAlignment="1" applyProtection="1">
      <alignment horizontal="center" vertical="center"/>
      <protection hidden="1"/>
    </xf>
    <xf numFmtId="165" fontId="16" fillId="5" borderId="21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6" fillId="0" borderId="5" xfId="0" applyFont="1" applyBorder="1" applyAlignment="1" applyProtection="1">
      <alignment vertical="center"/>
      <protection hidden="1"/>
    </xf>
    <xf numFmtId="3" fontId="4" fillId="0" borderId="36" xfId="0" applyNumberFormat="1" applyFont="1" applyFill="1" applyBorder="1" applyAlignment="1" applyProtection="1">
      <alignment horizontal="center" vertical="center"/>
      <protection hidden="1"/>
    </xf>
    <xf numFmtId="3" fontId="4" fillId="0" borderId="21" xfId="0" applyNumberFormat="1" applyFont="1" applyFill="1" applyBorder="1" applyAlignment="1" applyProtection="1">
      <alignment horizontal="center" vertical="center"/>
      <protection hidden="1"/>
    </xf>
    <xf numFmtId="0" fontId="4" fillId="0" borderId="9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left" vertical="center"/>
    </xf>
    <xf numFmtId="0" fontId="0" fillId="0" borderId="0" xfId="0" applyNumberFormat="1" applyAlignment="1" applyProtection="1">
      <alignment vertical="top" wrapText="1"/>
      <protection hidden="1"/>
    </xf>
    <xf numFmtId="0" fontId="4" fillId="5" borderId="36" xfId="0" applyFont="1" applyFill="1" applyBorder="1" applyAlignment="1" applyProtection="1">
      <alignment horizontal="left" vertical="center"/>
      <protection locked="0"/>
    </xf>
    <xf numFmtId="0" fontId="4" fillId="5" borderId="37" xfId="0" applyFont="1" applyFill="1" applyBorder="1" applyAlignment="1" applyProtection="1">
      <alignment horizontal="left" vertical="center"/>
    </xf>
    <xf numFmtId="0" fontId="4" fillId="5" borderId="53" xfId="0" applyFont="1" applyFill="1" applyBorder="1" applyAlignment="1" applyProtection="1">
      <alignment horizontal="left" vertical="center"/>
      <protection locked="0"/>
    </xf>
    <xf numFmtId="0" fontId="4" fillId="5" borderId="26" xfId="0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 applyProtection="1">
      <alignment horizontal="left"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0" borderId="11" xfId="0" applyFont="1" applyBorder="1" applyAlignment="1">
      <alignment horizontal="center" vertical="center" wrapText="1"/>
    </xf>
    <xf numFmtId="164" fontId="4" fillId="5" borderId="36" xfId="0" applyNumberFormat="1" applyFont="1" applyFill="1" applyBorder="1" applyAlignment="1" applyProtection="1">
      <alignment horizontal="left" vertical="center"/>
    </xf>
    <xf numFmtId="164" fontId="4" fillId="5" borderId="21" xfId="0" applyNumberFormat="1" applyFont="1" applyFill="1" applyBorder="1" applyAlignment="1" applyProtection="1">
      <alignment horizontal="left" vertical="center"/>
    </xf>
    <xf numFmtId="164" fontId="4" fillId="5" borderId="24" xfId="0" applyNumberFormat="1" applyFont="1" applyFill="1" applyBorder="1" applyAlignment="1" applyProtection="1">
      <alignment horizontal="left" vertical="center"/>
    </xf>
    <xf numFmtId="0" fontId="4" fillId="5" borderId="26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>
      <alignment horizontal="left" vertical="top" wrapText="1"/>
    </xf>
    <xf numFmtId="164" fontId="4" fillId="5" borderId="17" xfId="0" applyNumberFormat="1" applyFont="1" applyFill="1" applyBorder="1" applyAlignment="1" applyProtection="1">
      <alignment horizontal="center" vertical="center"/>
      <protection locked="0"/>
    </xf>
    <xf numFmtId="164" fontId="4" fillId="5" borderId="20" xfId="0" applyNumberFormat="1" applyFont="1" applyFill="1" applyBorder="1" applyAlignment="1" applyProtection="1">
      <alignment horizontal="center" vertical="center"/>
      <protection locked="0"/>
    </xf>
    <xf numFmtId="4" fontId="4" fillId="0" borderId="13" xfId="0" applyNumberFormat="1" applyFont="1" applyFill="1" applyBorder="1" applyAlignment="1" applyProtection="1">
      <alignment vertical="center"/>
      <protection hidden="1"/>
    </xf>
    <xf numFmtId="169" fontId="12" fillId="0" borderId="0" xfId="0" applyNumberFormat="1" applyFont="1" applyAlignment="1" applyProtection="1">
      <alignment vertical="center"/>
      <protection hidden="1"/>
    </xf>
    <xf numFmtId="165" fontId="4" fillId="0" borderId="33" xfId="0" applyNumberFormat="1" applyFont="1" applyFill="1" applyBorder="1" applyAlignment="1" applyProtection="1">
      <alignment vertical="center"/>
      <protection hidden="1"/>
    </xf>
    <xf numFmtId="165" fontId="16" fillId="0" borderId="32" xfId="0" applyNumberFormat="1" applyFont="1" applyFill="1" applyBorder="1" applyAlignment="1" applyProtection="1">
      <alignment vertical="center"/>
      <protection hidden="1"/>
    </xf>
    <xf numFmtId="1" fontId="2" fillId="0" borderId="0" xfId="0" applyNumberFormat="1" applyFont="1" applyFill="1" applyBorder="1" applyAlignment="1" applyProtection="1">
      <alignment vertical="center"/>
      <protection hidden="1"/>
    </xf>
    <xf numFmtId="165" fontId="4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7" fillId="0" borderId="0" xfId="0" applyFont="1" applyFill="1" applyBorder="1" applyAlignment="1" applyProtection="1">
      <alignment vertical="center"/>
    </xf>
    <xf numFmtId="0" fontId="4" fillId="0" borderId="6" xfId="0" applyFont="1" applyBorder="1" applyAlignment="1" applyProtection="1">
      <alignment horizontal="right" vertical="center"/>
      <protection hidden="1"/>
    </xf>
    <xf numFmtId="0" fontId="4" fillId="0" borderId="11" xfId="0" applyFont="1" applyBorder="1" applyAlignment="1">
      <alignment vertical="center"/>
    </xf>
    <xf numFmtId="0" fontId="7" fillId="0" borderId="11" xfId="0" applyFont="1" applyBorder="1" applyAlignment="1" applyProtection="1">
      <alignment horizontal="left" vertical="top" wrapText="1"/>
      <protection hidden="1"/>
    </xf>
    <xf numFmtId="0" fontId="4" fillId="0" borderId="11" xfId="0" applyFont="1" applyFill="1" applyBorder="1" applyAlignment="1">
      <alignment vertical="center"/>
    </xf>
    <xf numFmtId="168" fontId="24" fillId="8" borderId="0" xfId="0" applyNumberFormat="1" applyFont="1" applyFill="1" applyBorder="1"/>
    <xf numFmtId="0" fontId="12" fillId="0" borderId="0" xfId="0" applyFont="1" applyFill="1" applyAlignment="1">
      <alignment vertical="center"/>
    </xf>
    <xf numFmtId="165" fontId="4" fillId="0" borderId="33" xfId="0" applyNumberFormat="1" applyFont="1" applyFill="1" applyBorder="1" applyAlignment="1" applyProtection="1">
      <alignment vertical="center"/>
    </xf>
    <xf numFmtId="165" fontId="4" fillId="0" borderId="32" xfId="0" applyNumberFormat="1" applyFont="1" applyFill="1" applyBorder="1" applyAlignment="1" applyProtection="1">
      <alignment vertical="center"/>
    </xf>
    <xf numFmtId="0" fontId="5" fillId="0" borderId="11" xfId="0" applyNumberFormat="1" applyFont="1" applyBorder="1" applyAlignment="1">
      <alignment horizontal="center" vertical="center"/>
    </xf>
    <xf numFmtId="3" fontId="0" fillId="0" borderId="0" xfId="0" applyNumberFormat="1" applyFont="1" applyFill="1" applyAlignment="1" applyProtection="1">
      <alignment horizontal="left" vertical="top"/>
      <protection hidden="1"/>
    </xf>
    <xf numFmtId="0" fontId="12" fillId="0" borderId="0" xfId="0" applyFont="1" applyAlignment="1" applyProtection="1">
      <protection hidden="1"/>
    </xf>
    <xf numFmtId="0" fontId="4" fillId="0" borderId="11" xfId="0" applyNumberFormat="1" applyFont="1" applyFill="1" applyBorder="1" applyAlignment="1" applyProtection="1">
      <alignment horizontal="left" vertical="center"/>
      <protection hidden="1"/>
    </xf>
    <xf numFmtId="0" fontId="4" fillId="0" borderId="11" xfId="0" applyNumberFormat="1" applyFont="1" applyFill="1" applyBorder="1" applyAlignment="1" applyProtection="1">
      <alignment vertical="center"/>
      <protection hidden="1"/>
    </xf>
    <xf numFmtId="0" fontId="4" fillId="0" borderId="11" xfId="0" applyFont="1" applyBorder="1" applyAlignment="1" applyProtection="1">
      <alignment vertical="center"/>
      <protection hidden="1"/>
    </xf>
    <xf numFmtId="0" fontId="4" fillId="0" borderId="11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vertical="center"/>
      <protection hidden="1"/>
    </xf>
    <xf numFmtId="0" fontId="4" fillId="3" borderId="5" xfId="0" applyFont="1" applyFill="1" applyBorder="1" applyAlignment="1" applyProtection="1">
      <alignment vertical="center"/>
      <protection hidden="1"/>
    </xf>
    <xf numFmtId="0" fontId="4" fillId="3" borderId="5" xfId="0" applyFont="1" applyFill="1" applyBorder="1" applyAlignment="1">
      <alignment vertical="center"/>
    </xf>
    <xf numFmtId="0" fontId="5" fillId="3" borderId="6" xfId="0" applyFont="1" applyFill="1" applyBorder="1" applyAlignment="1" applyProtection="1">
      <alignment horizontal="right" vertical="center"/>
      <protection hidden="1"/>
    </xf>
    <xf numFmtId="165" fontId="5" fillId="0" borderId="2" xfId="0" applyNumberFormat="1" applyFont="1" applyBorder="1" applyAlignment="1" applyProtection="1">
      <alignment vertical="center"/>
      <protection hidden="1"/>
    </xf>
    <xf numFmtId="0" fontId="4" fillId="0" borderId="12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5" fillId="3" borderId="6" xfId="0" applyFont="1" applyFill="1" applyBorder="1" applyAlignment="1">
      <alignment horizontal="right" vertical="center"/>
    </xf>
    <xf numFmtId="0" fontId="6" fillId="0" borderId="11" xfId="0" applyFont="1" applyBorder="1" applyAlignment="1" applyProtection="1">
      <alignment vertical="center"/>
      <protection hidden="1"/>
    </xf>
    <xf numFmtId="0" fontId="5" fillId="3" borderId="5" xfId="0" applyFont="1" applyFill="1" applyBorder="1" applyAlignment="1" applyProtection="1">
      <alignment vertical="center"/>
      <protection hidden="1"/>
    </xf>
    <xf numFmtId="165" fontId="5" fillId="3" borderId="5" xfId="0" applyNumberFormat="1" applyFont="1" applyFill="1" applyBorder="1" applyAlignment="1" applyProtection="1">
      <alignment horizontal="center" vertical="center"/>
      <protection hidden="1"/>
    </xf>
    <xf numFmtId="165" fontId="5" fillId="0" borderId="6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165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4" fillId="0" borderId="29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0" fontId="4" fillId="0" borderId="29" xfId="0" applyFont="1" applyFill="1" applyBorder="1" applyAlignment="1" applyProtection="1">
      <alignment vertical="center"/>
      <protection hidden="1"/>
    </xf>
    <xf numFmtId="165" fontId="25" fillId="0" borderId="28" xfId="0" applyNumberFormat="1" applyFont="1" applyFill="1" applyBorder="1" applyAlignment="1" applyProtection="1">
      <alignment vertical="center"/>
      <protection hidden="1"/>
    </xf>
    <xf numFmtId="165" fontId="4" fillId="0" borderId="28" xfId="0" applyNumberFormat="1" applyFont="1" applyFill="1" applyBorder="1" applyAlignment="1" applyProtection="1">
      <alignment vertical="center"/>
      <protection hidden="1"/>
    </xf>
    <xf numFmtId="165" fontId="4" fillId="0" borderId="30" xfId="0" applyNumberFormat="1" applyFont="1" applyFill="1" applyBorder="1" applyAlignment="1" applyProtection="1">
      <alignment vertical="center"/>
      <protection hidden="1"/>
    </xf>
    <xf numFmtId="165" fontId="4" fillId="0" borderId="0" xfId="0" applyNumberFormat="1" applyFont="1" applyFill="1" applyAlignment="1" applyProtection="1">
      <alignment vertical="center"/>
      <protection hidden="1"/>
    </xf>
    <xf numFmtId="165" fontId="4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165" fontId="25" fillId="0" borderId="0" xfId="0" applyNumberFormat="1" applyFont="1" applyFill="1" applyBorder="1" applyAlignment="1" applyProtection="1">
      <alignment vertical="center"/>
      <protection hidden="1"/>
    </xf>
    <xf numFmtId="165" fontId="25" fillId="0" borderId="49" xfId="0" applyNumberFormat="1" applyFont="1" applyFill="1" applyBorder="1"/>
    <xf numFmtId="165" fontId="4" fillId="0" borderId="49" xfId="0" applyNumberFormat="1" applyFont="1" applyFill="1" applyBorder="1"/>
    <xf numFmtId="165" fontId="25" fillId="0" borderId="49" xfId="0" applyNumberFormat="1" applyFont="1" applyFill="1" applyBorder="1" applyAlignment="1">
      <alignment vertical="center"/>
    </xf>
    <xf numFmtId="165" fontId="4" fillId="0" borderId="49" xfId="0" applyNumberFormat="1" applyFont="1" applyFill="1" applyBorder="1" applyProtection="1">
      <protection hidden="1"/>
    </xf>
    <xf numFmtId="0" fontId="4" fillId="0" borderId="43" xfId="0" applyFont="1" applyFill="1" applyBorder="1" applyAlignment="1" applyProtection="1">
      <alignment vertical="center"/>
      <protection hidden="1"/>
    </xf>
    <xf numFmtId="0" fontId="13" fillId="7" borderId="0" xfId="0" applyFont="1" applyFill="1" applyBorder="1" applyAlignment="1" applyProtection="1">
      <alignment vertical="center"/>
      <protection hidden="1"/>
    </xf>
    <xf numFmtId="0" fontId="13" fillId="7" borderId="0" xfId="0" applyFont="1" applyFill="1" applyBorder="1"/>
    <xf numFmtId="0" fontId="5" fillId="0" borderId="11" xfId="0" applyFont="1" applyFill="1" applyBorder="1" applyAlignment="1" applyProtection="1">
      <alignment horizontal="left" vertical="center"/>
      <protection hidden="1"/>
    </xf>
    <xf numFmtId="0" fontId="12" fillId="0" borderId="0" xfId="0" applyFont="1"/>
    <xf numFmtId="4" fontId="12" fillId="0" borderId="13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top" wrapText="1"/>
      <protection hidden="1"/>
    </xf>
    <xf numFmtId="164" fontId="0" fillId="0" borderId="0" xfId="0" applyNumberFormat="1" applyFont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left"/>
      <protection hidden="1"/>
    </xf>
    <xf numFmtId="0" fontId="5" fillId="0" borderId="52" xfId="0" applyFont="1" applyFill="1" applyBorder="1" applyAlignment="1" applyProtection="1">
      <alignment vertical="center"/>
      <protection hidden="1"/>
    </xf>
    <xf numFmtId="0" fontId="5" fillId="0" borderId="50" xfId="0" applyFont="1" applyFill="1" applyBorder="1" applyAlignment="1" applyProtection="1">
      <alignment horizontal="center" vertical="center"/>
      <protection hidden="1"/>
    </xf>
    <xf numFmtId="0" fontId="5" fillId="0" borderId="51" xfId="0" applyFont="1" applyFill="1" applyBorder="1" applyAlignment="1" applyProtection="1">
      <alignment horizontal="left" vertical="center"/>
      <protection hidden="1"/>
    </xf>
    <xf numFmtId="165" fontId="5" fillId="10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165" fontId="4" fillId="0" borderId="2" xfId="0" applyNumberFormat="1" applyFont="1" applyFill="1" applyBorder="1" applyAlignment="1" applyProtection="1">
      <alignment horizontal="right" vertical="center"/>
      <protection hidden="1"/>
    </xf>
    <xf numFmtId="0" fontId="26" fillId="0" borderId="8" xfId="0" applyFont="1" applyFill="1" applyBorder="1" applyAlignment="1" applyProtection="1">
      <alignment vertical="center"/>
      <protection hidden="1"/>
    </xf>
    <xf numFmtId="0" fontId="26" fillId="0" borderId="9" xfId="0" applyFont="1" applyFill="1" applyBorder="1" applyAlignment="1" applyProtection="1">
      <alignment vertical="center"/>
      <protection hidden="1"/>
    </xf>
    <xf numFmtId="0" fontId="27" fillId="0" borderId="9" xfId="0" applyFont="1" applyFill="1" applyBorder="1" applyAlignment="1">
      <alignment horizontal="right" vertical="center"/>
    </xf>
    <xf numFmtId="165" fontId="26" fillId="0" borderId="9" xfId="0" applyNumberFormat="1" applyFont="1" applyFill="1" applyBorder="1" applyAlignment="1" applyProtection="1">
      <alignment vertical="center"/>
      <protection hidden="1"/>
    </xf>
    <xf numFmtId="0" fontId="5" fillId="0" borderId="51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vertical="center"/>
    </xf>
    <xf numFmtId="0" fontId="4" fillId="11" borderId="27" xfId="0" applyFont="1" applyFill="1" applyBorder="1" applyAlignment="1" applyProtection="1">
      <alignment horizontal="left" vertical="center"/>
    </xf>
    <xf numFmtId="0" fontId="4" fillId="11" borderId="22" xfId="0" applyFont="1" applyFill="1" applyBorder="1" applyAlignment="1" applyProtection="1">
      <alignment horizontal="left" vertical="center"/>
    </xf>
    <xf numFmtId="22" fontId="0" fillId="0" borderId="0" xfId="0" applyNumberFormat="1" applyFont="1" applyAlignment="1" applyProtection="1">
      <alignment horizontal="left" vertical="center"/>
      <protection hidden="1"/>
    </xf>
    <xf numFmtId="0" fontId="28" fillId="0" borderId="4" xfId="0" applyFont="1" applyFill="1" applyBorder="1" applyAlignment="1" applyProtection="1">
      <alignment vertical="center"/>
      <protection hidden="1"/>
    </xf>
    <xf numFmtId="0" fontId="28" fillId="0" borderId="5" xfId="0" applyFont="1" applyFill="1" applyBorder="1" applyAlignment="1" applyProtection="1">
      <alignment horizontal="left" vertical="center"/>
      <protection hidden="1"/>
    </xf>
    <xf numFmtId="0" fontId="28" fillId="0" borderId="5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right" vertical="center"/>
      <protection hidden="1"/>
    </xf>
    <xf numFmtId="165" fontId="28" fillId="0" borderId="2" xfId="0" applyNumberFormat="1" applyFont="1" applyFill="1" applyBorder="1" applyAlignment="1" applyProtection="1">
      <alignment vertical="center"/>
      <protection hidden="1"/>
    </xf>
    <xf numFmtId="5" fontId="28" fillId="0" borderId="4" xfId="0" applyNumberFormat="1" applyFont="1" applyFill="1" applyBorder="1" applyAlignment="1" applyProtection="1">
      <alignment vertical="center"/>
      <protection hidden="1"/>
    </xf>
    <xf numFmtId="0" fontId="28" fillId="0" borderId="5" xfId="0" applyFont="1" applyFill="1" applyBorder="1" applyAlignment="1" applyProtection="1">
      <alignment vertical="center"/>
      <protection hidden="1"/>
    </xf>
    <xf numFmtId="0" fontId="28" fillId="0" borderId="6" xfId="0" applyFont="1" applyFill="1" applyBorder="1" applyAlignment="1" applyProtection="1">
      <alignment horizontal="right" vertical="center"/>
      <protection hidden="1"/>
    </xf>
    <xf numFmtId="165" fontId="28" fillId="0" borderId="2" xfId="0" applyNumberFormat="1" applyFont="1" applyFill="1" applyBorder="1" applyAlignment="1" applyProtection="1">
      <alignment horizontal="right" vertical="center"/>
      <protection hidden="1"/>
    </xf>
    <xf numFmtId="0" fontId="28" fillId="0" borderId="2" xfId="0" applyFont="1" applyFill="1" applyBorder="1" applyAlignment="1">
      <alignment horizontal="right" vertical="center"/>
    </xf>
    <xf numFmtId="165" fontId="28" fillId="0" borderId="2" xfId="0" applyNumberFormat="1" applyFont="1" applyFill="1" applyBorder="1" applyAlignment="1" applyProtection="1">
      <alignment horizontal="right" vertical="center"/>
    </xf>
    <xf numFmtId="0" fontId="28" fillId="3" borderId="4" xfId="0" applyFont="1" applyFill="1" applyBorder="1" applyAlignment="1" applyProtection="1">
      <alignment vertical="center"/>
      <protection hidden="1"/>
    </xf>
    <xf numFmtId="0" fontId="28" fillId="3" borderId="5" xfId="0" applyFont="1" applyFill="1" applyBorder="1" applyAlignment="1" applyProtection="1">
      <alignment vertical="center"/>
      <protection hidden="1"/>
    </xf>
    <xf numFmtId="0" fontId="29" fillId="3" borderId="6" xfId="0" applyFont="1" applyFill="1" applyBorder="1" applyAlignment="1">
      <alignment horizontal="right" vertical="center"/>
    </xf>
    <xf numFmtId="165" fontId="28" fillId="0" borderId="4" xfId="0" applyNumberFormat="1" applyFont="1" applyFill="1" applyBorder="1" applyAlignment="1" applyProtection="1">
      <alignment vertical="center"/>
      <protection hidden="1"/>
    </xf>
    <xf numFmtId="0" fontId="28" fillId="3" borderId="4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9" fillId="3" borderId="2" xfId="0" applyFont="1" applyFill="1" applyBorder="1" applyAlignment="1">
      <alignment horizontal="right" vertical="center"/>
    </xf>
    <xf numFmtId="0" fontId="28" fillId="0" borderId="6" xfId="0" applyFont="1" applyBorder="1" applyAlignment="1" applyProtection="1">
      <alignment horizontal="right" vertical="center"/>
      <protection hidden="1"/>
    </xf>
    <xf numFmtId="4" fontId="28" fillId="6" borderId="4" xfId="0" applyNumberFormat="1" applyFont="1" applyFill="1" applyBorder="1" applyAlignment="1" applyProtection="1">
      <alignment vertical="center"/>
      <protection hidden="1"/>
    </xf>
    <xf numFmtId="4" fontId="28" fillId="6" borderId="5" xfId="0" applyNumberFormat="1" applyFont="1" applyFill="1" applyBorder="1" applyAlignment="1" applyProtection="1">
      <alignment vertical="center"/>
      <protection hidden="1"/>
    </xf>
    <xf numFmtId="4" fontId="28" fillId="0" borderId="5" xfId="0" applyNumberFormat="1" applyFont="1" applyFill="1" applyBorder="1" applyAlignment="1" applyProtection="1">
      <alignment vertical="center"/>
      <protection hidden="1"/>
    </xf>
    <xf numFmtId="0" fontId="28" fillId="6" borderId="4" xfId="0" applyFont="1" applyFill="1" applyBorder="1" applyAlignment="1" applyProtection="1">
      <alignment vertical="center"/>
      <protection hidden="1"/>
    </xf>
    <xf numFmtId="0" fontId="28" fillId="6" borderId="5" xfId="0" applyFont="1" applyFill="1" applyBorder="1" applyAlignment="1" applyProtection="1">
      <alignment vertical="center"/>
      <protection hidden="1"/>
    </xf>
    <xf numFmtId="0" fontId="28" fillId="0" borderId="4" xfId="0" applyFont="1" applyFill="1" applyBorder="1" applyAlignment="1" applyProtection="1">
      <alignment horizontal="left" vertical="center"/>
      <protection hidden="1"/>
    </xf>
    <xf numFmtId="0" fontId="28" fillId="6" borderId="5" xfId="0" applyFont="1" applyFill="1" applyBorder="1" applyAlignment="1" applyProtection="1">
      <alignment horizontal="center" vertical="center"/>
      <protection hidden="1"/>
    </xf>
    <xf numFmtId="0" fontId="28" fillId="6" borderId="6" xfId="0" applyFont="1" applyFill="1" applyBorder="1" applyAlignment="1" applyProtection="1">
      <alignment horizontal="right" vertical="center"/>
      <protection hidden="1"/>
    </xf>
    <xf numFmtId="165" fontId="28" fillId="0" borderId="2" xfId="0" applyNumberFormat="1" applyFont="1" applyBorder="1" applyAlignment="1" applyProtection="1">
      <alignment vertical="center"/>
      <protection hidden="1"/>
    </xf>
    <xf numFmtId="0" fontId="5" fillId="6" borderId="0" xfId="0" applyFont="1" applyFill="1" applyBorder="1" applyAlignment="1">
      <alignment horizontal="left" vertical="center"/>
    </xf>
    <xf numFmtId="0" fontId="4" fillId="5" borderId="23" xfId="0" applyFont="1" applyFill="1" applyBorder="1" applyAlignment="1" applyProtection="1">
      <alignment horizontal="left" vertical="center"/>
      <protection locked="0"/>
    </xf>
    <xf numFmtId="0" fontId="4" fillId="5" borderId="55" xfId="0" applyFont="1" applyFill="1" applyBorder="1" applyAlignment="1" applyProtection="1">
      <alignment horizontal="left" vertical="center"/>
      <protection locked="0"/>
    </xf>
    <xf numFmtId="0" fontId="30" fillId="0" borderId="4" xfId="0" applyFont="1" applyFill="1" applyBorder="1" applyAlignment="1" applyProtection="1">
      <alignment vertical="center"/>
      <protection hidden="1"/>
    </xf>
    <xf numFmtId="0" fontId="30" fillId="0" borderId="5" xfId="0" applyFont="1" applyFill="1" applyBorder="1" applyAlignment="1" applyProtection="1">
      <alignment horizontal="left" vertical="center"/>
      <protection hidden="1"/>
    </xf>
    <xf numFmtId="0" fontId="30" fillId="0" borderId="5" xfId="0" applyFont="1" applyFill="1" applyBorder="1" applyAlignment="1" applyProtection="1">
      <alignment horizontal="center" vertical="center"/>
      <protection hidden="1"/>
    </xf>
    <xf numFmtId="0" fontId="30" fillId="0" borderId="3" xfId="0" applyFont="1" applyFill="1" applyBorder="1" applyAlignment="1" applyProtection="1">
      <alignment horizontal="right" vertical="center"/>
      <protection hidden="1"/>
    </xf>
    <xf numFmtId="165" fontId="30" fillId="0" borderId="2" xfId="0" applyNumberFormat="1" applyFont="1" applyFill="1" applyBorder="1" applyAlignment="1" applyProtection="1">
      <alignment vertical="center"/>
      <protection hidden="1"/>
    </xf>
    <xf numFmtId="0" fontId="4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3" fontId="4" fillId="0" borderId="4" xfId="0" applyNumberFormat="1" applyFont="1" applyFill="1" applyBorder="1" applyAlignment="1">
      <alignment horizontal="left"/>
    </xf>
    <xf numFmtId="3" fontId="4" fillId="0" borderId="6" xfId="0" applyNumberFormat="1" applyFont="1" applyFill="1" applyBorder="1" applyAlignment="1">
      <alignment horizontal="left"/>
    </xf>
    <xf numFmtId="14" fontId="4" fillId="0" borderId="4" xfId="0" applyNumberFormat="1" applyFont="1" applyFill="1" applyBorder="1" applyAlignment="1">
      <alignment horizontal="left"/>
    </xf>
    <xf numFmtId="14" fontId="4" fillId="0" borderId="6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left"/>
    </xf>
    <xf numFmtId="1" fontId="4" fillId="0" borderId="6" xfId="0" applyNumberFormat="1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5" fillId="0" borderId="13" xfId="0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 wrapText="1"/>
      <protection hidden="1"/>
    </xf>
    <xf numFmtId="0" fontId="6" fillId="4" borderId="0" xfId="0" applyFont="1" applyFill="1" applyAlignment="1">
      <alignment horizontal="left" vertical="top" wrapText="1"/>
    </xf>
    <xf numFmtId="0" fontId="9" fillId="0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 applyProtection="1">
      <alignment horizontal="left" vertical="top" wrapText="1"/>
      <protection locked="0"/>
    </xf>
    <xf numFmtId="0" fontId="4" fillId="5" borderId="5" xfId="0" applyFont="1" applyFill="1" applyBorder="1" applyAlignment="1" applyProtection="1">
      <alignment horizontal="left" vertical="top" wrapText="1"/>
      <protection locked="0"/>
    </xf>
    <xf numFmtId="0" fontId="4" fillId="5" borderId="6" xfId="0" applyFont="1" applyFill="1" applyBorder="1" applyAlignment="1" applyProtection="1">
      <alignment horizontal="left" vertical="top" wrapText="1"/>
      <protection locked="0"/>
    </xf>
    <xf numFmtId="0" fontId="4" fillId="10" borderId="4" xfId="0" applyFont="1" applyFill="1" applyBorder="1" applyAlignment="1" applyProtection="1">
      <alignment horizontal="left" vertical="center"/>
    </xf>
    <xf numFmtId="0" fontId="4" fillId="10" borderId="5" xfId="0" applyFont="1" applyFill="1" applyBorder="1" applyAlignment="1" applyProtection="1">
      <alignment horizontal="left" vertical="center"/>
    </xf>
    <xf numFmtId="0" fontId="4" fillId="10" borderId="6" xfId="0" applyFont="1" applyFill="1" applyBorder="1" applyAlignment="1" applyProtection="1">
      <alignment horizontal="left" vertical="center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</cellXfs>
  <cellStyles count="3">
    <cellStyle name="Hyperlink" xfId="2" builtinId="8"/>
    <cellStyle name="Procent" xfId="1" builtinId="5"/>
    <cellStyle name="Standaard" xfId="0" builtinId="0"/>
  </cellStyles>
  <dxfs count="469"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protection locked="1" hidden="1"/>
    </dxf>
    <dxf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1" hidden="1"/>
    </dxf>
    <dxf>
      <protection locked="1" hidden="1"/>
    </dxf>
    <dxf>
      <protection locked="1" hidden="1"/>
    </dxf>
    <dxf>
      <protection locked="1" hidden="1"/>
    </dxf>
    <dxf>
      <alignment horizontal="general"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alignment horizontal="left" vertical="bottom" textRotation="0" wrapText="0" indent="0" justifyLastLine="0" shrinkToFit="0" readingOrder="0"/>
      <protection locked="1" hidden="1"/>
    </dxf>
    <dxf>
      <alignment horizontal="left" vertical="bottom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border>
        <top style="thin">
          <color theme="4" tint="0.39997558519241921"/>
        </top>
      </border>
    </dxf>
    <dxf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</dxf>
    <dxf>
      <numFmt numFmtId="0" formatCode="General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border>
        <top style="thin">
          <color theme="4" tint="0.39997558519241921"/>
        </top>
      </border>
    </dxf>
    <dxf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numFmt numFmtId="0" formatCode="General"/>
      <protection locked="1" hidden="1"/>
    </dxf>
    <dxf>
      <protection locked="1" hidden="1"/>
    </dxf>
    <dxf>
      <protection locked="1" hidden="1"/>
    </dxf>
    <dxf>
      <protection locked="1" hidden="1"/>
    </dxf>
    <dxf>
      <numFmt numFmtId="0" formatCode="General"/>
      <alignment horizontal="general"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  <protection locked="1" hidden="1"/>
    </dxf>
    <dxf>
      <alignment horizontal="general" vertical="top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3568"/>
        <name val="Calibri"/>
        <scheme val="minor"/>
      </font>
      <numFmt numFmtId="0" formatCode="General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3568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€&quot;\ #,##0"/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/>
      </border>
      <protection locked="1" hidden="1"/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auto="1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€&quot;\ #,##0.0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ADEDF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protection locked="1" hidden="1"/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border>
        <top style="thin">
          <color indexed="64"/>
        </top>
      </border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auto="1"/>
        </left>
        <right style="thin">
          <color indexed="64"/>
        </right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protection locked="1" hidden="1"/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z val="10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protection locked="1" hidden="1"/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indexed="64"/>
        </top>
        <bottom style="hair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border>
        <top style="thin">
          <color indexed="64"/>
        </top>
      </border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  <protection locked="0" hidden="0"/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9" formatCode="&quot;€&quot;\ #,##0;&quot;€&quot;\ 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€&quot;\ #,##0.00"/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€&quot;\ #,##0.00"/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rgb="FFCBDED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0" hidden="0"/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protection locked="1" hidden="1"/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numFmt numFmtId="3" formatCode="#,##0"/>
      <fill>
        <patternFill patternType="solid">
          <fgColor indexed="64"/>
          <bgColor rgb="FFCBDEDF"/>
        </patternFill>
      </fill>
      <border diagonalUp="0" diagonalDown="0" outline="0">
        <left style="hair">
          <color auto="1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numFmt numFmtId="3" formatCode="#,##0"/>
      <fill>
        <patternFill patternType="none">
          <fgColor indexed="64"/>
          <bgColor auto="1"/>
        </patternFill>
      </fill>
      <border diagonalUp="0" diagonalDown="0">
        <left style="hair">
          <color auto="1"/>
        </left>
        <right/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1"/>
    </dxf>
    <dxf>
      <numFmt numFmtId="4" formatCode="#,##0.00"/>
      <fill>
        <patternFill patternType="none">
          <fgColor indexed="64"/>
          <bgColor auto="1"/>
        </patternFill>
      </fill>
      <border diagonalUp="0" diagonalDown="0">
        <left style="hair">
          <color auto="1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1"/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protection locked="1" hidden="1"/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z val="10"/>
      </font>
      <numFmt numFmtId="0" formatCode="General"/>
      <fill>
        <patternFill patternType="solid">
          <fgColor indexed="64"/>
          <bgColor rgb="FFCBDEDF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BDED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protection locked="1" hidden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rgb="FFCBDEDF"/>
        </patternFill>
      </fill>
    </dxf>
    <dxf>
      <font>
        <b val="0"/>
        <i val="0"/>
        <strike val="0"/>
        <color rgb="FFFF0000"/>
      </font>
    </dxf>
    <dxf>
      <fill>
        <patternFill>
          <bgColor rgb="FFCBDEDF"/>
        </patternFill>
      </fill>
    </dxf>
    <dxf>
      <font>
        <b/>
        <i val="0"/>
        <color rgb="FFFF0000"/>
      </font>
      <fill>
        <patternFill patternType="solid"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CBDEDF"/>
      <color rgb="FFCBE8E9"/>
      <color rgb="FFEA6B14"/>
      <color rgb="FFBCE5F2"/>
      <color rgb="FF7ECDE6"/>
      <color rgb="FF18657C"/>
      <color rgb="FFB7D2D3"/>
      <color rgb="FF7EAEB1"/>
      <color rgb="FF7EB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628650</xdr:colOff>
      <xdr:row>0</xdr:row>
      <xdr:rowOff>1012582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8650" cy="10179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Personnel" displayName="Personnel" ref="A19:H30" totalsRowCount="1" headerRowDxfId="460" totalsRowDxfId="457" headerRowBorderDxfId="459" tableBorderDxfId="458" totalsRowBorderDxfId="456">
  <autoFilter ref="A19:H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Category" totalsRowDxfId="455"/>
    <tableColumn id="7" name=" " dataDxfId="454" totalsRowDxfId="453"/>
    <tableColumn id="2" name="FTE" dataDxfId="452" totalsRowDxfId="451"/>
    <tableColumn id="3" name="Months" dataDxfId="450" totalsRowDxfId="449"/>
    <tableColumn id="4" name="Costs" dataDxfId="448" totalsRowDxfId="447"/>
    <tableColumn id="5" name="Organisation type" totalsRowLabel="Sub total:" dataDxfId="446" totalsRowDxfId="445"/>
    <tableColumn id="8" name="Name organisation" dataDxfId="444" totalsRowDxfId="443"/>
    <tableColumn id="6" name="Amount" totalsRowFunction="custom" dataDxfId="442" totalsRowDxfId="441">
      <calculatedColumnFormula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calculatedColumnFormula>
      <totalsRowFormula>SUM(Personnel[Amount])</totalsRow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MfC_pers_ac_inst" displayName="MfC_pers_ac_inst" ref="A137:H148" totalsRowCount="1" headerRowDxfId="293" dataDxfId="291" totalsRowDxfId="289" headerRowBorderDxfId="292" tableBorderDxfId="290" totalsRowBorderDxfId="288">
  <autoFilter ref="A137:H1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Category" totalsRowDxfId="287"/>
    <tableColumn id="2" name="FTE" totalsRowDxfId="286"/>
    <tableColumn id="3" name="Months" totalsRowDxfId="285"/>
    <tableColumn id="4" name="Country" totalsRowDxfId="284"/>
    <tableColumn id="7" name="Costs" totalsRowDxfId="283"/>
    <tableColumn id="5" name="Organisation type" totalsRowLabel="Sub total:" dataDxfId="282" totalsRowDxfId="281"/>
    <tableColumn id="8" name="Name organisation" totalsRowDxfId="280"/>
    <tableColumn id="6" name="Amount" totalsRowFunction="custom" totalsRowDxfId="279">
      <calculatedColumnFormula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calculatedColumnFormula>
      <totalsRowFormula>SUM(MfC_pers_ac_inst[Amount])</totalsRow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30" name="cleanroom" displayName="cleanroom" ref="A92:H98" totalsRowCount="1" headerRowDxfId="278" totalsRowDxfId="276" tableBorderDxfId="277" totalsRowBorderDxfId="275">
  <autoFilter ref="A92:H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274" totalsRowDxfId="273"/>
    <tableColumn id="2" name=" " dataDxfId="272" totalsRowDxfId="271"/>
    <tableColumn id="3" name="  " dataDxfId="270" totalsRowDxfId="269"/>
    <tableColumn id="4" name="   " dataDxfId="268" totalsRowDxfId="267"/>
    <tableColumn id="7" name="    " dataDxfId="266" totalsRowDxfId="265"/>
    <tableColumn id="5" name="Organisation type" totalsRowLabel="Sub total:" dataDxfId="264" totalsRowDxfId="263"/>
    <tableColumn id="8" name="Name organisation" dataDxfId="262" totalsRowDxfId="261"/>
    <tableColumn id="6" name="Amount" totalsRowFunction="custom" dataDxfId="260" totalsRowDxfId="259">
      <totalsRowFormula>SUM(cleanroom[Amount])</totalsRow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31" name="investments_small" displayName="investments_small" ref="A102:H113" totalsRowCount="1" headerRowDxfId="258" totalsRowDxfId="256" tableBorderDxfId="257">
  <autoFilter ref="A102:H1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255" totalsRowDxfId="254"/>
    <tableColumn id="2" name=" " dataDxfId="253" totalsRowDxfId="252"/>
    <tableColumn id="3" name="  " dataDxfId="251" totalsRowDxfId="250"/>
    <tableColumn id="4" name="   " dataDxfId="249" totalsRowDxfId="248"/>
    <tableColumn id="7" name="    " dataDxfId="247" totalsRowDxfId="246"/>
    <tableColumn id="5" name="Organisation type" totalsRowLabel="Sub total:" dataDxfId="245" totalsRowDxfId="244"/>
    <tableColumn id="8" name="Name organisation" dataDxfId="243" totalsRowDxfId="242"/>
    <tableColumn id="6" name="Amount" totalsRowFunction="custom" dataDxfId="241" totalsRowDxfId="240">
      <totalsRowFormula>SUM(investments_small[Amount])</totalsRow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4" name="inkind" displayName="inkind" ref="A167:H183" totalsRowCount="1" totalsRowDxfId="238" tableBorderDxfId="239">
  <autoFilter ref="A167:H1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237" totalsRowDxfId="236"/>
    <tableColumn id="2" name="Name organisation" dataDxfId="235" totalsRowDxfId="234"/>
    <tableColumn id="3" name="  " dataDxfId="233" totalsRowDxfId="232"/>
    <tableColumn id="4" name="Nr of units or Nr of hours" dataDxfId="231" totalsRowDxfId="230"/>
    <tableColumn id="5" name="Unit price or hourly rate" dataDxfId="229" totalsRowDxfId="228"/>
    <tableColumn id="6" name="Organisation type" totalsRowLabel="Sub total:" dataDxfId="227" totalsRowDxfId="226"/>
    <tableColumn id="7" name="Name organisation2" dataDxfId="225" totalsRowDxfId="224"/>
    <tableColumn id="8" name="Amount" totalsRowFunction="custom" dataDxfId="223" totalsRowDxfId="222">
      <calculatedColumnFormula>inkind[Nr of units or Nr of hours]*inkind[Unit price or hourly rate]</calculatedColumnFormula>
      <totalsRowFormula>SUM(inkind[Amount])</totalsRow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list_academic" displayName="list_academic" ref="A310:A320" totalsRowShown="0" headerRowDxfId="221" dataDxfId="220">
  <autoFilter ref="A310:A320"/>
  <tableColumns count="1">
    <tableColumn id="1" name="keuzelijst instelling - academisch:" dataDxfId="2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list_other" displayName="list_other" ref="C310:C319" totalsRowShown="0" headerRowDxfId="218" dataDxfId="217" tableBorderDxfId="216">
  <autoFilter ref="C310:C319"/>
  <tableColumns count="1">
    <tableColumn id="1" name="lijst tbv keuze instelling - other institutes:" dataDxfId="2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list_combined" displayName="list_combined" ref="E310:E329" totalsRowShown="0" headerRowDxfId="214" dataDxfId="213" tableBorderDxfId="212">
  <autoFilter ref="E310:E329"/>
  <tableColumns count="1">
    <tableColumn id="1" name="lijst tbv keuze instelling - gecombineerd:" dataDxfId="2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list_cofunders" displayName="list_cofunders" ref="G310:H328" totalsRowShown="0" headerRowDxfId="210" dataDxfId="209" tableBorderDxfId="208">
  <autoFilter ref="G310:H328"/>
  <tableColumns count="2">
    <tableColumn id="1" name="list cofunders" dataDxfId="207"/>
    <tableColumn id="2" name="private?" dataDxfId="20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salaries_academic" displayName="salaries_academic" ref="A87:CT100" totalsRowShown="0" headerRowDxfId="205" dataDxfId="204" tableBorderDxfId="203">
  <autoFilter ref="A87:CT10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</autoFilter>
  <tableColumns count="98">
    <tableColumn id="1" name="category" dataDxfId="202"/>
    <tableColumn id="98" name="instruction" dataDxfId="201"/>
    <tableColumn id="2" name="1" dataDxfId="200"/>
    <tableColumn id="3" name="2" dataDxfId="199"/>
    <tableColumn id="4" name="3" dataDxfId="198"/>
    <tableColumn id="5" name="4" dataDxfId="197"/>
    <tableColumn id="6" name="5" dataDxfId="196"/>
    <tableColumn id="7" name="6" dataDxfId="195"/>
    <tableColumn id="8" name="7" dataDxfId="194"/>
    <tableColumn id="9" name="8" dataDxfId="193"/>
    <tableColumn id="10" name="9" dataDxfId="192"/>
    <tableColumn id="11" name="10" dataDxfId="191"/>
    <tableColumn id="12" name="11" dataDxfId="190"/>
    <tableColumn id="13" name="12" dataDxfId="189"/>
    <tableColumn id="14" name="13" dataDxfId="188"/>
    <tableColumn id="15" name="14" dataDxfId="187"/>
    <tableColumn id="16" name="15" dataDxfId="186"/>
    <tableColumn id="17" name="16" dataDxfId="185"/>
    <tableColumn id="18" name="17" dataDxfId="184"/>
    <tableColumn id="19" name="18" dataDxfId="183"/>
    <tableColumn id="20" name="19" dataDxfId="182"/>
    <tableColumn id="21" name="20" dataDxfId="181"/>
    <tableColumn id="22" name="21" dataDxfId="180"/>
    <tableColumn id="23" name="22" dataDxfId="179"/>
    <tableColumn id="24" name="23" dataDxfId="178"/>
    <tableColumn id="25" name="24" dataDxfId="177"/>
    <tableColumn id="26" name="25" dataDxfId="176"/>
    <tableColumn id="27" name="26" dataDxfId="175"/>
    <tableColumn id="28" name="27" dataDxfId="174"/>
    <tableColumn id="29" name="28" dataDxfId="173"/>
    <tableColumn id="30" name="29" dataDxfId="172"/>
    <tableColumn id="31" name="30" dataDxfId="171"/>
    <tableColumn id="32" name="31" dataDxfId="170"/>
    <tableColumn id="33" name="32" dataDxfId="169"/>
    <tableColumn id="34" name="33" dataDxfId="168"/>
    <tableColumn id="35" name="34" dataDxfId="167"/>
    <tableColumn id="36" name="35" dataDxfId="166"/>
    <tableColumn id="37" name="36" dataDxfId="165"/>
    <tableColumn id="38" name="37" dataDxfId="164"/>
    <tableColumn id="39" name="38" dataDxfId="163"/>
    <tableColumn id="40" name="39" dataDxfId="162"/>
    <tableColumn id="41" name="40" dataDxfId="161"/>
    <tableColumn id="42" name="41" dataDxfId="160"/>
    <tableColumn id="43" name="42" dataDxfId="159"/>
    <tableColumn id="44" name="43" dataDxfId="158"/>
    <tableColumn id="45" name="44" dataDxfId="157"/>
    <tableColumn id="46" name="45" dataDxfId="156"/>
    <tableColumn id="47" name="46" dataDxfId="155"/>
    <tableColumn id="48" name="47" dataDxfId="154"/>
    <tableColumn id="49" name="48" dataDxfId="153"/>
    <tableColumn id="50" name="49" dataDxfId="152"/>
    <tableColumn id="51" name="50" dataDxfId="151"/>
    <tableColumn id="52" name="51" dataDxfId="150"/>
    <tableColumn id="53" name="52" dataDxfId="149"/>
    <tableColumn id="54" name="53" dataDxfId="148"/>
    <tableColumn id="55" name="54" dataDxfId="147"/>
    <tableColumn id="56" name="55" dataDxfId="146"/>
    <tableColumn id="57" name="56" dataDxfId="145"/>
    <tableColumn id="58" name="57" dataDxfId="144"/>
    <tableColumn id="59" name="58" dataDxfId="143"/>
    <tableColumn id="60" name="59" dataDxfId="142"/>
    <tableColumn id="61" name="60" dataDxfId="141"/>
    <tableColumn id="62" name="61" dataDxfId="140"/>
    <tableColumn id="63" name="62" dataDxfId="139"/>
    <tableColumn id="64" name="63" dataDxfId="138"/>
    <tableColumn id="65" name="64" dataDxfId="137"/>
    <tableColumn id="66" name="65" dataDxfId="136"/>
    <tableColumn id="67" name="66" dataDxfId="135"/>
    <tableColumn id="68" name="67" dataDxfId="134"/>
    <tableColumn id="69" name="68" dataDxfId="133"/>
    <tableColumn id="70" name="69" dataDxfId="132"/>
    <tableColumn id="71" name="70" dataDxfId="131"/>
    <tableColumn id="72" name="71" dataDxfId="130"/>
    <tableColumn id="73" name="72" dataDxfId="129"/>
    <tableColumn id="74" name="73" dataDxfId="128"/>
    <tableColumn id="75" name="74" dataDxfId="127"/>
    <tableColumn id="76" name="75" dataDxfId="126"/>
    <tableColumn id="77" name="76" dataDxfId="125"/>
    <tableColumn id="78" name="77" dataDxfId="124"/>
    <tableColumn id="79" name="78" dataDxfId="123"/>
    <tableColumn id="80" name="79" dataDxfId="122"/>
    <tableColumn id="81" name="80" dataDxfId="121"/>
    <tableColumn id="82" name="81" dataDxfId="120"/>
    <tableColumn id="83" name="82" dataDxfId="119"/>
    <tableColumn id="84" name="83" dataDxfId="118"/>
    <tableColumn id="85" name="84" dataDxfId="117"/>
    <tableColumn id="86" name="85" dataDxfId="116"/>
    <tableColumn id="87" name="86" dataDxfId="115"/>
    <tableColumn id="88" name="87" dataDxfId="114"/>
    <tableColumn id="89" name="88" dataDxfId="113"/>
    <tableColumn id="90" name="89" dataDxfId="112"/>
    <tableColumn id="91" name="90" dataDxfId="111"/>
    <tableColumn id="92" name="91" dataDxfId="110"/>
    <tableColumn id="93" name="92" dataDxfId="109"/>
    <tableColumn id="94" name="93" dataDxfId="108"/>
    <tableColumn id="95" name="94" dataDxfId="107"/>
    <tableColumn id="96" name="95" dataDxfId="106"/>
    <tableColumn id="97" name="96" dataDxfId="1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salaries_other_inst" displayName="salaries_other_inst" ref="A108:B120" totalsRowShown="0" headerRowDxfId="104" dataDxfId="103" tableBorderDxfId="102">
  <autoFilter ref="A108:B120"/>
  <tableColumns count="2">
    <tableColumn id="1" name="category" dataDxfId="101"/>
    <tableColumn id="2" name="Max hourly rat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enchfee" displayName="benchfee" ref="A32:H43" totalsRowCount="1" headerRowDxfId="440" totalsRowDxfId="437" headerRowBorderDxfId="439" tableBorderDxfId="438">
  <autoFilter ref="A32:H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Category" dataDxfId="436" totalsRowDxfId="435">
      <calculatedColumnFormula>checks!R11</calculatedColumnFormula>
    </tableColumn>
    <tableColumn id="2" name="FTE" dataDxfId="434" totalsRowDxfId="433">
      <calculatedColumnFormula>checks!S11</calculatedColumnFormula>
    </tableColumn>
    <tableColumn id="3" name="Months" dataDxfId="432" totalsRowDxfId="431">
      <calculatedColumnFormula>checks!T11</calculatedColumnFormula>
    </tableColumn>
    <tableColumn id="4" name="# Benchfee" dataDxfId="430" totalsRowDxfId="429"/>
    <tableColumn id="8" name="€/benchfee" dataDxfId="428" totalsRowDxfId="427">
      <calculatedColumnFormula>benchfee_amount</calculatedColumnFormula>
    </tableColumn>
    <tableColumn id="7" name="Organisation type" totalsRowLabel="Sub total:" dataDxfId="426" totalsRowDxfId="425">
      <calculatedColumnFormula>checks!U11</calculatedColumnFormula>
    </tableColumn>
    <tableColumn id="5" name="Name organisation" dataDxfId="424" totalsRowDxfId="423">
      <calculatedColumnFormula>checks!V11</calculatedColumnFormula>
    </tableColumn>
    <tableColumn id="6" name="Amount" totalsRowFunction="custom" dataDxfId="422" totalsRowDxfId="421">
      <calculatedColumnFormula>IF(LEN(benchfee[Category])&gt;0,benchfee['# Benchfee]*benchfee_amount,"")</calculatedColumnFormula>
      <totalsRowFormula>SUM(benchfee[Amount])</totalsRow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3" name="CCC_table" displayName="CCC_table" ref="A135:E302" totalsRowShown="0" headerRowDxfId="99">
  <autoFilter ref="A135:E302"/>
  <tableColumns count="5">
    <tableColumn id="1" name="Code" dataDxfId="98"/>
    <tableColumn id="2" name="Country" dataDxfId="97"/>
    <tableColumn id="3" name="Code and Country" dataDxfId="96">
      <calculatedColumnFormula>A136&amp;" "&amp;B136&amp;" "&amp;"CCC: "&amp;D136</calculatedColumnFormula>
    </tableColumn>
    <tableColumn id="4" name="CC" dataDxfId="95"/>
    <tableColumn id="5" name="Categorie" dataDxfId="9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check_items" displayName="check_items" ref="A117:C192" totalsRowShown="0" headerRowDxfId="93" dataDxfId="92">
  <autoFilter ref="A117:C192"/>
  <tableColumns count="3">
    <tableColumn id="1" name="Situation" dataDxfId="91"/>
    <tableColumn id="2" name="Message" dataDxfId="90"/>
    <tableColumn id="3" name="Remarks" dataDxfId="8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5" name="personnel_ac_notes" displayName="personnel_ac_notes" ref="A207:Z307" totalsRowShown="0" headerRowDxfId="88" dataDxfId="87">
  <autoFilter ref="A207:Z307"/>
  <tableColumns count="26">
    <tableColumn id="1" name="Row nr" dataDxfId="86"/>
    <tableColumn id="13" name="Combined notes" dataDxfId="85">
      <calculatedColumnFormula array="1">IFERROR(INDEX(personnel_ac_notes[[#This Row],[Exceeding nr months]:[Costs specified]],1,MATCH(TRUE,LEN(personnel_ac_notes[[#This Row],[Exceeding nr months]:[Costs specified]])&gt;0,0)),"")</calculatedColumnFormula>
    </tableColumn>
    <tableColumn id="2" name="Exceeding nr months" dataDxfId="84">
      <calculatedColumnFormula>IFERROR(IF(INDEX(Personnel[Months],A208)&gt;Max_project_duration,$B$128,""),"")</calculatedColumnFormula>
    </tableColumn>
    <tableColumn id="24" name="Empty lines" dataDxfId="83">
      <calculatedColumnFormula>IFERROR(IF(AND(LEN(INDEX(Personnel[Category],A208))+LEN(INDEX(Personnel[FTE],A208))+LEN(INDEX(Personnel[Months],A208))&gt;0,LEN(INDEX(Personnel[Category],A208-1))+LEN(INDEX(Personnel[FTE],A208-1))+LEN(INDEX(Personnel[Months],A208-1))=0),$B$127,""),"")</calculatedColumnFormula>
    </tableColumn>
    <tableColumn id="25" name="Instruction" dataDxfId="82">
      <calculatedColumnFormula>IF(AND(NOT(ISBLANK(INDEX(Personnel[Category],A208))),OR(ISBLANK(INDEX(Personnel[FTE],A208)),ISBLANK(INDEX(Personnel[Months],A208)))),VLOOKUP(INDEX(Personnel[Category],A208),salaries_academic[],2,FALSE),"")</calculatedColumnFormula>
    </tableColumn>
    <tableColumn id="3" name="PhD duration too small" dataDxfId="81">
      <calculatedColumnFormula>IFERROR(IF(COUNTIF(INDEX(Personnel[Category],A208),"*- PhD*")&gt;0,IF(INDEX(Personnel[Months],A208)*INDEX(Personnel[FTE],A208)&lt;pers_PhD_min_months,$B$129,""),""),"")</calculatedColumnFormula>
    </tableColumn>
    <tableColumn id="26" name="PhD too long" dataDxfId="80">
      <calculatedColumnFormula>IFERROR(IF(COUNTIF(INDEX(Personnel[Category],$A208),"*- PhD*")&gt;0,IF(INDEX(Personnel[Months],$A208)*INDEX(Personnel[FTE],$A208)&gt;pers_PhD_max_months,$B$130,""),""),"")</calculatedColumnFormula>
    </tableColumn>
    <tableColumn id="4" name="3y PhD &lt;36 months" dataDxfId="79">
      <calculatedColumnFormula>IFERROR(IF(COUNTIF(INDEX(Personnel[Category],A208),"*year*")&gt;0,IF(INDEX(Personnel[Months],A208)*INDEX(Personnel[FTE],A208)&lt;pers_3yPhD_min_months,$B$131,""),""),"")</calculatedColumnFormula>
    </tableColumn>
    <tableColumn id="5" name="PDEng combination with PhD/PD" dataDxfId="78">
      <calculatedColumnFormula>IFERROR(IF(COUNTIF(INDEX(Personnel[Category],A208),"*PDEng*")&gt;0,IF(OR(IFERROR(MATCH("*PhD*",Personnel[Category],0),0)&gt;0,IFERROR(MATCH("*PostDoc*",Personnel[Category],0),0)&gt;0),"",$B$132),""),"")</calculatedColumnFormula>
    </tableColumn>
    <tableColumn id="6" name="PDEng duration" dataDxfId="77">
      <calculatedColumnFormula>IFERROR(IF(COUNTIF(INDEX(Personnel[Category],A208),"*PDEng*")&gt;0,IF(INDEX(Personnel[Months],A208)*INDEX(Personnel[FTE],A208)&gt;pers_PDEng_max_months,$B$133,""),""),"")</calculatedColumnFormula>
    </tableColumn>
    <tableColumn id="7" name="PD min duration" dataDxfId="76">
      <calculatedColumnFormula>IFERROR(IF(COUNTIF(INDEX(Personnel[Category],A208),"*PostDoc*")&gt;0,IF(INDEX(Personnel[Months],A208)*INDEX(Personnel[FTE],A208)&lt;pers_PD_min_months,$B$134,""),""),"")</calculatedColumnFormula>
    </tableColumn>
    <tableColumn id="8" name="PD max duration" dataDxfId="75">
      <calculatedColumnFormula>IFERROR(IF(COUNTIF(INDEX(Personnel[Category],A208),"*PostDoc*")&gt;0,IF(INDEX(Personnel[Months],A208)*INDEX(Personnel[FTE],A208)&gt;pers_PD_max_months,$B$135,""),""),"")</calculatedColumnFormula>
    </tableColumn>
    <tableColumn id="9" name="NSP combi" dataDxfId="74">
      <calculatedColumnFormula>IFERROR(IF(COUNTIF(INDEX(Personnel[Category],A208),"*Non-scientific*")&gt;0,IF(OR(IFERROR(MATCH("*PhD*",Personnel[Category],0),0)&gt;0,IFERROR(MATCH("*PostDoc*",Personnel[Category],0),0)&gt;0),"",$B$136),""),"")</calculatedColumnFormula>
    </tableColumn>
    <tableColumn id="10" name="NSP max amount" dataDxfId="73">
      <calculatedColumnFormula>IFERROR(IF(COUNTIF(INDEX(Personnel[Category],A208),"*Non-scientific*")&gt;0,IF(Total_NSP&gt;pers_max_NSP,$B$137,""),""),"")</calculatedColumnFormula>
    </tableColumn>
    <tableColumn id="11" name="NSP min duration" dataDxfId="72">
      <calculatedColumnFormula>IFERROR(IF(COUNTIF(INDEX(Personnel[Category],A208),"*Non-scientific*")&gt;0,IF(INDEX(Personnel[Months],A208)*INDEX(Personnel[FTE],A208)&lt;pers_NSP_min_months,$B$138,""),""),"")</calculatedColumnFormula>
    </tableColumn>
    <tableColumn id="12" name="NSP max duration" dataDxfId="71">
      <calculatedColumnFormula>IFERROR(IF(COUNTIF(INDEX(Personnel[Category],A208),"*Non-scientific*")&gt;0,IF(INDEX(Personnel[Months],A208)*INDEX(Personnel[FTE],A208)&gt;pers_NSP_max_months,$B$139,""),""),"")</calculatedColumnFormula>
    </tableColumn>
    <tableColumn id="14" name="OSP combi with PD/PhD" dataDxfId="70">
      <calculatedColumnFormula>IFERROR(IF(COUNTIF(INDEX(Personnel[Category],A208),"*Other scientific*")&gt;0,IF(OR(IFERROR(MATCH("*PhD*",Personnel[Category],0),0)&gt;0,IFERROR(MATCH("*PostDoc*",Personnel[Category],0),0)&gt;0),"",$B$140),""),"")</calculatedColumnFormula>
    </tableColumn>
    <tableColumn id="15" name="OSP max amount" dataDxfId="69">
      <calculatedColumnFormula>IFERROR(IF(COUNTIF(INDEX(Personnel[Category],A208),"*Other scientific*")&gt;0,IF(Total_OSP&gt;pers_max_OSP,$B$141,""),""),"")</calculatedColumnFormula>
    </tableColumn>
    <tableColumn id="16" name="OSP min duration" dataDxfId="68">
      <calculatedColumnFormula>IFERROR(IF(COUNTIF(INDEX(Personnel[Category],A208),"*Other scientific*")&gt;0,IF(INDEX(Personnel[Months],A208)*INDEX(Personnel[FTE],A208)&lt;pers_OSP_min_months,$B$142,""),""),"")</calculatedColumnFormula>
    </tableColumn>
    <tableColumn id="17" name="OSP max duration" dataDxfId="67">
      <calculatedColumnFormula>IFERROR(IF(COUNTIF(INDEX(Personnel[Category],A208),"*Other scientific*")&gt;0,IF(INDEX(Personnel[Months],A208)*INDEX(Personnel[FTE],A208)&gt;pers_OSP_max_months,$B$143,""),""),"")</calculatedColumnFormula>
    </tableColumn>
    <tableColumn id="20" name="Research Leave - amount" dataDxfId="66">
      <calculatedColumnFormula>IFERROR(IF(COUNTIF(INDEX(Personnel[Category],A208),"*leave*")&gt;0,IF(Total_Research_leave&gt;pers_leave_maxperc*Total_NWO_funding,$B$144,""),""),"")</calculatedColumnFormula>
    </tableColumn>
    <tableColumn id="18" name="Research leave - max duration" dataDxfId="65">
      <calculatedColumnFormula>IFERROR(IF(COUNTIF(INDEX(Personnel[Category],A208),"*leave*")&gt;0,IF(Research_leave_FTE_months&gt;pers_leave_maxduration,$B$145,""),""),"")</calculatedColumnFormula>
    </tableColumn>
    <tableColumn id="23" name="No costs given" dataDxfId="64">
      <calculatedColumnFormula>IFERROR(IF(AND(INDEX(Personnel[Costs],A208)=0,INDEX(salaries_academic[[category]:[1]],MATCH(INDEX(Personnel[Category],A208),salaries_academic[category],0),3)=0),$B$148,""),"")</calculatedColumnFormula>
    </tableColumn>
    <tableColumn id="19" name="Organisation type" dataDxfId="63">
      <calculatedColumnFormula>IF(AND(organisation_type="yes",INDEX(Personnel[Amount],A208,1)&lt;&gt;"",ISBLANK(INDEX(Personnel[Organisation type],A208,1))),$B$146,"")</calculatedColumnFormula>
    </tableColumn>
    <tableColumn id="22" name="Name organisation" dataDxfId="62">
      <calculatedColumnFormula>IF(AND(organisation_name="yes",INDEX(Personnel[Amount],A208,1)&lt;&gt;"",ISBLANK(INDEX(Personnel[Name organisation],A208,1))),$B$147,"")</calculatedColumnFormula>
    </tableColumn>
    <tableColumn id="21" name="Costs specified" dataDxfId="61">
      <calculatedColumnFormula>IFERROR(IF(AND(INDEX(Personnel[Costs],A208)&gt;0,INDEX(salaries_academic[[category]:[1]],MATCH(INDEX(Personnel[Category],A208),salaries_academic[category],0),3)&gt;0),$B$149,""),"")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personnel_other_inst" displayName="personnel_other_inst" ref="A311:I411" totalsRowShown="0" headerRowDxfId="60" dataDxfId="58" headerRowBorderDxfId="59" tableBorderDxfId="57">
  <autoFilter ref="A311:I411"/>
  <tableColumns count="9">
    <tableColumn id="1" name="Row nr" dataDxfId="56"/>
    <tableColumn id="2" name="Combined notes" dataDxfId="55">
      <calculatedColumnFormula array="1">IFERROR(INDEX(personnel_other_inst[[#This Row],[Empty lines]:[Name organisation]],1,MATCH(TRUE,LEN(personnel_other_inst[[#This Row],[Empty lines]:[Name organisation]])&gt;0,0)),"")</calculatedColumnFormula>
    </tableColumn>
    <tableColumn id="9" name="Empty lines" dataDxfId="54">
      <calculatedColumnFormula>IFERROR(IF(AND(LEN(INDEX(#REF!,A312))+LEN(INDEX(#REF!,A312))+LEN(INDEX(#REF!,A312))+LEN(INDEX(#REF!,A312))&gt;0,LEN(INDEX(#REF!,A312-1))+LEN(INDEX(#REF!,A312-1))+LEN(INDEX(#REF!,A312-1))+LEN(INDEX(#REF!,A312-1))=0),$B$127,""),"")</calculatedColumnFormula>
    </tableColumn>
    <tableColumn id="3" name="No category selected" dataDxfId="53">
      <calculatedColumnFormula>IFERROR(IF(AND(INDEX(#REF!,A312)="",OR(INDEX(#REF!,A312)&gt;0,INDEX(#REF!,A312)&gt;0,INDEX(#REF!,A312)&gt;0)),$B$152,""),"")</calculatedColumnFormula>
    </tableColumn>
    <tableColumn id="4" name="Hourly rate too high" dataDxfId="52">
      <calculatedColumnFormula>SUBSTITUTE(IF(INDEX(#REF!,A312)&gt;IFERROR(INDEX(salaries_other_inst[Max hourly rate],MATCH(INDEX(#REF!,A312),salaries_other_inst[category],0),1),""),$B$153,""),"&lt;&lt;max_hourly_rate&gt;&gt;",TEXT(IFERROR(INDEX(salaries_other_inst[Max hourly rate],MATCH(INDEX(#REF!,A312),salaries_other_inst[category],0),1),""),"€ #"))</calculatedColumnFormula>
    </tableColumn>
    <tableColumn id="8" name="Nr months not given" dataDxfId="51">
      <calculatedColumnFormula>IFERROR(IF(AND(INDEX(#REF!,A312)&lt;&gt;"",INDEX(#REF!,A312)=0),$B$155,""),"")</calculatedColumnFormula>
    </tableColumn>
    <tableColumn id="6" name="exceeding 1 FTE" dataDxfId="50">
      <calculatedColumnFormula>IFERROR(IF(12*INDEX(#REF!,A312)/INDEX(#REF!,A312)&gt;pers_other_nrhours_year,checks!$B$156,""),"")</calculatedColumnFormula>
    </tableColumn>
    <tableColumn id="5" name="Organisation type" dataDxfId="49">
      <calculatedColumnFormula>IF(AND(organisation_type="yes",INDEX(#REF!,A312,1)&lt;&gt;"",ISBLANK(INDEX(#REF!,A312,1))),$B$146,"")</calculatedColumnFormula>
    </tableColumn>
    <tableColumn id="7" name="Name organisation" dataDxfId="48">
      <calculatedColumnFormula>IF(AND(organisation_name="yes",INDEX(#REF!,A312,1)&lt;&gt;"",ISBLANK(INDEX(#REF!,A312,1))),$B$147,"")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4" name="personnel_other_inst_21" displayName="personnel_other_inst_21" ref="A415:I515" totalsRowShown="0" headerRowDxfId="47" dataDxfId="45" headerRowBorderDxfId="46" tableBorderDxfId="44">
  <autoFilter ref="A415:I515"/>
  <tableColumns count="9">
    <tableColumn id="1" name="Row nr" dataDxfId="43"/>
    <tableColumn id="2" name="Combined notes" dataDxfId="42">
      <calculatedColumnFormula array="1">IFERROR(INDEX(personnel_other_inst_21[[#This Row],[Empty lines]:[Name organisation]],1,MATCH(TRUE,LEN(personnel_other_inst_21[[#This Row],[Empty lines]:[Name organisation]])&gt;0,0)),"")</calculatedColumnFormula>
    </tableColumn>
    <tableColumn id="9" name="Empty lines" dataDxfId="41">
      <calculatedColumnFormula>IFERROR(IF(AND(LEN(INDEX(#REF!,A416))+LEN(INDEX(#REF!,A416))+LEN(INDEX(#REF!,A416))+LEN(INDEX(#REF!,A416))+LEN(INDEX(#REF!,A416))&gt;0,LEN(INDEX(#REF!,A416-1))++LEN(INDEX(#REF!,A416-1))+LEN(INDEX(#REF!,A416-1))+LEN(INDEX(#REF!,A416-1))+LEN(INDEX(#REF!,A416-1))=0),$B$127,""),"")</calculatedColumnFormula>
    </tableColumn>
    <tableColumn id="3" name="No category selected" dataDxfId="40">
      <calculatedColumnFormula>IFERROR(IF(AND(INDEX(#REF!,A416)="",OR(INDEX(#REF!,A416)&gt;0,INDEX(#REF!,A416)&gt;0,INDEX(#REF!,A416)&gt;0)),$B$154,""),"")</calculatedColumnFormula>
    </tableColumn>
    <tableColumn id="4" name="Hourly rate too high" dataDxfId="39">
      <calculatedColumnFormula>SUBSTITUTE(IF(INDEX(#REF!,A416)&gt;IFERROR(INDEX(salaries_other_inst[Max hourly rate],MATCH(INDEX(#REF!,A416),salaries_other_inst[category],0),1),""),$B$153,""),"&lt;&lt;max_hourly_rate&gt;&gt;",TEXT(IFERROR(INDEX(salaries_other_inst[Max hourly rate],MATCH(INDEX(#REF!,A416),salaries_other_inst[category],0),1),""),"€ #"))</calculatedColumnFormula>
    </tableColumn>
    <tableColumn id="7" name="Nr of months not given" dataDxfId="38">
      <calculatedColumnFormula>IFERROR(IF(AND(INDEX(#REF!,A416)&lt;&gt;"",INDEX(#REF!,A416)=0),$B$155,""),"")</calculatedColumnFormula>
    </tableColumn>
    <tableColumn id="6" name="exceeding 1 FTE" dataDxfId="37">
      <calculatedColumnFormula>IFERROR(IF(12*INDEX(#REF!,A416)/INDEX(#REF!,A416)&gt;pers_other_nrhours_year,checks!$A$156,""),"")</calculatedColumnFormula>
    </tableColumn>
    <tableColumn id="5" name="Organisation type" dataDxfId="36">
      <calculatedColumnFormula>IF(AND(organisation_type="yes",INDEX(#REF!,A312,1)&lt;&gt;"",ISBLANK(INDEX(#REF!,A312,1))),$B$146,"")</calculatedColumnFormula>
    </tableColumn>
    <tableColumn id="8" name="Name organisation" dataDxfId="35">
      <calculatedColumnFormula>IF(AND(organisation_name="yes",INDEX(#REF!,A416,1)&lt;&gt;"",ISBLANK(INDEX(#REF!,A416,1))),$B$147,"")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3" name="Tabel33" displayName="Tabel33" ref="A519:J619" totalsRowShown="0">
  <autoFilter ref="A519:J619"/>
  <tableColumns count="10">
    <tableColumn id="1" name="Row nr" dataDxfId="34"/>
    <tableColumn id="2" name="Combined notes" dataDxfId="33">
      <calculatedColumnFormula array="1">IFERROR(INDEX(Tabel33[[#This Row],[Empty line]:[organisation name]],1,MATCH(TRUE,LEN(Tabel33[[#This Row],[Empty line]:[organisation name]])&gt;0,0)),"")</calculatedColumnFormula>
    </tableColumn>
    <tableColumn id="10" name="Empty line" dataDxfId="32">
      <calculatedColumnFormula>IFERROR(IF(AND(LEN(INDEX(MfC_pers_ac_inst[Category],$A520))+LEN(INDEX(MfC_pers_ac_inst[FTE],$A520))+LEN(INDEX(MfC_pers_ac_inst[Months],$A520))+LEN(INDEX(MfC_pers_ac_inst[Country],$A520))&gt;0,LEN(INDEX(MfC_pers_ac_inst[Category],$A520-1))+LEN(INDEX(MfC_pers_ac_inst[FTE],$A520-1))+LEN(INDEX(MfC_pers_ac_inst[Months],$A520-1))+LEN(INDEX(MfC_pers_ac_inst[Country],$A520-1))=0),$B$127,""),"")</calculatedColumnFormula>
    </tableColumn>
    <tableColumn id="11" name="No category selected" dataDxfId="31">
      <calculatedColumnFormula>IFERROR(IF(AND(INDEX(MfC_pers_ac_inst[Category]="",$A520),OR(INDEX(MfC_pers_ac_inst[FTE],$A520)&gt;0,INDEX(MfC_pers_ac_inst[Months],$A520)&gt;0,INDEX(MfC_pers_ac_inst[Costs],$A520)&gt;0,LEN(INDEX(MfC_pers_ac_inst[Country],$A520))&gt;0)),$B$171,""),"")</calculatedColumnFormula>
    </tableColumn>
    <tableColumn id="6" name="Instruction" dataDxfId="30">
      <calculatedColumnFormula>IF(AND(INDEX(MfC_pers_ac_inst[Category],A520)&lt;&gt;"",OR(INDEX(MfC_pers_ac_inst[FTE],A520)&lt;=0,INDEX(MfC_pers_ac_inst[Months],A520)&lt;=0)),INDEX(salaries_academic[],MATCH(INDEX(MfC_pers_ac_inst[Category],A520),salaries_academic[category],0),2),"")</calculatedColumnFormula>
    </tableColumn>
    <tableColumn id="5" name="Country not specified" dataDxfId="29">
      <calculatedColumnFormula>IFERROR(IF(Tabel33[Instruction]="",IF(AND(INDEX(MfC_pers_ac_inst[Country]="",A520),OR(INDEX(MfC_pers_ac_inst[Category],A520)&lt;&gt;"",INDEX(MfC_pers_ac_inst[FTE],A520)&gt;0,INDEX(MfC_pers_ac_inst[Months],A520)&gt;0,INDEX(MfC_pers_ac_inst[Costs],A520)&gt;0,LEN(INDEX(MfC_pers_ac_inst[Country],A520))&gt;0)),$B$173,""),""),"")</calculatedColumnFormula>
    </tableColumn>
    <tableColumn id="4" name="OSP - costs" dataDxfId="28">
      <calculatedColumnFormula>IF(AND(Tabel33[Instruction]="",Tabel33[Country not specified]=""),IF(AND(INDEX(MfC_pers_ac_inst[Category],A520)&lt;&gt;"",INDEX(MfC_pers_ac_inst[Costs],A520)&lt;=0),IF(INDEX(salaries_academic[],MATCH(INDEX(MfC_pers_ac_inst[Category],A520),salaries_academic[category],0),3)="",$B$172,""),""),"")</calculatedColumnFormula>
    </tableColumn>
    <tableColumn id="7" name="cost not relevant" dataDxfId="27">
      <calculatedColumnFormula>IFERROR(IF(AND(INDEX(salaries_academic[],MATCH(INDEX(MfC_pers_ac_inst[Category],A520),salaries_academic[category],0),3)&gt;0,INDEX(MfC_pers_ac_inst[Costs],A520)&gt;0),$B$174,""),"")</calculatedColumnFormula>
    </tableColumn>
    <tableColumn id="8" name="organisation type" dataDxfId="26">
      <calculatedColumnFormula>IFERROR(IF(AND(organisation_type="yes",VALUE(INDEX(MfC_pers_ac_inst[Amount],A520))&gt;0,ISBLANK(INDEX(MfC_pers_ac_inst[Organisation type],A520))),$B$175,""),"")</calculatedColumnFormula>
    </tableColumn>
    <tableColumn id="9" name="organisation name" dataDxfId="25">
      <calculatedColumnFormula>IFERROR(IF(AND(organisation_name="yes",VALUE(INDEX(MfC_pers_ac_inst[Amount],A520))&gt;0,ISBLANK(INDEX(MfC_pers_ac_inst[Name organisation],A520)),Tabel33[organisation type]=""),$B$176,""),"")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cofunding_comb_notes" displayName="cofunding_comb_notes" ref="A744:E745" totalsRowShown="0" headerRowDxfId="24" dataDxfId="23">
  <autoFilter ref="A744:E745"/>
  <tableColumns count="5">
    <tableColumn id="1" name="Combined notes" dataDxfId="22">
      <calculatedColumnFormula>cofunding_comb_notes[too less - no threshold]&amp;cofunding_comb_notes[too less - incl threshold]&amp;cofunding_comb_notes[private part too low]&amp;cofunding_comb_notes[too much]</calculatedColumnFormula>
    </tableColumn>
    <tableColumn id="2" name="too less - no threshold" dataDxfId="21">
      <calculatedColumnFormula>IF(AND(cofunding_threshold=0,Total_cofunding&lt;cofunding_min_perc*Total_project_budget),$B$190,"")</calculatedColumnFormula>
    </tableColumn>
    <tableColumn id="3" name="too less - incl threshold" dataDxfId="20">
      <calculatedColumnFormula>IF(AND(cofunding_threshold&gt;0,Total_cofunding&lt;cofunding_min_perc*(Total_project_budget-cofunding_threshold)),$B$189,"")</calculatedColumnFormula>
    </tableColumn>
    <tableColumn id="4" name="private part too low" dataDxfId="19">
      <calculatedColumnFormula>IFERROR(IF(AND(total_private_cof&lt;cofunding_private_minperc*Total_project_budget,cofunding_comb_notes[too less - no threshold]="",cofunding_comb_notes[too less - incl threshold]=""),$B$191,""),"")</calculatedColumnFormula>
    </tableColumn>
    <tableColumn id="5" name="too much" dataDxfId="18">
      <calculatedColumnFormula>IF(Total_cofunding&gt;cofunding_max_perc*Total_project_budget,B192,"")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combined_dates" displayName="combined_dates" ref="A197:E198" totalsRowShown="0" headerRowDxfId="17" dataDxfId="16">
  <autoFilter ref="A197:E198"/>
  <tableColumns count="5">
    <tableColumn id="1" name="Combined notes start/end date" dataDxfId="15">
      <calculatedColumnFormula array="1">IFERROR(INDEX(combined_dates[[#This Row],[start date missing]:[start date before now]],1,MATCH(TRUE,LEN(combined_dates[[#This Row],[start date missing]:[start date before now]])&gt;0,0)),"")</calculatedColumnFormula>
    </tableColumn>
    <tableColumn id="2" name="start date missing" dataDxfId="14">
      <calculatedColumnFormula>IF(AND(Total_NWO_funding&gt;0,startdate=""),$B$121,"")</calculatedColumnFormula>
    </tableColumn>
    <tableColumn id="3" name="end date missing" dataDxfId="13">
      <calculatedColumnFormula>IF(AND(Total_NWO_funding&gt;0,enddate=""),$B$122,"")</calculatedColumnFormula>
    </tableColumn>
    <tableColumn id="4" name="start date before end date" dataDxfId="12">
      <calculatedColumnFormula>IF(AND(startdate&gt;enddate,NOT(ISBLANK(enddate))),$B$120,"")</calculatedColumnFormula>
    </tableColumn>
    <tableColumn id="5" name="start date before now" dataDxfId="11">
      <calculatedColumnFormula>IF(AND(NOT(ISBLANK(startdate)),startdate&lt;TODAY()),$B$123,"")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comb_notes_inkind" displayName="comb_notes_inkind" ref="A622:I722" totalsRowShown="0" headerRowDxfId="10" dataDxfId="9">
  <autoFilter ref="A622:I722"/>
  <tableColumns count="9">
    <tableColumn id="1" name="Row nr" dataDxfId="8"/>
    <tableColumn id="2" name="Combined notes" dataDxfId="7">
      <calculatedColumnFormula array="1">IFERROR(INDEX(comb_notes_inkind[[#This Row],[Empty line]:[No organisation name]],1,MATCH(TRUE,LEN(comb_notes_inkind[[#This Row],[Empty line]:[No organisation name]])&gt;0,0)),"")</calculatedColumnFormula>
    </tableColumn>
    <tableColumn id="3" name="Empty line" dataDxfId="6">
      <calculatedColumnFormula>IFERROR(IF(AND(LEN(INDEX(inkind[Description],$A623))+LEN(INDEX(inkind[Name organisation],$A623))+LEN(INDEX(inkind[[  ]],$A623))+LEN(INDEX(inkind[Nr of units or Nr of hours],$A623))&gt;0,LEN(INDEX(inkind[Description],$A623-1))+LEN(INDEX(inkind[Name organisation],$A623-1))+LEN(INDEX(inkind[[  ]],$A623-1))+LEN(INDEX(inkind[Nr of units or Nr of hours],$A623-1))=0),$B$127,""),"")</calculatedColumnFormula>
    </tableColumn>
    <tableColumn id="4" name="No type co-funding" dataDxfId="5">
      <calculatedColumnFormula>IF(AND(INDEX(inkind[Amount],$A623)&gt;0,LEN(INDEX(inkind[Name organisation],$A623))=0,cofunding_inkind_def_rates="yes"),$B$183,"")</calculatedColumnFormula>
    </tableColumn>
    <tableColumn id="5" name="No rate type" dataDxfId="4">
      <calculatedColumnFormula>IF(AND(INDEX(inkind[Amount],$A623)&gt;0,LEN(INDEX(inkind[[  ]],$A623))=0,cofunding_inkind_def_rates="yes"),$B$183,"")</calculatedColumnFormula>
    </tableColumn>
    <tableColumn id="8" name="Exceeding rate" dataDxfId="3">
      <calculatedColumnFormula>IF(AND(INDEX(inkind[[  ]],$A623)="Junior",INDEX(inkind[Unit price or hourly rate],$A623)&gt;cofunding_junior_rate),$B$186,IF(AND(INDEX(inkind[[  ]],$A623)="Senior",INDEX(inkind[Unit price or hourly rate],$A623)&gt;cofunding_senior_rate),$B$187,""))</calculatedColumnFormula>
    </tableColumn>
    <tableColumn id="9" name="Type rate given" dataDxfId="2">
      <calculatedColumnFormula>IF(AND(INDEX(inkind[Name organisation],$A623)="Materials",LEN(INDEX(inkind[[  ]],$A623))&gt;0),$B$184,"")</calculatedColumnFormula>
    </tableColumn>
    <tableColumn id="6" name="No organisation type" dataDxfId="1">
      <calculatedColumnFormula>IF(AND(INDEX(inkind[Amount],$A623)&gt;0,LEN(INDEX(inkind[Organisation type],$A623))=0),$B$175,"")</calculatedColumnFormula>
    </tableColumn>
    <tableColumn id="7" name="No organisation name" dataDxfId="0">
      <calculatedColumnFormula>IF(AND(INDEX(inkind[Amount],$A623)&gt;0,LEN(INDEX(inkind[Name organisation2],$A623))=0),$B$176,"")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internationalisation" displayName="internationalisation" ref="A127:H133" totalsRowCount="1" headerRowDxfId="420" dataDxfId="419" totalsRowDxfId="417" tableBorderDxfId="418" totalsRowBorderDxfId="416">
  <autoFilter ref="A127:H1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totalsRowDxfId="415"/>
    <tableColumn id="2" name=" " totalsRowDxfId="414"/>
    <tableColumn id="3" name="  " totalsRowDxfId="413"/>
    <tableColumn id="4" name="   " totalsRowDxfId="412"/>
    <tableColumn id="7" name="    " totalsRowDxfId="411"/>
    <tableColumn id="5" name="Organisation type" totalsRowLabel="Total Internationalisation:" dataDxfId="410" totalsRowDxfId="409"/>
    <tableColumn id="8" name="Name organisation" dataDxfId="408" totalsRowDxfId="407"/>
    <tableColumn id="6" name="Amount" totalsRowFunction="custom" dataDxfId="406" totalsRowDxfId="405">
      <totalsRowFormula>SUM(internationalisation[Amount])</totalsRow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incash" displayName="incash" ref="A185:H196" totalsRowCount="1" headerRowDxfId="404" totalsRowDxfId="402" tableBorderDxfId="403">
  <autoFilter ref="A185:H19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ame organisation" dataDxfId="401" totalsRowDxfId="400"/>
    <tableColumn id="2" name=" " dataDxfId="399" totalsRowDxfId="398"/>
    <tableColumn id="3" name="  " dataDxfId="397" totalsRowDxfId="396"/>
    <tableColumn id="4" name="   " dataDxfId="395" totalsRowDxfId="394"/>
    <tableColumn id="7" name="    " dataDxfId="393" totalsRowDxfId="392"/>
    <tableColumn id="5" name="Organisation type" totalsRowLabel="Sub total:" dataDxfId="391" totalsRowDxfId="390"/>
    <tableColumn id="8" name="Name organisation2" dataDxfId="389" totalsRowDxfId="388"/>
    <tableColumn id="6" name="Amount" totalsRowFunction="custom" totalsRowDxfId="387">
      <totalsRowFormula>SUM(incash[Amount])</totalsRow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0" name="travel_acc" displayName="travel_acc" ref="A66:H77" totalsRowCount="1" headerRowDxfId="386" totalsRowDxfId="384" tableBorderDxfId="385" totalsRowBorderDxfId="383">
  <autoFilter ref="A66:H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382" totalsRowDxfId="381"/>
    <tableColumn id="2" name=" " dataDxfId="380" totalsRowDxfId="379"/>
    <tableColumn id="3" name="  " dataDxfId="378" totalsRowDxfId="377"/>
    <tableColumn id="4" name="   " dataDxfId="376" totalsRowDxfId="375"/>
    <tableColumn id="7" name="    " dataDxfId="374" totalsRowDxfId="373"/>
    <tableColumn id="5" name="Organisation type" totalsRowLabel="Sub total:" dataDxfId="372" totalsRowDxfId="371"/>
    <tableColumn id="8" name="Name organisation" dataDxfId="370" totalsRowDxfId="369"/>
    <tableColumn id="6" name="Amount" totalsRowFunction="custom" dataDxfId="368" totalsRowDxfId="367">
      <totalsRowFormula>SUM(travel_acc[Amount])</totalsRow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3" name="goods_services" displayName="goods_services" ref="A48:H64" totalsRowCount="1" headerRowDxfId="366" totalsRowDxfId="364" tableBorderDxfId="365">
  <autoFilter ref="A48:H6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363" totalsRowDxfId="362"/>
    <tableColumn id="2" name=" " dataDxfId="361" totalsRowDxfId="360"/>
    <tableColumn id="3" name="  " dataDxfId="359" totalsRowDxfId="358"/>
    <tableColumn id="4" name="   " dataDxfId="357" totalsRowDxfId="356"/>
    <tableColumn id="7" name="    " dataDxfId="355" totalsRowDxfId="354"/>
    <tableColumn id="5" name="Organisation type" totalsRowLabel="Sub total:" dataDxfId="353" totalsRowDxfId="352"/>
    <tableColumn id="8" name="Name organisation" dataDxfId="351" totalsRowDxfId="350"/>
    <tableColumn id="6" name="Amount" totalsRowFunction="custom" dataDxfId="349" totalsRowDxfId="348">
      <totalsRowFormula>SUM(goods_services[Amount])</totalsRow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4" name="implementation" displayName="implementation" ref="A79:H90" totalsRowCount="1" headerRowDxfId="347" totalsRowDxfId="345" tableBorderDxfId="346" totalsRowBorderDxfId="344">
  <autoFilter ref="A79:H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343" totalsRowDxfId="342"/>
    <tableColumn id="2" name=" " dataDxfId="341" totalsRowDxfId="340"/>
    <tableColumn id="3" name="  " dataDxfId="339" totalsRowDxfId="338"/>
    <tableColumn id="4" name="   " dataDxfId="337" totalsRowDxfId="336"/>
    <tableColumn id="7" name="    " dataDxfId="335" totalsRowDxfId="334"/>
    <tableColumn id="5" name="Organisation type" totalsRowLabel="Sub total:" dataDxfId="333" totalsRowDxfId="332"/>
    <tableColumn id="8" name="Name organisation" dataDxfId="331" totalsRowDxfId="330"/>
    <tableColumn id="6" name="Amount" totalsRowFunction="custom" dataDxfId="329" totalsRowDxfId="328">
      <totalsRowFormula>SUM(implementation[Amount])</totalsRow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6" name="knowledge_utilisation" displayName="knowledge_utilisation" ref="A117:H123" totalsRowCount="1" headerRowDxfId="327" dataDxfId="326" totalsRowDxfId="324" tableBorderDxfId="325">
  <autoFilter ref="A117:H1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dataDxfId="323" totalsRowDxfId="322"/>
    <tableColumn id="2" name=" " dataDxfId="321" totalsRowDxfId="320"/>
    <tableColumn id="3" name="  " dataDxfId="319" totalsRowDxfId="318"/>
    <tableColumn id="4" name="   " dataDxfId="317" totalsRowDxfId="316"/>
    <tableColumn id="7" name="    " dataDxfId="315" totalsRowDxfId="314"/>
    <tableColumn id="5" name="Organisation type" totalsRowLabel="Total knowledge utilisation:" dataDxfId="313" totalsRowDxfId="312"/>
    <tableColumn id="8" name="Name organisation" dataDxfId="311" totalsRowDxfId="310"/>
    <tableColumn id="6" name="Amount" totalsRowFunction="custom" dataDxfId="309" totalsRowDxfId="308">
      <totalsRowFormula>SUM(knowledge_utilisation[Amount])</totalsRow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8" name="MfC_materials" displayName="MfC_materials" ref="A150:H161" totalsRowCount="1" headerRowDxfId="307" dataDxfId="306" totalsRowDxfId="304" tableBorderDxfId="305">
  <autoFilter ref="A150:H1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Description" totalsRowDxfId="303"/>
    <tableColumn id="2" name=" " totalsRowDxfId="302"/>
    <tableColumn id="3" name="  " totalsRowDxfId="301"/>
    <tableColumn id="4" name="   " totalsRowDxfId="300"/>
    <tableColumn id="7" name="    " totalsRowDxfId="299"/>
    <tableColumn id="5" name="Organisation type" totalsRowLabel="Sub total:" dataDxfId="298" totalsRowDxfId="297"/>
    <tableColumn id="8" name="Name organisation" totalsRowDxfId="296"/>
    <tableColumn id="6" name="Amount" totalsRowFunction="custom" dataDxfId="295" totalsRowDxfId="294">
      <totalsRowFormula>SUM(MfC_materials[Amount])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7.xml"/><Relationship Id="rId2" Type="http://schemas.openxmlformats.org/officeDocument/2006/relationships/hyperlink" Target="https://www.nwo.nl/documents/nwo/beleid/money-follows-cooperation/nwo-country-correction-coefficients-ccc" TargetMode="External"/><Relationship Id="rId1" Type="http://schemas.openxmlformats.org/officeDocument/2006/relationships/hyperlink" Target="https://www.iso.org/iso-3166-country-codes.html" TargetMode="Externa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64"/>
  <sheetViews>
    <sheetView showGridLines="0" zoomScale="115" zoomScaleNormal="115" workbookViewId="0">
      <selection activeCell="B2" sqref="B2:C2"/>
    </sheetView>
  </sheetViews>
  <sheetFormatPr defaultColWidth="0" defaultRowHeight="14.5" zeroHeight="1" x14ac:dyDescent="0.35"/>
  <cols>
    <col min="1" max="1" width="29.81640625" style="161" customWidth="1"/>
    <col min="2" max="2" width="11.81640625" style="161" customWidth="1"/>
    <col min="3" max="3" width="11.26953125" style="161" customWidth="1"/>
    <col min="4" max="4" width="11.453125" style="161" customWidth="1"/>
    <col min="5" max="8" width="9.1796875" style="161" customWidth="1"/>
    <col min="9" max="9" width="20.7265625" style="161" customWidth="1"/>
    <col min="10" max="10" width="11.1796875" style="161" customWidth="1"/>
    <col min="11" max="14" width="9.1796875" style="161" customWidth="1"/>
    <col min="15" max="16384" width="9.1796875" style="161" hidden="1"/>
  </cols>
  <sheetData>
    <row r="1" spans="1:10" ht="18.5" x14ac:dyDescent="0.45">
      <c r="A1" s="222" t="s">
        <v>839</v>
      </c>
      <c r="D1" s="162"/>
      <c r="G1" s="162"/>
    </row>
    <row r="2" spans="1:10" x14ac:dyDescent="0.35">
      <c r="A2" s="223" t="s">
        <v>658</v>
      </c>
      <c r="B2" s="426" t="str">
        <f>callnaam</f>
        <v>Open Technology Programme 2024</v>
      </c>
      <c r="C2" s="427"/>
      <c r="D2" s="162"/>
      <c r="G2" s="162"/>
    </row>
    <row r="3" spans="1:10" x14ac:dyDescent="0.35">
      <c r="A3" s="224" t="s">
        <v>620</v>
      </c>
      <c r="B3" s="428">
        <f>VSNU_rates</f>
        <v>45108</v>
      </c>
      <c r="C3" s="429"/>
      <c r="D3" s="162"/>
      <c r="G3" s="162"/>
    </row>
    <row r="4" spans="1:10" x14ac:dyDescent="0.35">
      <c r="A4" s="224" t="s">
        <v>621</v>
      </c>
      <c r="B4" s="428">
        <f>NFU_rates</f>
        <v>45231</v>
      </c>
      <c r="C4" s="429"/>
      <c r="D4" s="162"/>
      <c r="E4" s="163"/>
      <c r="F4" s="164"/>
      <c r="G4" s="162"/>
    </row>
    <row r="5" spans="1:10" x14ac:dyDescent="0.35">
      <c r="A5" s="224" t="s">
        <v>622</v>
      </c>
      <c r="B5" s="430">
        <f>HOT_rates</f>
        <v>2023</v>
      </c>
      <c r="C5" s="431"/>
      <c r="D5" s="162"/>
      <c r="E5" s="163"/>
      <c r="F5" s="164"/>
      <c r="G5" s="162"/>
    </row>
    <row r="6" spans="1:10" x14ac:dyDescent="0.35">
      <c r="A6" s="224" t="s">
        <v>1</v>
      </c>
      <c r="B6" s="430" t="str">
        <f>IF(ISBLANK(File_number),"-",File_number)</f>
        <v>-</v>
      </c>
      <c r="C6" s="431"/>
      <c r="D6" s="162"/>
      <c r="E6" s="163"/>
      <c r="F6" s="164"/>
      <c r="G6" s="162"/>
    </row>
    <row r="7" spans="1:10" x14ac:dyDescent="0.35">
      <c r="A7" s="224" t="s">
        <v>659</v>
      </c>
      <c r="B7" s="424" t="str">
        <f>cash_invoice</f>
        <v>NWO</v>
      </c>
      <c r="C7" s="425"/>
      <c r="D7" s="162"/>
      <c r="E7" s="163"/>
      <c r="F7" s="164"/>
      <c r="G7" s="162"/>
    </row>
    <row r="8" spans="1:10" x14ac:dyDescent="0.35">
      <c r="A8" s="165"/>
      <c r="B8" s="162"/>
      <c r="C8" s="162"/>
      <c r="D8" s="162"/>
      <c r="E8" s="162"/>
      <c r="F8" s="162"/>
      <c r="G8" s="162"/>
    </row>
    <row r="9" spans="1:10" ht="18.5" x14ac:dyDescent="0.45">
      <c r="A9" s="225" t="s">
        <v>660</v>
      </c>
      <c r="B9" s="162"/>
      <c r="C9" s="162"/>
      <c r="D9" s="162"/>
      <c r="E9" s="162"/>
      <c r="F9" s="162"/>
      <c r="G9" s="162"/>
    </row>
    <row r="10" spans="1:10" ht="15" thickBot="1" x14ac:dyDescent="0.4">
      <c r="A10" s="258" t="s">
        <v>661</v>
      </c>
      <c r="B10" s="259" t="s">
        <v>13</v>
      </c>
      <c r="C10" s="226"/>
      <c r="D10" s="226"/>
      <c r="E10" s="226"/>
      <c r="F10" s="226"/>
      <c r="G10" s="226"/>
      <c r="H10" s="226"/>
      <c r="I10" s="226"/>
      <c r="J10" s="227"/>
    </row>
    <row r="11" spans="1:10" x14ac:dyDescent="0.35">
      <c r="A11" s="228" t="s">
        <v>662</v>
      </c>
      <c r="B11" s="229">
        <f ca="1">Total_personnel_costs</f>
        <v>0</v>
      </c>
      <c r="C11" s="226"/>
      <c r="D11" s="226"/>
      <c r="E11" s="226"/>
      <c r="F11" s="226"/>
      <c r="G11" s="226"/>
      <c r="H11" s="226"/>
      <c r="I11" s="226"/>
      <c r="J11" s="230"/>
    </row>
    <row r="12" spans="1:10" x14ac:dyDescent="0.35">
      <c r="A12" s="231" t="s">
        <v>663</v>
      </c>
      <c r="B12" s="232">
        <f ca="1">Total_personnel_ac_institutes+Total_benchfee</f>
        <v>0</v>
      </c>
      <c r="C12" s="226"/>
      <c r="D12" s="226"/>
      <c r="E12" s="226"/>
      <c r="F12" s="226"/>
      <c r="G12" s="226"/>
      <c r="H12" s="226"/>
      <c r="I12" s="226"/>
      <c r="J12" s="230"/>
    </row>
    <row r="13" spans="1:10" ht="15.5" x14ac:dyDescent="0.35">
      <c r="A13" s="233" t="s">
        <v>623</v>
      </c>
      <c r="B13" s="234">
        <f>Total_material_costs</f>
        <v>0</v>
      </c>
      <c r="C13" s="226"/>
      <c r="D13" s="226"/>
      <c r="E13" s="226"/>
      <c r="F13" s="226"/>
      <c r="G13" s="226"/>
      <c r="H13" s="226"/>
      <c r="I13" s="226"/>
      <c r="J13" s="167"/>
    </row>
    <row r="14" spans="1:10" ht="15.5" x14ac:dyDescent="0.35">
      <c r="A14" s="233" t="s">
        <v>664</v>
      </c>
      <c r="B14" s="234">
        <f>Total_investments+Total_invest_by_KI</f>
        <v>0</v>
      </c>
      <c r="C14" s="226"/>
      <c r="D14" s="226"/>
      <c r="E14" s="226"/>
      <c r="F14" s="226"/>
      <c r="G14" s="226"/>
      <c r="H14" s="226"/>
      <c r="I14" s="226"/>
      <c r="J14" s="167"/>
    </row>
    <row r="15" spans="1:10" ht="15.5" x14ac:dyDescent="0.35">
      <c r="A15" s="233" t="s">
        <v>828</v>
      </c>
      <c r="B15" s="234">
        <f>Total_KU_and_entrepeneurship</f>
        <v>0</v>
      </c>
      <c r="C15" s="226"/>
      <c r="D15" s="226"/>
      <c r="E15" s="226"/>
      <c r="F15" s="226"/>
      <c r="G15" s="226"/>
      <c r="H15" s="226"/>
      <c r="I15" s="226"/>
      <c r="J15" s="167"/>
    </row>
    <row r="16" spans="1:10" ht="15.5" x14ac:dyDescent="0.35">
      <c r="A16" s="233" t="s">
        <v>826</v>
      </c>
      <c r="B16" s="234">
        <f>Total_internationalisation</f>
        <v>0</v>
      </c>
      <c r="C16" s="226"/>
      <c r="D16" s="226"/>
      <c r="E16" s="226"/>
      <c r="F16" s="226"/>
      <c r="G16" s="226"/>
      <c r="H16" s="226"/>
      <c r="I16" s="226"/>
      <c r="J16" s="167"/>
    </row>
    <row r="17" spans="1:10" ht="15.5" x14ac:dyDescent="0.35">
      <c r="A17" s="233" t="s">
        <v>827</v>
      </c>
      <c r="B17" s="234">
        <f>Total_MfC</f>
        <v>0</v>
      </c>
      <c r="C17" s="226"/>
      <c r="D17" s="226"/>
      <c r="E17" s="226"/>
      <c r="F17" s="226"/>
      <c r="G17" s="226"/>
      <c r="H17" s="226"/>
      <c r="I17" s="226"/>
      <c r="J17" s="167"/>
    </row>
    <row r="18" spans="1:10" ht="15.5" x14ac:dyDescent="0.35">
      <c r="A18" s="233" t="s">
        <v>624</v>
      </c>
      <c r="B18" s="234">
        <f>Total_project_mngmnt</f>
        <v>0</v>
      </c>
      <c r="C18" s="226"/>
      <c r="D18" s="226"/>
      <c r="E18" s="226"/>
      <c r="F18" s="226"/>
      <c r="G18" s="226"/>
      <c r="H18" s="226"/>
      <c r="I18" s="226"/>
      <c r="J18" s="167"/>
    </row>
    <row r="19" spans="1:10" ht="15" customHeight="1" x14ac:dyDescent="0.35">
      <c r="A19" s="235" t="s">
        <v>665</v>
      </c>
      <c r="B19" s="236">
        <f ca="1">Total_personnel_costs+Total_material_costs+Total_investments+Total_KU_and_entrepeneurship+Total_internationalisation+Total_MfC+Total_project_mngmnt</f>
        <v>0</v>
      </c>
      <c r="C19" s="226"/>
      <c r="D19" s="226"/>
      <c r="E19" s="226"/>
      <c r="F19" s="226"/>
      <c r="G19" s="226"/>
      <c r="H19" s="226"/>
      <c r="I19" s="226"/>
      <c r="J19" s="167"/>
    </row>
    <row r="20" spans="1:10" ht="15.5" x14ac:dyDescent="0.35">
      <c r="A20" s="167"/>
      <c r="B20" s="168"/>
      <c r="C20"/>
      <c r="D20" s="168"/>
      <c r="E20" s="168"/>
      <c r="F20" s="168"/>
      <c r="G20" s="168"/>
      <c r="H20" s="168"/>
      <c r="I20" s="168"/>
      <c r="J20" s="166"/>
    </row>
    <row r="21" spans="1:10" ht="18.5" x14ac:dyDescent="0.45">
      <c r="A21" s="257" t="s">
        <v>666</v>
      </c>
      <c r="B21" s="168"/>
      <c r="C21"/>
      <c r="D21" s="168"/>
      <c r="E21" s="168"/>
      <c r="F21" s="168"/>
      <c r="G21" s="168"/>
      <c r="H21" s="168"/>
      <c r="I21" s="168"/>
      <c r="J21" s="166"/>
    </row>
    <row r="22" spans="1:10" ht="15.5" x14ac:dyDescent="0.35">
      <c r="A22" s="237" t="s">
        <v>681</v>
      </c>
      <c r="B22" s="238" t="s">
        <v>13</v>
      </c>
      <c r="C22" s="239" t="s">
        <v>667</v>
      </c>
      <c r="D22" s="238" t="s">
        <v>668</v>
      </c>
      <c r="E22" s="240"/>
      <c r="F22" s="168"/>
      <c r="G22" s="168"/>
      <c r="H22" s="168"/>
      <c r="I22" s="168"/>
      <c r="J22" s="166"/>
    </row>
    <row r="23" spans="1:10" ht="15.5" x14ac:dyDescent="0.35">
      <c r="A23" s="241" t="s">
        <v>669</v>
      </c>
      <c r="B23" s="242">
        <f ca="1">Total_NWO_funding</f>
        <v>0</v>
      </c>
      <c r="C23" s="242">
        <f ca="1">Total_NWO_funding</f>
        <v>0</v>
      </c>
      <c r="D23" s="242" t="s">
        <v>670</v>
      </c>
      <c r="E23" s="240"/>
      <c r="F23" s="168"/>
      <c r="G23" s="168"/>
      <c r="H23" s="168"/>
      <c r="I23" s="168"/>
      <c r="J23" s="166"/>
    </row>
    <row r="24" spans="1:10" ht="15.5" x14ac:dyDescent="0.35">
      <c r="A24" s="243" t="s">
        <v>671</v>
      </c>
      <c r="B24" s="244">
        <f>Total_cofunding_inkind</f>
        <v>0</v>
      </c>
      <c r="C24" s="245" t="s">
        <v>670</v>
      </c>
      <c r="D24" s="244" t="s">
        <v>670</v>
      </c>
      <c r="E24" s="240"/>
      <c r="F24" s="168"/>
      <c r="G24" s="168"/>
      <c r="H24" s="168"/>
      <c r="I24" s="168"/>
      <c r="J24" s="166"/>
    </row>
    <row r="25" spans="1:10" ht="15.5" x14ac:dyDescent="0.35">
      <c r="A25" s="243" t="s">
        <v>672</v>
      </c>
      <c r="B25" s="244">
        <f>Total_invest_by_KI</f>
        <v>0</v>
      </c>
      <c r="C25" s="245" t="s">
        <v>670</v>
      </c>
      <c r="D25" s="244">
        <f>Total_invest_by_KI</f>
        <v>0</v>
      </c>
      <c r="E25" s="240"/>
      <c r="F25" s="168"/>
      <c r="G25" s="168"/>
      <c r="H25" s="168"/>
      <c r="I25" s="168"/>
      <c r="J25" s="166"/>
    </row>
    <row r="26" spans="1:10" ht="15.5" x14ac:dyDescent="0.35">
      <c r="A26" s="243" t="s">
        <v>673</v>
      </c>
      <c r="B26" s="244">
        <f>Total_cofunding_incash</f>
        <v>0</v>
      </c>
      <c r="C26" s="246">
        <f>IF(cash_invoice="NWO",Total_cofunding_incash,0)</f>
        <v>0</v>
      </c>
      <c r="D26" s="244">
        <f>Total_cofunding_incash-C26</f>
        <v>0</v>
      </c>
      <c r="E26" s="240"/>
      <c r="F26" s="168"/>
      <c r="G26" s="168"/>
      <c r="H26" s="168"/>
      <c r="I26" s="168"/>
      <c r="J26" s="166"/>
    </row>
    <row r="27" spans="1:10" ht="15.5" x14ac:dyDescent="0.35">
      <c r="A27" s="243" t="s">
        <v>674</v>
      </c>
      <c r="B27" s="244">
        <f>Total_projectfee</f>
        <v>0</v>
      </c>
      <c r="C27" s="246">
        <f>IF(cash_invoice="NWO",Total_projectfee,0)</f>
        <v>0</v>
      </c>
      <c r="D27" s="244">
        <f>Total_projectfee-C27</f>
        <v>0</v>
      </c>
      <c r="E27" s="240"/>
      <c r="F27" s="168"/>
      <c r="G27" s="168"/>
      <c r="H27" s="168"/>
      <c r="I27" s="168"/>
      <c r="J27" s="166"/>
    </row>
    <row r="28" spans="1:10" ht="15.5" x14ac:dyDescent="0.35">
      <c r="A28" s="243" t="s">
        <v>188</v>
      </c>
      <c r="B28" s="244">
        <f>Total_TKI_PPS_allowance</f>
        <v>0</v>
      </c>
      <c r="C28" s="246">
        <f>Total_TKI_PPS_allowance</f>
        <v>0</v>
      </c>
      <c r="D28" s="244">
        <f>Total_TKI_PPS_allowance-C28</f>
        <v>0</v>
      </c>
      <c r="E28" s="240"/>
      <c r="F28" s="168"/>
      <c r="G28" s="168"/>
      <c r="H28" s="168"/>
      <c r="I28" s="168"/>
      <c r="J28" s="166"/>
    </row>
    <row r="29" spans="1:10" ht="15.5" x14ac:dyDescent="0.35">
      <c r="A29" s="247" t="s">
        <v>675</v>
      </c>
      <c r="B29" s="248">
        <f>Total_invest_by_KI+Total_incash_cofunding+Total_projectfee+Total_TKI_PPS_allowance</f>
        <v>0</v>
      </c>
      <c r="C29" s="249">
        <f>SUM(C25:C27)</f>
        <v>0</v>
      </c>
      <c r="D29" s="248">
        <f>SUM(D24:D27)</f>
        <v>0</v>
      </c>
      <c r="E29" s="240"/>
      <c r="F29" s="168"/>
      <c r="G29" s="168"/>
      <c r="H29" s="168"/>
      <c r="I29" s="168"/>
      <c r="J29" s="166"/>
    </row>
    <row r="30" spans="1:10" ht="15.5" x14ac:dyDescent="0.35">
      <c r="A30" s="250" t="s">
        <v>676</v>
      </c>
      <c r="B30" s="251">
        <f ca="1">SUM(B23:B28)</f>
        <v>0</v>
      </c>
      <c r="C30" s="252">
        <f ca="1">SUM(C23:C28)</f>
        <v>0</v>
      </c>
      <c r="D30" s="251">
        <f>SUM(D23:D28)</f>
        <v>0</v>
      </c>
      <c r="E30" s="240"/>
      <c r="F30" s="168"/>
      <c r="G30" s="168"/>
      <c r="H30" s="168"/>
      <c r="I30" s="168"/>
      <c r="J30" s="166"/>
    </row>
    <row r="31" spans="1:10" ht="15.5" x14ac:dyDescent="0.35">
      <c r="E31" s="240"/>
      <c r="F31" s="168"/>
      <c r="G31" s="168"/>
      <c r="H31" s="168"/>
      <c r="I31" s="168"/>
      <c r="J31" s="166"/>
    </row>
    <row r="32" spans="1:10" ht="15.5" x14ac:dyDescent="0.35">
      <c r="A32" s="253" t="s">
        <v>677</v>
      </c>
      <c r="B32" s="254">
        <f ca="1">Total_resources+Total_cofunding_inkind</f>
        <v>0</v>
      </c>
      <c r="C32" s="255"/>
      <c r="D32" s="240"/>
      <c r="E32" s="240"/>
      <c r="F32" s="168"/>
      <c r="G32" s="168"/>
      <c r="H32" s="168"/>
      <c r="I32" s="168"/>
      <c r="J32" s="166"/>
    </row>
    <row r="33" spans="1:10" ht="15.5" x14ac:dyDescent="0.35">
      <c r="A33" s="253" t="s">
        <v>678</v>
      </c>
      <c r="B33" s="254">
        <f ca="1">Total_NWO_funding</f>
        <v>0</v>
      </c>
      <c r="C33" s="255"/>
      <c r="D33" s="240"/>
      <c r="E33" s="240"/>
      <c r="F33" s="168"/>
      <c r="G33" s="168"/>
      <c r="H33" s="168"/>
      <c r="I33" s="168"/>
      <c r="J33" s="166"/>
    </row>
    <row r="34" spans="1:10" ht="15.5" x14ac:dyDescent="0.35">
      <c r="A34" s="253" t="s">
        <v>679</v>
      </c>
      <c r="B34" s="254">
        <f ca="1">Total_cash_via_NWO</f>
        <v>0</v>
      </c>
      <c r="C34" s="255"/>
      <c r="D34" s="240"/>
      <c r="E34" s="240"/>
      <c r="F34" s="168"/>
      <c r="G34" s="168"/>
      <c r="H34" s="168"/>
      <c r="I34" s="168"/>
      <c r="J34" s="166"/>
    </row>
    <row r="35" spans="1:10" ht="15.5" x14ac:dyDescent="0.35">
      <c r="A35" s="167"/>
      <c r="B35" s="168"/>
      <c r="C35"/>
      <c r="D35" s="168"/>
      <c r="E35" s="168"/>
      <c r="F35" s="168"/>
      <c r="G35" s="168"/>
      <c r="H35" s="168"/>
      <c r="I35" s="168"/>
      <c r="J35" s="166"/>
    </row>
    <row r="36" spans="1:10" ht="18.5" x14ac:dyDescent="0.45">
      <c r="A36" s="225" t="s">
        <v>775</v>
      </c>
      <c r="B36" s="168"/>
      <c r="C36"/>
      <c r="E36" s="168"/>
      <c r="F36" s="168"/>
      <c r="G36" s="323">
        <f ca="1">IFERROR(MATCH("Co-funding",Budget!A1:A8195,0),999)</f>
        <v>165</v>
      </c>
      <c r="H36" s="168"/>
      <c r="I36" s="256" t="s">
        <v>680</v>
      </c>
      <c r="J36" s="166"/>
    </row>
    <row r="37" spans="1:10" ht="14.25" customHeight="1" x14ac:dyDescent="0.35">
      <c r="A37"/>
      <c r="B37"/>
      <c r="C37"/>
      <c r="D37" s="168"/>
      <c r="E37" s="168"/>
      <c r="F37" s="168"/>
      <c r="G37" s="168"/>
      <c r="H37" s="168"/>
      <c r="I37"/>
      <c r="J37"/>
    </row>
    <row r="38" spans="1:10" ht="15.5" x14ac:dyDescent="0.35">
      <c r="A38"/>
      <c r="B38"/>
      <c r="C38"/>
      <c r="D38" s="168"/>
      <c r="E38" s="168"/>
      <c r="F38" s="168"/>
      <c r="G38" s="168"/>
      <c r="H38" s="168"/>
      <c r="I38"/>
      <c r="J38"/>
    </row>
    <row r="39" spans="1:10" ht="15.5" x14ac:dyDescent="0.35">
      <c r="A39"/>
      <c r="B39"/>
      <c r="C39"/>
      <c r="D39" s="168"/>
      <c r="E39" s="162"/>
      <c r="F39" s="162" t="s">
        <v>182</v>
      </c>
      <c r="G39" s="162"/>
      <c r="I39"/>
      <c r="J39"/>
    </row>
    <row r="40" spans="1:10" ht="15.5" x14ac:dyDescent="0.35">
      <c r="A40"/>
      <c r="B40"/>
      <c r="C40"/>
      <c r="D40" s="168"/>
      <c r="E40" s="162"/>
      <c r="F40" s="162"/>
      <c r="G40" s="162"/>
      <c r="I40"/>
      <c r="J40"/>
    </row>
    <row r="41" spans="1:10" x14ac:dyDescent="0.35">
      <c r="A41"/>
      <c r="B41"/>
      <c r="C41"/>
      <c r="D41" s="169"/>
      <c r="E41" s="162"/>
      <c r="F41" s="162"/>
      <c r="G41" s="162"/>
      <c r="I41"/>
      <c r="J41"/>
    </row>
    <row r="42" spans="1:10" ht="15.5" x14ac:dyDescent="0.35">
      <c r="A42"/>
      <c r="B42"/>
      <c r="C42"/>
      <c r="D42" s="170"/>
      <c r="E42" s="162"/>
      <c r="F42" s="162"/>
      <c r="G42" s="162"/>
      <c r="I42"/>
      <c r="J42"/>
    </row>
    <row r="43" spans="1:10" x14ac:dyDescent="0.35">
      <c r="A43"/>
      <c r="B43"/>
      <c r="C43"/>
      <c r="D43" s="162"/>
      <c r="E43" s="162"/>
      <c r="F43" s="162"/>
      <c r="G43" s="162"/>
      <c r="I43"/>
      <c r="J43"/>
    </row>
    <row r="44" spans="1:10" x14ac:dyDescent="0.35">
      <c r="A44"/>
      <c r="B44"/>
      <c r="C44"/>
      <c r="D44" s="162"/>
      <c r="E44" s="162" t="s">
        <v>182</v>
      </c>
      <c r="F44" s="162"/>
      <c r="G44" s="162"/>
      <c r="I44"/>
      <c r="J44"/>
    </row>
    <row r="45" spans="1:10" x14ac:dyDescent="0.35">
      <c r="A45"/>
      <c r="B45"/>
      <c r="C45"/>
      <c r="D45" s="162"/>
      <c r="E45" s="162"/>
      <c r="F45" s="162"/>
      <c r="G45" s="162"/>
      <c r="I45"/>
      <c r="J45"/>
    </row>
    <row r="46" spans="1:10" x14ac:dyDescent="0.35">
      <c r="A46"/>
      <c r="B46"/>
      <c r="C46"/>
      <c r="D46" s="162"/>
      <c r="E46" s="162"/>
      <c r="F46" s="162"/>
      <c r="G46" s="162"/>
      <c r="I46"/>
      <c r="J46"/>
    </row>
    <row r="47" spans="1:10" x14ac:dyDescent="0.35">
      <c r="A47"/>
      <c r="B47"/>
      <c r="C47"/>
      <c r="I47"/>
      <c r="J47"/>
    </row>
    <row r="48" spans="1:10" x14ac:dyDescent="0.35">
      <c r="A48"/>
      <c r="B48"/>
      <c r="C48"/>
      <c r="I48"/>
      <c r="J48"/>
    </row>
    <row r="49" spans="1:10" x14ac:dyDescent="0.35">
      <c r="A49"/>
      <c r="B49"/>
      <c r="C49"/>
      <c r="I49"/>
      <c r="J49"/>
    </row>
    <row r="50" spans="1:10" x14ac:dyDescent="0.35">
      <c r="A50"/>
      <c r="B50"/>
      <c r="C50"/>
      <c r="I50"/>
      <c r="J50"/>
    </row>
    <row r="51" spans="1:10" x14ac:dyDescent="0.35">
      <c r="A51"/>
      <c r="B51"/>
      <c r="C51"/>
    </row>
    <row r="52" spans="1:10" x14ac:dyDescent="0.35">
      <c r="A52"/>
      <c r="B52"/>
      <c r="C52"/>
    </row>
    <row r="53" spans="1:10" x14ac:dyDescent="0.35">
      <c r="A53"/>
      <c r="B53"/>
      <c r="C53"/>
    </row>
    <row r="54" spans="1:10" x14ac:dyDescent="0.35">
      <c r="A54"/>
      <c r="B54"/>
      <c r="C54"/>
    </row>
    <row r="55" spans="1:10" x14ac:dyDescent="0.35">
      <c r="A55"/>
      <c r="B55"/>
      <c r="C55"/>
    </row>
    <row r="56" spans="1:10" x14ac:dyDescent="0.35">
      <c r="A56" s="230"/>
      <c r="B56" s="230"/>
    </row>
    <row r="57" spans="1:10" x14ac:dyDescent="0.35"/>
    <row r="58" spans="1:10" x14ac:dyDescent="0.35"/>
    <row r="59" spans="1:10" x14ac:dyDescent="0.35"/>
    <row r="60" spans="1:10" x14ac:dyDescent="0.35"/>
    <row r="61" spans="1:10" x14ac:dyDescent="0.35"/>
    <row r="62" spans="1:10" x14ac:dyDescent="0.35"/>
    <row r="63" spans="1:10" x14ac:dyDescent="0.35"/>
    <row r="64" spans="1:10" x14ac:dyDescent="0.35"/>
  </sheetData>
  <sheetProtection algorithmName="SHA-512" hashValue="gxapgV1b6+9bLB4jWgRo7a7+Diq+n8c0eJOlldNjffNa3pvd89xe8fCpSd5/kRtwEfppJp4MgVG6Gh/g1G2+DQ==" saltValue="o4ubTPYLdVNLsvsMXd3sWg==" spinCount="100000" sheet="1" objects="1" scenarios="1"/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L3502"/>
  <sheetViews>
    <sheetView showGridLines="0" tabSelected="1" zoomScale="85" zoomScaleNormal="85" workbookViewId="0">
      <selection activeCell="B3" sqref="B3:H3"/>
    </sheetView>
  </sheetViews>
  <sheetFormatPr defaultColWidth="0" defaultRowHeight="14.5" zeroHeight="1" x14ac:dyDescent="0.35"/>
  <cols>
    <col min="1" max="1" width="50.6328125" style="1" customWidth="1"/>
    <col min="2" max="2" width="15.36328125" style="1" bestFit="1" customWidth="1"/>
    <col min="3" max="3" width="12.7265625" style="1" customWidth="1"/>
    <col min="4" max="5" width="21.81640625" style="1" customWidth="1"/>
    <col min="6" max="6" width="44.54296875" style="1" hidden="1" customWidth="1"/>
    <col min="7" max="7" width="15.36328125" style="1" hidden="1" customWidth="1"/>
    <col min="8" max="8" width="16.7265625" style="3" customWidth="1"/>
    <col min="9" max="9" width="69.7265625" style="3" customWidth="1"/>
    <col min="10" max="10" width="8.81640625" style="3" hidden="1" customWidth="1"/>
    <col min="11" max="11" width="13.26953125" hidden="1" customWidth="1"/>
    <col min="12" max="12" width="11.453125" hidden="1" customWidth="1"/>
    <col min="13" max="21" width="0" hidden="1" customWidth="1"/>
  </cols>
  <sheetData>
    <row r="1" spans="1:10" ht="82.5" customHeight="1" x14ac:dyDescent="0.35">
      <c r="A1" s="442" t="s">
        <v>861</v>
      </c>
      <c r="B1" s="442"/>
      <c r="C1" s="442"/>
      <c r="D1" s="442"/>
      <c r="E1" s="442"/>
      <c r="F1" s="442"/>
      <c r="G1" s="442"/>
      <c r="H1" s="442"/>
      <c r="I1" s="441" t="s">
        <v>859</v>
      </c>
      <c r="J1" s="2"/>
    </row>
    <row r="2" spans="1:10" ht="15" customHeight="1" x14ac:dyDescent="0.35">
      <c r="A2" s="4" t="s">
        <v>626</v>
      </c>
      <c r="B2" s="159"/>
      <c r="C2" s="458" t="s">
        <v>2</v>
      </c>
      <c r="D2" s="459"/>
      <c r="E2" s="455"/>
      <c r="F2" s="456"/>
      <c r="G2" s="456"/>
      <c r="H2" s="457"/>
      <c r="I2" s="441"/>
      <c r="J2" s="307"/>
    </row>
    <row r="3" spans="1:10" ht="27" customHeight="1" x14ac:dyDescent="0.35">
      <c r="A3" s="20" t="s">
        <v>0</v>
      </c>
      <c r="B3" s="449"/>
      <c r="C3" s="450"/>
      <c r="D3" s="450"/>
      <c r="E3" s="450"/>
      <c r="F3" s="450"/>
      <c r="G3" s="450"/>
      <c r="H3" s="451"/>
      <c r="I3" s="324" t="str">
        <f ca="1">IF(AND(Total_NWO_funding&gt;0,Project_title=""),checks!$B$118,"")</f>
        <v/>
      </c>
      <c r="J3" s="307"/>
    </row>
    <row r="4" spans="1:10" ht="12.75" customHeight="1" x14ac:dyDescent="0.35">
      <c r="A4" s="5" t="s">
        <v>850</v>
      </c>
      <c r="B4" s="452"/>
      <c r="C4" s="453"/>
      <c r="D4" s="453"/>
      <c r="E4" s="453"/>
      <c r="F4" s="453"/>
      <c r="G4" s="453"/>
      <c r="H4" s="454"/>
      <c r="I4" s="324"/>
      <c r="J4" s="307"/>
    </row>
    <row r="5" spans="1:10" ht="5.15" customHeight="1" x14ac:dyDescent="0.35">
      <c r="A5" s="437"/>
      <c r="B5" s="438"/>
      <c r="C5" s="436"/>
      <c r="D5" s="436"/>
      <c r="E5" s="436"/>
      <c r="F5" s="436"/>
      <c r="G5" s="6"/>
    </row>
    <row r="6" spans="1:10" ht="15.75" customHeight="1" x14ac:dyDescent="0.35">
      <c r="A6" s="282" t="s">
        <v>3</v>
      </c>
      <c r="B6" s="283"/>
      <c r="C6" s="283"/>
      <c r="D6" s="283"/>
      <c r="E6" s="283"/>
      <c r="F6" s="283"/>
      <c r="G6" s="284"/>
      <c r="H6" s="7" t="s">
        <v>5</v>
      </c>
      <c r="I6" s="23"/>
    </row>
    <row r="7" spans="1:10" ht="12.75" customHeight="1" x14ac:dyDescent="0.35">
      <c r="A7" s="263" t="s">
        <v>4</v>
      </c>
      <c r="B7" s="264"/>
      <c r="C7" s="264"/>
      <c r="D7" s="264"/>
      <c r="E7" s="264"/>
      <c r="F7" s="264"/>
      <c r="G7" s="265"/>
      <c r="H7" s="220">
        <f ca="1">Total_NWO_funding+Total_cofunding</f>
        <v>0</v>
      </c>
      <c r="I7" s="311"/>
    </row>
    <row r="8" spans="1:10" ht="12.75" customHeight="1" x14ac:dyDescent="0.35">
      <c r="A8" s="263" t="s">
        <v>174</v>
      </c>
      <c r="B8" s="264"/>
      <c r="C8" s="264"/>
      <c r="D8" s="264"/>
      <c r="E8" s="264"/>
      <c r="F8" s="264"/>
      <c r="G8" s="265"/>
      <c r="H8" s="220">
        <f ca="1">Total_personnel_costs+Total_material_costs+Total_investments+Total_KU_and_entrepeneurship+Total_internationalisation+Total_MfC-Total_cofunding_incash-Total_projectfee</f>
        <v>0</v>
      </c>
      <c r="I8" s="311" t="str">
        <f ca="1">IF(Total_NWO_funding&gt;Max_NWO_funding,checks!$B$126,IF(AND(Total_NWO_funding&lt;Min_NWO_funding,Total_NWO_funding&lt;&gt;0),checks!$B$125,""))</f>
        <v/>
      </c>
      <c r="J8" s="10"/>
    </row>
    <row r="9" spans="1:10" ht="12.75" customHeight="1" x14ac:dyDescent="0.35">
      <c r="A9" s="263" t="s">
        <v>176</v>
      </c>
      <c r="B9" s="264"/>
      <c r="C9" s="264"/>
      <c r="D9" s="264"/>
      <c r="E9" s="264"/>
      <c r="F9" s="264"/>
      <c r="G9" s="265"/>
      <c r="H9" s="220">
        <f ca="1">Total_cash_via_NWO</f>
        <v>0</v>
      </c>
      <c r="I9" s="311"/>
      <c r="J9" s="10"/>
    </row>
    <row r="10" spans="1:10" ht="12.75" customHeight="1" x14ac:dyDescent="0.35">
      <c r="A10" s="266" t="s">
        <v>230</v>
      </c>
      <c r="B10" s="267"/>
      <c r="C10" s="267"/>
      <c r="D10" s="267"/>
      <c r="E10" s="267"/>
      <c r="F10" s="267"/>
      <c r="G10" s="268"/>
      <c r="H10" s="220">
        <f>Total_cofunding_inkind</f>
        <v>0</v>
      </c>
      <c r="I10" s="311"/>
      <c r="J10" s="10"/>
    </row>
    <row r="11" spans="1:10" ht="12.75" customHeight="1" x14ac:dyDescent="0.35">
      <c r="A11" s="266" t="s">
        <v>229</v>
      </c>
      <c r="B11" s="267"/>
      <c r="C11" s="267"/>
      <c r="D11" s="267"/>
      <c r="E11" s="267"/>
      <c r="F11" s="267"/>
      <c r="G11" s="268"/>
      <c r="H11" s="220">
        <f>Total_cofunding_incash</f>
        <v>0</v>
      </c>
      <c r="I11" s="311"/>
      <c r="J11" s="10"/>
    </row>
    <row r="12" spans="1:10" ht="12.75" customHeight="1" x14ac:dyDescent="0.35">
      <c r="A12" s="266" t="s">
        <v>177</v>
      </c>
      <c r="B12" s="267"/>
      <c r="C12" s="267"/>
      <c r="D12" s="267"/>
      <c r="E12" s="267"/>
      <c r="F12" s="267"/>
      <c r="G12" s="268"/>
      <c r="H12" s="221" t="str">
        <f ca="1">IFERROR(Total_cofunding_incash/Total_project_budget,"-")</f>
        <v>-</v>
      </c>
      <c r="I12" s="311" t="str">
        <f ca="1">IF(AND(Total_project_budget&gt;0,Total_cofunding_incash&lt;cash_cofunding_minperc*Total_project_budget),checks!$B$188,"")</f>
        <v/>
      </c>
      <c r="J12" s="10"/>
    </row>
    <row r="13" spans="1:10" ht="12.75" customHeight="1" x14ac:dyDescent="0.35">
      <c r="A13" s="266" t="s">
        <v>6</v>
      </c>
      <c r="B13" s="267"/>
      <c r="C13" s="267"/>
      <c r="D13" s="267"/>
      <c r="E13" s="267"/>
      <c r="F13" s="267"/>
      <c r="G13" s="268"/>
      <c r="H13" s="220">
        <f>Total_cofunding</f>
        <v>0</v>
      </c>
      <c r="I13" s="311"/>
      <c r="J13" s="10"/>
    </row>
    <row r="14" spans="1:10" ht="12.75" customHeight="1" x14ac:dyDescent="0.35">
      <c r="A14" s="266" t="s">
        <v>39</v>
      </c>
      <c r="B14" s="267"/>
      <c r="C14" s="267"/>
      <c r="D14" s="267"/>
      <c r="E14" s="267"/>
      <c r="F14" s="267"/>
      <c r="G14" s="268"/>
      <c r="H14" s="160" t="str">
        <f ca="1">IFERROR(Total_cofunding/Total_project_budget,"-")</f>
        <v>-</v>
      </c>
      <c r="I14" s="311"/>
      <c r="J14" s="10"/>
    </row>
    <row r="15" spans="1:10" ht="12.75" customHeight="1" x14ac:dyDescent="0.35">
      <c r="A15" s="266" t="s">
        <v>864</v>
      </c>
      <c r="B15" s="267"/>
      <c r="C15" s="267"/>
      <c r="D15" s="267"/>
      <c r="E15" s="267"/>
      <c r="F15" s="267"/>
      <c r="G15" s="267"/>
      <c r="H15" s="160" t="str">
        <f ca="1">IF(Total_NWO_funding&gt;650000,Total_cofunding/(Total_project_budget-650000),"-")</f>
        <v>-</v>
      </c>
      <c r="I15" s="311" t="str">
        <f ca="1">I197</f>
        <v/>
      </c>
      <c r="J15" s="10"/>
    </row>
    <row r="16" spans="1:10" x14ac:dyDescent="0.35">
      <c r="A16" s="437"/>
      <c r="B16" s="438"/>
      <c r="C16" s="438"/>
      <c r="D16" s="438"/>
      <c r="E16" s="438"/>
      <c r="F16" s="438"/>
      <c r="G16" s="285"/>
      <c r="H16" s="10"/>
      <c r="I16" s="10"/>
      <c r="J16" s="10"/>
    </row>
    <row r="17" spans="1:10" ht="15.5" x14ac:dyDescent="0.35">
      <c r="A17" s="432" t="s">
        <v>7</v>
      </c>
      <c r="B17" s="433"/>
      <c r="C17" s="433"/>
      <c r="D17" s="433"/>
      <c r="E17" s="433"/>
      <c r="F17" s="433"/>
      <c r="G17" s="433"/>
      <c r="H17" s="434"/>
      <c r="I17" s="1"/>
    </row>
    <row r="18" spans="1:10" ht="12.75" customHeight="1" x14ac:dyDescent="0.35">
      <c r="A18" s="263" t="s">
        <v>43</v>
      </c>
      <c r="B18" s="264"/>
      <c r="C18" s="264"/>
      <c r="D18" s="264"/>
      <c r="E18" s="264"/>
      <c r="F18" s="264"/>
      <c r="G18" s="264"/>
      <c r="H18" s="265"/>
      <c r="I18" s="9"/>
      <c r="J18" s="11"/>
    </row>
    <row r="19" spans="1:10" x14ac:dyDescent="0.35">
      <c r="A19" s="34" t="s">
        <v>40</v>
      </c>
      <c r="B19" s="34" t="s">
        <v>182</v>
      </c>
      <c r="C19" s="35" t="s">
        <v>41</v>
      </c>
      <c r="D19" s="35" t="s">
        <v>42</v>
      </c>
      <c r="E19" s="35" t="s">
        <v>76</v>
      </c>
      <c r="F19" s="40" t="s">
        <v>66</v>
      </c>
      <c r="G19" s="40" t="s">
        <v>732</v>
      </c>
      <c r="H19" s="35" t="s">
        <v>13</v>
      </c>
      <c r="I19" s="12" t="s">
        <v>829</v>
      </c>
    </row>
    <row r="20" spans="1:10" ht="11.25" customHeight="1" x14ac:dyDescent="0.35">
      <c r="A20" s="32"/>
      <c r="B20" s="76"/>
      <c r="C20" s="66"/>
      <c r="D20" s="68"/>
      <c r="E20" s="129"/>
      <c r="F20" s="65" t="s">
        <v>23</v>
      </c>
      <c r="G20" s="88">
        <v>0</v>
      </c>
      <c r="H20" s="37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0" s="23" t="str">
        <f>checks!B208</f>
        <v/>
      </c>
    </row>
    <row r="21" spans="1:10" ht="11.25" customHeight="1" x14ac:dyDescent="0.35">
      <c r="A21" s="53"/>
      <c r="B21" s="78"/>
      <c r="C21" s="67"/>
      <c r="D21" s="69"/>
      <c r="E21" s="130"/>
      <c r="F21" s="65" t="s">
        <v>23</v>
      </c>
      <c r="G21" s="88">
        <v>0</v>
      </c>
      <c r="H21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1" s="23" t="str">
        <f>checks!B209</f>
        <v/>
      </c>
      <c r="J21" s="13"/>
    </row>
    <row r="22" spans="1:10" ht="11.25" customHeight="1" x14ac:dyDescent="0.35">
      <c r="A22" s="33"/>
      <c r="B22" s="78"/>
      <c r="C22" s="67"/>
      <c r="D22" s="69"/>
      <c r="E22" s="130"/>
      <c r="F22" s="65" t="s">
        <v>23</v>
      </c>
      <c r="G22" s="88">
        <v>0</v>
      </c>
      <c r="H22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2" s="23" t="str">
        <f>checks!B210</f>
        <v/>
      </c>
    </row>
    <row r="23" spans="1:10" ht="11.25" customHeight="1" x14ac:dyDescent="0.35">
      <c r="A23" s="33"/>
      <c r="B23" s="78"/>
      <c r="C23" s="67"/>
      <c r="D23" s="69"/>
      <c r="E23" s="130"/>
      <c r="F23" s="65" t="s">
        <v>23</v>
      </c>
      <c r="G23" s="88">
        <v>0</v>
      </c>
      <c r="H23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3" s="23" t="str">
        <f>checks!B211</f>
        <v/>
      </c>
      <c r="J23" s="14"/>
    </row>
    <row r="24" spans="1:10" ht="11.25" customHeight="1" x14ac:dyDescent="0.35">
      <c r="A24" s="33"/>
      <c r="B24" s="78"/>
      <c r="C24" s="67"/>
      <c r="D24" s="69"/>
      <c r="E24" s="130"/>
      <c r="F24" s="65" t="s">
        <v>23</v>
      </c>
      <c r="G24" s="88">
        <v>0</v>
      </c>
      <c r="H24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4" s="23" t="str">
        <f>checks!B212</f>
        <v/>
      </c>
      <c r="J24" s="14"/>
    </row>
    <row r="25" spans="1:10" ht="11.25" customHeight="1" x14ac:dyDescent="0.35">
      <c r="A25" s="36"/>
      <c r="B25" s="78"/>
      <c r="C25" s="67"/>
      <c r="D25" s="69"/>
      <c r="E25" s="130"/>
      <c r="F25" s="65" t="s">
        <v>23</v>
      </c>
      <c r="G25" s="88">
        <v>0</v>
      </c>
      <c r="H25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5" s="23" t="str">
        <f>checks!B213</f>
        <v/>
      </c>
      <c r="J25" s="14"/>
    </row>
    <row r="26" spans="1:10" ht="11.25" customHeight="1" x14ac:dyDescent="0.35">
      <c r="A26" s="36"/>
      <c r="B26" s="78"/>
      <c r="C26" s="67"/>
      <c r="D26" s="69"/>
      <c r="E26" s="130"/>
      <c r="F26" s="65" t="s">
        <v>23</v>
      </c>
      <c r="G26" s="88">
        <v>0</v>
      </c>
      <c r="H26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6" s="23" t="str">
        <f>checks!B214</f>
        <v/>
      </c>
      <c r="J26" s="14"/>
    </row>
    <row r="27" spans="1:10" ht="11.25" customHeight="1" x14ac:dyDescent="0.35">
      <c r="A27" s="36"/>
      <c r="B27" s="78"/>
      <c r="C27" s="67"/>
      <c r="D27" s="69"/>
      <c r="E27" s="130"/>
      <c r="F27" s="65" t="s">
        <v>23</v>
      </c>
      <c r="G27" s="88">
        <v>0</v>
      </c>
      <c r="H27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7" s="23" t="str">
        <f>checks!B215</f>
        <v/>
      </c>
      <c r="J27" s="14"/>
    </row>
    <row r="28" spans="1:10" ht="11.25" customHeight="1" x14ac:dyDescent="0.35">
      <c r="A28" s="36"/>
      <c r="B28" s="78"/>
      <c r="C28" s="67"/>
      <c r="D28" s="69"/>
      <c r="E28" s="130"/>
      <c r="F28" s="65" t="s">
        <v>23</v>
      </c>
      <c r="G28" s="88">
        <v>0</v>
      </c>
      <c r="H28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8" s="23" t="str">
        <f>checks!B216</f>
        <v/>
      </c>
      <c r="J28" s="14"/>
    </row>
    <row r="29" spans="1:10" ht="11.25" customHeight="1" x14ac:dyDescent="0.35">
      <c r="A29" s="36"/>
      <c r="B29" s="78"/>
      <c r="C29" s="67"/>
      <c r="D29" s="69"/>
      <c r="E29" s="130"/>
      <c r="F29" s="65" t="s">
        <v>23</v>
      </c>
      <c r="G29" s="88">
        <v>0</v>
      </c>
      <c r="H29" s="38" t="str">
        <f>IFERROR(IF(HLOOKUP(TEXT(Personnel[[#This Row],[Months]],"@"),salaries_academic[#All],MATCH(Personnel[[#This Row],[Category]],salaries_academic[category],0)+1,FALSE)&gt;0,HLOOKUP(TEXT(Personnel[[#This Row],[Months]],"@"),salaries_academic[#All],MATCH(Personnel[[#This Row],[Category]],salaries_academic[category],0)+1,FALSE)*Personnel[[#This Row],[FTE]],Personnel[[#This Row],[Costs]]),"")</f>
        <v/>
      </c>
      <c r="I29" s="23" t="str">
        <f>checks!B217</f>
        <v/>
      </c>
      <c r="J29" s="14"/>
    </row>
    <row r="30" spans="1:10" ht="11.25" customHeight="1" x14ac:dyDescent="0.35">
      <c r="A30" s="411"/>
      <c r="B30" s="411"/>
      <c r="C30" s="413"/>
      <c r="D30" s="413"/>
      <c r="E30" s="413"/>
      <c r="F30" s="414" t="s">
        <v>9</v>
      </c>
      <c r="G30" s="414"/>
      <c r="H30" s="415">
        <f>SUM(Personnel[Amount])</f>
        <v>0</v>
      </c>
      <c r="I30" s="23"/>
      <c r="J30" s="14"/>
    </row>
    <row r="31" spans="1:10" ht="12.75" customHeight="1" x14ac:dyDescent="0.35">
      <c r="A31" s="263" t="s">
        <v>863</v>
      </c>
      <c r="B31" s="264"/>
      <c r="C31" s="264"/>
      <c r="D31" s="264"/>
      <c r="E31" s="264"/>
      <c r="F31" s="264"/>
      <c r="G31" s="264"/>
      <c r="H31" s="265"/>
    </row>
    <row r="32" spans="1:10" ht="11.25" customHeight="1" x14ac:dyDescent="0.35">
      <c r="A32" s="39" t="s">
        <v>40</v>
      </c>
      <c r="B32" s="24" t="s">
        <v>41</v>
      </c>
      <c r="C32" s="24" t="s">
        <v>42</v>
      </c>
      <c r="D32" s="24" t="s">
        <v>179</v>
      </c>
      <c r="E32" s="24" t="s">
        <v>734</v>
      </c>
      <c r="F32" s="18" t="s">
        <v>66</v>
      </c>
      <c r="G32" s="35" t="s">
        <v>732</v>
      </c>
      <c r="H32" s="24" t="s">
        <v>13</v>
      </c>
      <c r="I32" s="12" t="s">
        <v>771</v>
      </c>
    </row>
    <row r="33" spans="1:9" ht="11.25" customHeight="1" x14ac:dyDescent="0.35">
      <c r="A33" s="98" t="str">
        <f ca="1">checks!R11</f>
        <v/>
      </c>
      <c r="B33" s="95" t="str">
        <f ca="1">checks!S11</f>
        <v/>
      </c>
      <c r="C33" s="49" t="str">
        <f ca="1">checks!T11</f>
        <v/>
      </c>
      <c r="D33" s="93"/>
      <c r="E33" s="273">
        <f t="shared" ref="E33:E42" si="0">benchfee_amount</f>
        <v>5000</v>
      </c>
      <c r="F33" s="286" t="str">
        <f ca="1">checks!U11</f>
        <v/>
      </c>
      <c r="G33" s="172" t="str">
        <f ca="1">checks!V11</f>
        <v/>
      </c>
      <c r="H33" s="37" t="str">
        <f ca="1">IF(LEN(benchfee[Category])&gt;0,benchfee['# Benchfee]*benchfee_amount,"")</f>
        <v/>
      </c>
      <c r="I33" s="139" t="str">
        <f ca="1">SUBSTITUTE(IFERROR(IF(benchfee['# Benchfee]&gt;benchfee[FTE],checks!$B$150,IF(AND(benchfee['# Benchfee]&gt;0,benchfee[Category]=""),checks!$B$151,"")),""),0,"")</f>
        <v/>
      </c>
    </row>
    <row r="34" spans="1:9" ht="11.25" customHeight="1" x14ac:dyDescent="0.35">
      <c r="A34" s="98" t="str">
        <f ca="1">checks!R12</f>
        <v/>
      </c>
      <c r="B34" s="96" t="str">
        <f ca="1">checks!S12</f>
        <v/>
      </c>
      <c r="C34" s="50" t="str">
        <f ca="1">checks!T12</f>
        <v/>
      </c>
      <c r="D34" s="94"/>
      <c r="E34" s="274">
        <f t="shared" si="0"/>
        <v>5000</v>
      </c>
      <c r="F34" s="287" t="str">
        <f ca="1">checks!U12</f>
        <v/>
      </c>
      <c r="G34" s="173" t="str">
        <f ca="1">checks!V12</f>
        <v/>
      </c>
      <c r="H34" s="38" t="str">
        <f ca="1">IF(LEN(benchfee[Category])&gt;0,benchfee['# Benchfee]*benchfee_amount,"")</f>
        <v/>
      </c>
      <c r="I34" s="139" t="str">
        <f ca="1">SUBSTITUTE(IFERROR(IF(benchfee['# Benchfee]&gt;benchfee[FTE],checks!$B$150,IF(AND(benchfee['# Benchfee]&gt;0,benchfee[Category]=""),checks!$B$151,"")),""),0,"")</f>
        <v/>
      </c>
    </row>
    <row r="35" spans="1:9" ht="11.25" customHeight="1" x14ac:dyDescent="0.35">
      <c r="A35" s="98" t="str">
        <f ca="1">checks!R13</f>
        <v/>
      </c>
      <c r="B35" s="96" t="str">
        <f ca="1">checks!S13</f>
        <v/>
      </c>
      <c r="C35" s="50" t="str">
        <f ca="1">checks!T13</f>
        <v/>
      </c>
      <c r="D35" s="94"/>
      <c r="E35" s="274">
        <f t="shared" si="0"/>
        <v>5000</v>
      </c>
      <c r="F35" s="287" t="str">
        <f ca="1">checks!U13</f>
        <v/>
      </c>
      <c r="G35" s="173" t="str">
        <f ca="1">checks!V13</f>
        <v/>
      </c>
      <c r="H35" s="38" t="str">
        <f ca="1">IF(LEN(benchfee[Category])&gt;0,benchfee['# Benchfee]*benchfee_amount,"")</f>
        <v/>
      </c>
      <c r="I35" s="139" t="str">
        <f ca="1">SUBSTITUTE(IFERROR(IF(benchfee['# Benchfee]&gt;benchfee[FTE],checks!$B$150,IF(AND(benchfee['# Benchfee]&gt;0,benchfee[Category]=""),checks!$B$151,"")),""),0,"")</f>
        <v/>
      </c>
    </row>
    <row r="36" spans="1:9" ht="11.25" customHeight="1" x14ac:dyDescent="0.35">
      <c r="A36" s="98" t="str">
        <f ca="1">checks!R14</f>
        <v/>
      </c>
      <c r="B36" s="96" t="str">
        <f ca="1">checks!S14</f>
        <v/>
      </c>
      <c r="C36" s="50" t="str">
        <f ca="1">checks!T14</f>
        <v/>
      </c>
      <c r="D36" s="94"/>
      <c r="E36" s="274">
        <f t="shared" si="0"/>
        <v>5000</v>
      </c>
      <c r="F36" s="287" t="str">
        <f ca="1">checks!U14</f>
        <v/>
      </c>
      <c r="G36" s="173" t="str">
        <f ca="1">checks!V14</f>
        <v/>
      </c>
      <c r="H36" s="38" t="str">
        <f ca="1">IF(LEN(benchfee[Category])&gt;0,benchfee['# Benchfee]*benchfee_amount,"")</f>
        <v/>
      </c>
      <c r="I36" s="139" t="str">
        <f ca="1">SUBSTITUTE(IFERROR(IF(benchfee['# Benchfee]&gt;benchfee[FTE],checks!$B$150,IF(AND(benchfee['# Benchfee]&gt;0,benchfee[Category]=""),checks!$B$151,"")),""),0,"")</f>
        <v/>
      </c>
    </row>
    <row r="37" spans="1:9" ht="11.25" customHeight="1" x14ac:dyDescent="0.35">
      <c r="A37" s="98" t="str">
        <f ca="1">checks!R15</f>
        <v/>
      </c>
      <c r="B37" s="96" t="str">
        <f ca="1">checks!S15</f>
        <v/>
      </c>
      <c r="C37" s="50" t="str">
        <f ca="1">checks!T15</f>
        <v/>
      </c>
      <c r="D37" s="94"/>
      <c r="E37" s="274">
        <f t="shared" si="0"/>
        <v>5000</v>
      </c>
      <c r="F37" s="287" t="str">
        <f ca="1">checks!U15</f>
        <v/>
      </c>
      <c r="G37" s="173" t="str">
        <f ca="1">checks!V15</f>
        <v/>
      </c>
      <c r="H37" s="38" t="str">
        <f ca="1">IF(LEN(benchfee[Category])&gt;0,benchfee['# Benchfee]*benchfee_amount,"")</f>
        <v/>
      </c>
      <c r="I37" s="139" t="str">
        <f ca="1">SUBSTITUTE(IFERROR(IF(benchfee['# Benchfee]&gt;benchfee[FTE],checks!$B$150,IF(AND(benchfee['# Benchfee]&gt;0,benchfee[Category]=""),checks!$B$151,"")),""),0,"")</f>
        <v/>
      </c>
    </row>
    <row r="38" spans="1:9" ht="11.25" customHeight="1" x14ac:dyDescent="0.35">
      <c r="A38" s="98" t="str">
        <f ca="1">checks!R16</f>
        <v/>
      </c>
      <c r="B38" s="96" t="str">
        <f ca="1">checks!S16</f>
        <v/>
      </c>
      <c r="C38" s="50" t="str">
        <f ca="1">checks!T16</f>
        <v/>
      </c>
      <c r="D38" s="94"/>
      <c r="E38" s="274">
        <f t="shared" si="0"/>
        <v>5000</v>
      </c>
      <c r="F38" s="287" t="str">
        <f ca="1">checks!U16</f>
        <v/>
      </c>
      <c r="G38" s="173" t="str">
        <f ca="1">checks!V16</f>
        <v/>
      </c>
      <c r="H38" s="38" t="str">
        <f ca="1">IF(LEN(benchfee[Category])&gt;0,benchfee['# Benchfee]*benchfee_amount,"")</f>
        <v/>
      </c>
      <c r="I38" s="139" t="str">
        <f ca="1">SUBSTITUTE(IFERROR(IF(benchfee['# Benchfee]&gt;benchfee[FTE],checks!$B$150,IF(AND(benchfee['# Benchfee]&gt;0,benchfee[Category]=""),checks!$B$151,"")),""),0,"")</f>
        <v/>
      </c>
    </row>
    <row r="39" spans="1:9" ht="11.25" customHeight="1" x14ac:dyDescent="0.35">
      <c r="A39" s="98" t="str">
        <f ca="1">checks!R17</f>
        <v/>
      </c>
      <c r="B39" s="96" t="str">
        <f ca="1">checks!S17</f>
        <v/>
      </c>
      <c r="C39" s="50" t="str">
        <f ca="1">checks!T17</f>
        <v/>
      </c>
      <c r="D39" s="94"/>
      <c r="E39" s="274">
        <f t="shared" si="0"/>
        <v>5000</v>
      </c>
      <c r="F39" s="287" t="str">
        <f ca="1">checks!U17</f>
        <v/>
      </c>
      <c r="G39" s="173" t="str">
        <f ca="1">checks!V17</f>
        <v/>
      </c>
      <c r="H39" s="38" t="str">
        <f ca="1">IF(LEN(benchfee[Category])&gt;0,benchfee['# Benchfee]*benchfee_amount,"")</f>
        <v/>
      </c>
      <c r="I39" s="139" t="str">
        <f ca="1">SUBSTITUTE(IFERROR(IF(benchfee['# Benchfee]&gt;benchfee[FTE],checks!$B$150,IF(AND(benchfee['# Benchfee]&gt;0,benchfee[Category]=""),checks!$B$151,"")),""),0,"")</f>
        <v/>
      </c>
    </row>
    <row r="40" spans="1:9" ht="11.25" customHeight="1" x14ac:dyDescent="0.35">
      <c r="A40" s="98" t="str">
        <f ca="1">checks!R18</f>
        <v/>
      </c>
      <c r="B40" s="96" t="str">
        <f ca="1">checks!S18</f>
        <v/>
      </c>
      <c r="C40" s="50" t="str">
        <f ca="1">checks!T18</f>
        <v/>
      </c>
      <c r="D40" s="94"/>
      <c r="E40" s="274">
        <f t="shared" si="0"/>
        <v>5000</v>
      </c>
      <c r="F40" s="287" t="str">
        <f ca="1">checks!U18</f>
        <v/>
      </c>
      <c r="G40" s="173" t="str">
        <f ca="1">checks!V18</f>
        <v/>
      </c>
      <c r="H40" s="38" t="str">
        <f ca="1">IF(LEN(benchfee[Category])&gt;0,benchfee['# Benchfee]*benchfee_amount,"")</f>
        <v/>
      </c>
      <c r="I40" s="139" t="str">
        <f ca="1">SUBSTITUTE(IFERROR(IF(benchfee['# Benchfee]&gt;benchfee[FTE],checks!$B$150,IF(AND(benchfee['# Benchfee]&gt;0,benchfee[Category]=""),checks!$B$151,"")),""),0,"")</f>
        <v/>
      </c>
    </row>
    <row r="41" spans="1:9" ht="11.25" customHeight="1" x14ac:dyDescent="0.35">
      <c r="A41" s="98" t="str">
        <f ca="1">checks!R19</f>
        <v/>
      </c>
      <c r="B41" s="96" t="str">
        <f ca="1">checks!S19</f>
        <v/>
      </c>
      <c r="C41" s="50" t="str">
        <f ca="1">checks!T19</f>
        <v/>
      </c>
      <c r="D41" s="94"/>
      <c r="E41" s="274">
        <f t="shared" si="0"/>
        <v>5000</v>
      </c>
      <c r="F41" s="287" t="str">
        <f ca="1">checks!U19</f>
        <v/>
      </c>
      <c r="G41" s="173" t="str">
        <f ca="1">checks!V19</f>
        <v/>
      </c>
      <c r="H41" s="38" t="str">
        <f ca="1">IF(LEN(benchfee[Category])&gt;0,benchfee['# Benchfee]*benchfee_amount,"")</f>
        <v/>
      </c>
      <c r="I41" s="139" t="str">
        <f ca="1">SUBSTITUTE(IFERROR(IF(benchfee['# Benchfee]&gt;benchfee[FTE],checks!$B$150,IF(AND(benchfee['# Benchfee]&gt;0,benchfee[Category]=""),checks!$B$151,"")),""),0,"")</f>
        <v/>
      </c>
    </row>
    <row r="42" spans="1:9" ht="11.25" customHeight="1" x14ac:dyDescent="0.35">
      <c r="A42" s="98" t="str">
        <f ca="1">checks!R20</f>
        <v/>
      </c>
      <c r="B42" s="96" t="str">
        <f ca="1">checks!S20</f>
        <v/>
      </c>
      <c r="C42" s="50" t="str">
        <f ca="1">checks!T20</f>
        <v/>
      </c>
      <c r="D42" s="94"/>
      <c r="E42" s="274">
        <f t="shared" si="0"/>
        <v>5000</v>
      </c>
      <c r="F42" s="287" t="str">
        <f ca="1">checks!U20</f>
        <v/>
      </c>
      <c r="G42" s="173" t="str">
        <f ca="1">checks!V20</f>
        <v/>
      </c>
      <c r="H42" s="38" t="str">
        <f ca="1">IF(LEN(benchfee[Category])&gt;0,benchfee['# Benchfee]*benchfee_amount,"")</f>
        <v/>
      </c>
      <c r="I42" s="139" t="str">
        <f ca="1">SUBSTITUTE(IFERROR(IF(benchfee['# Benchfee]&gt;benchfee[FTE],checks!$B$150,IF(AND(benchfee['# Benchfee]&gt;0,benchfee[Category]=""),checks!$B$151,"")),""),0,"")</f>
        <v/>
      </c>
    </row>
    <row r="43" spans="1:9" ht="11.25" customHeight="1" x14ac:dyDescent="0.35">
      <c r="A43" s="288"/>
      <c r="B43" s="288"/>
      <c r="C43" s="86"/>
      <c r="D43" s="86"/>
      <c r="E43" s="86"/>
      <c r="F43" s="319" t="s">
        <v>9</v>
      </c>
      <c r="G43" s="319"/>
      <c r="H43" s="8">
        <f ca="1">SUM(benchfee[Amount])</f>
        <v>0</v>
      </c>
      <c r="I43" s="139"/>
    </row>
    <row r="44" spans="1:9" ht="12.75" customHeight="1" x14ac:dyDescent="0.35">
      <c r="A44" s="334"/>
      <c r="B44" s="335"/>
      <c r="C44" s="335"/>
      <c r="D44" s="335"/>
      <c r="E44" s="336"/>
      <c r="F44" s="337" t="s">
        <v>8</v>
      </c>
      <c r="G44" s="337"/>
      <c r="H44" s="338">
        <f ca="1">Total_personnel_ac_institutes+Total_benchfee+Total_personnel_other+Total_other_inst_2021</f>
        <v>0</v>
      </c>
      <c r="I44" s="6"/>
    </row>
    <row r="45" spans="1:9" ht="11.25" customHeight="1" x14ac:dyDescent="0.35">
      <c r="A45" s="21"/>
      <c r="B45" s="22"/>
      <c r="C45" s="22"/>
      <c r="D45" s="25"/>
      <c r="E45" s="330"/>
      <c r="F45" s="331"/>
      <c r="G45" s="332"/>
      <c r="H45" s="333"/>
    </row>
    <row r="46" spans="1:9" ht="11.25" customHeight="1" x14ac:dyDescent="0.35">
      <c r="A46" s="432" t="s">
        <v>10</v>
      </c>
      <c r="B46" s="433"/>
      <c r="C46" s="433"/>
      <c r="D46" s="433"/>
      <c r="E46" s="433"/>
      <c r="F46" s="433"/>
      <c r="G46" s="433"/>
      <c r="H46" s="434"/>
      <c r="I46" s="6"/>
    </row>
    <row r="47" spans="1:9" ht="11.25" customHeight="1" x14ac:dyDescent="0.35">
      <c r="A47" s="443" t="s">
        <v>11</v>
      </c>
      <c r="B47" s="444"/>
      <c r="C47" s="444"/>
      <c r="D47" s="444"/>
      <c r="E47" s="444"/>
      <c r="F47" s="444"/>
      <c r="G47" s="444"/>
      <c r="H47" s="445"/>
      <c r="I47" s="12"/>
    </row>
    <row r="48" spans="1:9" ht="11.25" customHeight="1" x14ac:dyDescent="0.35">
      <c r="A48" s="60" t="s">
        <v>12</v>
      </c>
      <c r="B48" s="60" t="s">
        <v>182</v>
      </c>
      <c r="C48" s="60" t="s">
        <v>183</v>
      </c>
      <c r="D48" s="60" t="s">
        <v>184</v>
      </c>
      <c r="E48" s="60" t="s">
        <v>739</v>
      </c>
      <c r="F48" s="35" t="s">
        <v>66</v>
      </c>
      <c r="G48" s="35" t="s">
        <v>732</v>
      </c>
      <c r="H48" s="47" t="s">
        <v>13</v>
      </c>
      <c r="I48" s="6"/>
    </row>
    <row r="49" spans="1:9" ht="11.25" customHeight="1" x14ac:dyDescent="0.35">
      <c r="A49" s="294"/>
      <c r="B49" s="153"/>
      <c r="C49" s="153"/>
      <c r="D49" s="153"/>
      <c r="E49" s="295"/>
      <c r="F49" s="65" t="s">
        <v>23</v>
      </c>
      <c r="G49" s="294">
        <v>0</v>
      </c>
      <c r="H49" s="107"/>
      <c r="I49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Row],[Description]])&gt;0,LEN(A48)=0),checks!$B$127,"")))</f>
        <v/>
      </c>
    </row>
    <row r="50" spans="1:9" ht="11.25" customHeight="1" x14ac:dyDescent="0.35">
      <c r="A50" s="51"/>
      <c r="B50" s="71"/>
      <c r="C50" s="71"/>
      <c r="D50" s="71"/>
      <c r="E50" s="72"/>
      <c r="F50" s="65" t="s">
        <v>23</v>
      </c>
      <c r="G50" s="294">
        <v>0</v>
      </c>
      <c r="H50" s="108"/>
      <c r="I50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Row],[Description]])&gt;0,LEN(A49)=0),checks!$B$127,"")))</f>
        <v/>
      </c>
    </row>
    <row r="51" spans="1:9" ht="11.25" customHeight="1" x14ac:dyDescent="0.35">
      <c r="A51" s="51"/>
      <c r="B51" s="71"/>
      <c r="C51" s="71"/>
      <c r="D51" s="71"/>
      <c r="E51" s="72"/>
      <c r="F51" s="65" t="s">
        <v>23</v>
      </c>
      <c r="G51" s="294">
        <v>0</v>
      </c>
      <c r="H51" s="108"/>
      <c r="I51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Row],[Description]])&gt;0,LEN(A50)=0),checks!$B$127,"")))</f>
        <v/>
      </c>
    </row>
    <row r="52" spans="1:9" ht="11.25" customHeight="1" x14ac:dyDescent="0.35">
      <c r="A52" s="51"/>
      <c r="B52" s="71"/>
      <c r="C52" s="71"/>
      <c r="D52" s="71"/>
      <c r="E52" s="72"/>
      <c r="F52" s="65" t="s">
        <v>23</v>
      </c>
      <c r="G52" s="294">
        <v>0</v>
      </c>
      <c r="H52" s="108"/>
      <c r="I52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Row],[Description]])&gt;0,LEN(A51)=0),checks!$B$127,"")))</f>
        <v/>
      </c>
    </row>
    <row r="53" spans="1:9" ht="11.25" customHeight="1" x14ac:dyDescent="0.35">
      <c r="A53" s="51"/>
      <c r="B53" s="71"/>
      <c r="C53" s="71"/>
      <c r="D53" s="71"/>
      <c r="E53" s="72"/>
      <c r="F53" s="65" t="s">
        <v>23</v>
      </c>
      <c r="G53" s="294">
        <v>0</v>
      </c>
      <c r="H53" s="108"/>
      <c r="I53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Row],[Description]])&gt;0,LEN(A52)=0),checks!$B$127,"")))</f>
        <v/>
      </c>
    </row>
    <row r="54" spans="1:9" ht="11.25" customHeight="1" x14ac:dyDescent="0.35">
      <c r="A54" s="51"/>
      <c r="B54" s="71"/>
      <c r="C54" s="71"/>
      <c r="D54" s="71"/>
      <c r="E54" s="72"/>
      <c r="F54" s="65" t="s">
        <v>23</v>
      </c>
      <c r="G54" s="294">
        <v>0</v>
      </c>
      <c r="H54" s="108"/>
      <c r="I54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Row],[Description]])&gt;0,LEN(A53)=0),checks!$B$127,"")))</f>
        <v/>
      </c>
    </row>
    <row r="55" spans="1:9" ht="11.25" customHeight="1" x14ac:dyDescent="0.35">
      <c r="A55" s="51"/>
      <c r="B55" s="71"/>
      <c r="C55" s="71"/>
      <c r="D55" s="71"/>
      <c r="E55" s="72"/>
      <c r="F55" s="65" t="s">
        <v>23</v>
      </c>
      <c r="G55" s="294">
        <v>0</v>
      </c>
      <c r="H55" s="108"/>
      <c r="I55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Row],[Description]])&gt;0,LEN(A54)=0),checks!$B$127,"")))</f>
        <v/>
      </c>
    </row>
    <row r="56" spans="1:9" ht="11.25" customHeight="1" x14ac:dyDescent="0.35">
      <c r="A56" s="51"/>
      <c r="B56" s="71"/>
      <c r="C56" s="71"/>
      <c r="D56" s="71"/>
      <c r="E56" s="72"/>
      <c r="F56" s="65" t="s">
        <v>23</v>
      </c>
      <c r="G56" s="294">
        <v>0</v>
      </c>
      <c r="H56" s="108"/>
      <c r="I56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Row],[Description]])&gt;0,LEN(A55)=0),checks!$B$127,"")))</f>
        <v/>
      </c>
    </row>
    <row r="57" spans="1:9" ht="11.25" customHeight="1" x14ac:dyDescent="0.35">
      <c r="A57" s="51"/>
      <c r="B57" s="71"/>
      <c r="C57" s="71"/>
      <c r="D57" s="71"/>
      <c r="E57" s="72"/>
      <c r="F57" s="65" t="s">
        <v>23</v>
      </c>
      <c r="G57" s="294">
        <v>0</v>
      </c>
      <c r="H57" s="108"/>
      <c r="I57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Row],[Description]])&gt;0,LEN(A56)=0),checks!$B$127,"")))</f>
        <v/>
      </c>
    </row>
    <row r="58" spans="1:9" ht="11.25" customHeight="1" x14ac:dyDescent="0.35">
      <c r="A58" s="51"/>
      <c r="B58" s="71"/>
      <c r="C58" s="71"/>
      <c r="D58" s="71"/>
      <c r="E58" s="72"/>
      <c r="F58" s="65" t="s">
        <v>23</v>
      </c>
      <c r="G58" s="294">
        <v>0</v>
      </c>
      <c r="H58" s="108"/>
      <c r="I58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Row],[Description]])&gt;0,LEN(A57)=0),checks!$B$127,"")))</f>
        <v/>
      </c>
    </row>
    <row r="59" spans="1:9" ht="11.25" customHeight="1" x14ac:dyDescent="0.35">
      <c r="A59" s="51"/>
      <c r="B59" s="71"/>
      <c r="C59" s="71"/>
      <c r="D59" s="71"/>
      <c r="E59" s="72"/>
      <c r="F59" s="65" t="s">
        <v>23</v>
      </c>
      <c r="G59" s="294">
        <v>0</v>
      </c>
      <c r="H59" s="108"/>
      <c r="I59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Row],[Description]])&gt;0,LEN(A58)=0),checks!$B$127,"")))</f>
        <v/>
      </c>
    </row>
    <row r="60" spans="1:9" ht="11.25" customHeight="1" x14ac:dyDescent="0.35">
      <c r="A60" s="51"/>
      <c r="B60" s="71"/>
      <c r="C60" s="71"/>
      <c r="D60" s="71"/>
      <c r="E60" s="72"/>
      <c r="F60" s="65" t="s">
        <v>23</v>
      </c>
      <c r="G60" s="294">
        <v>0</v>
      </c>
      <c r="H60" s="108"/>
      <c r="I60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Row],[Description]])&gt;0,LEN(A59)=0),checks!$B$127,"")))</f>
        <v/>
      </c>
    </row>
    <row r="61" spans="1:9" ht="11.25" customHeight="1" x14ac:dyDescent="0.35">
      <c r="A61" s="51"/>
      <c r="B61" s="71"/>
      <c r="C61" s="71"/>
      <c r="D61" s="71"/>
      <c r="E61" s="72"/>
      <c r="F61" s="65" t="s">
        <v>23</v>
      </c>
      <c r="G61" s="294">
        <v>0</v>
      </c>
      <c r="H61" s="108"/>
      <c r="I61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Row],[Description]])&gt;0,LEN(A60)=0),checks!$B$127,"")))</f>
        <v/>
      </c>
    </row>
    <row r="62" spans="1:9" ht="11.25" customHeight="1" x14ac:dyDescent="0.35">
      <c r="A62" s="51"/>
      <c r="B62" s="71"/>
      <c r="C62" s="71"/>
      <c r="D62" s="71"/>
      <c r="E62" s="72"/>
      <c r="F62" s="65" t="s">
        <v>23</v>
      </c>
      <c r="G62" s="294">
        <v>0</v>
      </c>
      <c r="H62" s="108"/>
      <c r="I62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Row],[Description]])&gt;0,LEN(A61)=0),checks!$B$127,"")))</f>
        <v/>
      </c>
    </row>
    <row r="63" spans="1:9" ht="11.25" customHeight="1" x14ac:dyDescent="0.35">
      <c r="A63" s="51"/>
      <c r="B63" s="71"/>
      <c r="C63" s="71"/>
      <c r="D63" s="71"/>
      <c r="E63" s="72"/>
      <c r="F63" s="65" t="s">
        <v>23</v>
      </c>
      <c r="G63" s="294">
        <v>0</v>
      </c>
      <c r="H63" s="108"/>
      <c r="I63" s="23" t="str">
        <f>IF(AND(goods_services[[#This Row],[Amount]]&gt;0,organisation_type="yes",goods_services[[#This Row],[Organisation type]]=""),checks!$B$146,IF(AND(goods_services[[#This Row],[Amount]]&gt;0,organisation_name="yes",goods_services[[#This Row],[Name organisation]]=""),checks!$B$147,IF(AND(LEN(goods_services[[#This Row],[Description]])&gt;0,LEN(A62)=0),checks!$B$127,"")))</f>
        <v/>
      </c>
    </row>
    <row r="64" spans="1:9" ht="11.25" customHeight="1" x14ac:dyDescent="0.35">
      <c r="A64" s="412"/>
      <c r="B64" s="389"/>
      <c r="C64" s="389"/>
      <c r="D64" s="389"/>
      <c r="E64" s="389"/>
      <c r="F64" s="406" t="s">
        <v>9</v>
      </c>
      <c r="G64" s="406"/>
      <c r="H64" s="392">
        <f>SUM(goods_services[Amount])</f>
        <v>0</v>
      </c>
      <c r="I64" s="23"/>
    </row>
    <row r="65" spans="1:9" ht="11.25" customHeight="1" x14ac:dyDescent="0.35">
      <c r="A65" s="269" t="s">
        <v>14</v>
      </c>
      <c r="B65" s="270"/>
      <c r="C65" s="270"/>
      <c r="D65" s="270"/>
      <c r="E65" s="270"/>
      <c r="F65" s="270"/>
      <c r="G65" s="270"/>
      <c r="H65" s="271"/>
      <c r="I65" s="6"/>
    </row>
    <row r="66" spans="1:9" ht="11.25" customHeight="1" x14ac:dyDescent="0.35">
      <c r="A66" s="58" t="s">
        <v>12</v>
      </c>
      <c r="B66" s="59" t="s">
        <v>182</v>
      </c>
      <c r="C66" s="59" t="s">
        <v>183</v>
      </c>
      <c r="D66" s="59" t="s">
        <v>184</v>
      </c>
      <c r="E66" s="59" t="s">
        <v>739</v>
      </c>
      <c r="F66" s="18" t="s">
        <v>66</v>
      </c>
      <c r="G66" s="35" t="s">
        <v>732</v>
      </c>
      <c r="H66" s="47" t="s">
        <v>13</v>
      </c>
      <c r="I66" s="6"/>
    </row>
    <row r="67" spans="1:9" ht="11.25" customHeight="1" x14ac:dyDescent="0.35">
      <c r="A67" s="57"/>
      <c r="B67" s="70"/>
      <c r="C67" s="70"/>
      <c r="D67" s="70"/>
      <c r="E67" s="70"/>
      <c r="F67" s="65" t="s">
        <v>23</v>
      </c>
      <c r="G67" s="296">
        <v>0</v>
      </c>
      <c r="H67" s="107"/>
      <c r="I67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Row],[Description]])&gt;0,LEN(A66)=0),checks!$B$127,"")))</f>
        <v/>
      </c>
    </row>
    <row r="68" spans="1:9" ht="11.25" customHeight="1" x14ac:dyDescent="0.35">
      <c r="A68" s="51"/>
      <c r="B68" s="74"/>
      <c r="C68" s="74"/>
      <c r="D68" s="74"/>
      <c r="E68" s="74"/>
      <c r="F68" s="65" t="s">
        <v>23</v>
      </c>
      <c r="G68" s="296">
        <v>0</v>
      </c>
      <c r="H68" s="110"/>
      <c r="I68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Row],[Description]])&gt;0,LEN(A67)=0),checks!$B$127,"")))</f>
        <v/>
      </c>
    </row>
    <row r="69" spans="1:9" ht="11.25" customHeight="1" x14ac:dyDescent="0.35">
      <c r="A69" s="61"/>
      <c r="B69" s="75"/>
      <c r="C69" s="75"/>
      <c r="D69" s="75"/>
      <c r="E69" s="74"/>
      <c r="F69" s="65" t="s">
        <v>23</v>
      </c>
      <c r="G69" s="296">
        <v>0</v>
      </c>
      <c r="H69" s="110"/>
      <c r="I69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Row],[Description]])&gt;0,LEN(A68)=0),checks!$B$127,"")))</f>
        <v/>
      </c>
    </row>
    <row r="70" spans="1:9" ht="11.25" customHeight="1" x14ac:dyDescent="0.35">
      <c r="A70" s="61"/>
      <c r="B70" s="75"/>
      <c r="C70" s="75"/>
      <c r="D70" s="75"/>
      <c r="E70" s="74"/>
      <c r="F70" s="65" t="s">
        <v>23</v>
      </c>
      <c r="G70" s="296">
        <v>0</v>
      </c>
      <c r="H70" s="110"/>
      <c r="I70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Row],[Description]])&gt;0,LEN(A69)=0),checks!$B$127,"")))</f>
        <v/>
      </c>
    </row>
    <row r="71" spans="1:9" ht="11.25" customHeight="1" x14ac:dyDescent="0.35">
      <c r="A71" s="61"/>
      <c r="B71" s="75"/>
      <c r="C71" s="75"/>
      <c r="D71" s="75"/>
      <c r="E71" s="74"/>
      <c r="F71" s="65" t="s">
        <v>23</v>
      </c>
      <c r="G71" s="296">
        <v>0</v>
      </c>
      <c r="H71" s="110"/>
      <c r="I71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Row],[Description]])&gt;0,LEN(A70)=0),checks!$B$127,"")))</f>
        <v/>
      </c>
    </row>
    <row r="72" spans="1:9" ht="11.25" customHeight="1" x14ac:dyDescent="0.35">
      <c r="A72" s="51"/>
      <c r="B72" s="74"/>
      <c r="C72" s="74"/>
      <c r="D72" s="74"/>
      <c r="E72" s="74"/>
      <c r="F72" s="65" t="s">
        <v>23</v>
      </c>
      <c r="G72" s="296">
        <v>0</v>
      </c>
      <c r="H72" s="110"/>
      <c r="I72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Row],[Description]])&gt;0,LEN(A71)=0),checks!$B$127,"")))</f>
        <v/>
      </c>
    </row>
    <row r="73" spans="1:9" ht="11.25" customHeight="1" x14ac:dyDescent="0.35">
      <c r="A73" s="61"/>
      <c r="B73" s="75"/>
      <c r="C73" s="75"/>
      <c r="D73" s="75"/>
      <c r="E73" s="74"/>
      <c r="F73" s="65" t="s">
        <v>23</v>
      </c>
      <c r="G73" s="296">
        <v>0</v>
      </c>
      <c r="H73" s="110"/>
      <c r="I73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Row],[Description]])&gt;0,LEN(A72)=0),checks!$B$127,"")))</f>
        <v/>
      </c>
    </row>
    <row r="74" spans="1:9" ht="11.25" customHeight="1" x14ac:dyDescent="0.35">
      <c r="A74" s="61"/>
      <c r="B74" s="75"/>
      <c r="C74" s="75"/>
      <c r="D74" s="75"/>
      <c r="E74" s="74"/>
      <c r="F74" s="65" t="s">
        <v>23</v>
      </c>
      <c r="G74" s="296">
        <v>0</v>
      </c>
      <c r="H74" s="110"/>
      <c r="I74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Row],[Description]])&gt;0,LEN(A73)=0),checks!$B$127,"")))</f>
        <v/>
      </c>
    </row>
    <row r="75" spans="1:9" ht="11.25" customHeight="1" x14ac:dyDescent="0.35">
      <c r="A75" s="61"/>
      <c r="B75" s="75"/>
      <c r="C75" s="75"/>
      <c r="D75" s="75"/>
      <c r="E75" s="74"/>
      <c r="F75" s="65" t="s">
        <v>23</v>
      </c>
      <c r="G75" s="296">
        <v>0</v>
      </c>
      <c r="H75" s="110"/>
      <c r="I75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Row],[Description]])&gt;0,LEN(A74)=0),checks!$B$127,"")))</f>
        <v/>
      </c>
    </row>
    <row r="76" spans="1:9" ht="11.25" customHeight="1" x14ac:dyDescent="0.35">
      <c r="A76" s="61"/>
      <c r="B76" s="75"/>
      <c r="C76" s="75"/>
      <c r="D76" s="75"/>
      <c r="E76" s="74"/>
      <c r="F76" s="65" t="s">
        <v>23</v>
      </c>
      <c r="G76" s="296">
        <v>0</v>
      </c>
      <c r="H76" s="110"/>
      <c r="I76" s="367" t="str">
        <f>IF(AND(travel_acc[[#This Row],[Amount]]&gt;0,organisation_type="yes",travel_acc[[#This Row],[Organisation type]]=""),checks!$B$146,IF(AND(travel_acc[[#This Row],[Amount]]&gt;0,organisation_name="yes",travel_acc[[#This Row],[Name organisation]]=""),checks!$B$147,IF(AND(LEN(travel_acc[[#This Row],[Description]])&gt;0,LEN(A75)=0),checks!$B$127,"")))</f>
        <v/>
      </c>
    </row>
    <row r="77" spans="1:9" ht="11.25" customHeight="1" x14ac:dyDescent="0.35">
      <c r="A77" s="412"/>
      <c r="B77" s="389"/>
      <c r="C77" s="389"/>
      <c r="D77" s="389"/>
      <c r="E77" s="389"/>
      <c r="F77" s="406" t="s">
        <v>9</v>
      </c>
      <c r="G77" s="406"/>
      <c r="H77" s="392">
        <f>SUM(travel_acc[Amount])</f>
        <v>0</v>
      </c>
      <c r="I77" s="367"/>
    </row>
    <row r="78" spans="1:9" ht="11.25" customHeight="1" x14ac:dyDescent="0.35">
      <c r="A78" s="269" t="s">
        <v>15</v>
      </c>
      <c r="B78" s="270"/>
      <c r="C78" s="270"/>
      <c r="D78" s="270"/>
      <c r="E78" s="270"/>
      <c r="F78" s="270"/>
      <c r="G78" s="270"/>
      <c r="H78" s="271"/>
      <c r="I78" s="23"/>
    </row>
    <row r="79" spans="1:9" ht="11.25" customHeight="1" x14ac:dyDescent="0.35">
      <c r="A79" s="58" t="s">
        <v>12</v>
      </c>
      <c r="B79" s="58" t="s">
        <v>182</v>
      </c>
      <c r="C79" s="58" t="s">
        <v>183</v>
      </c>
      <c r="D79" s="58" t="s">
        <v>184</v>
      </c>
      <c r="E79" s="58" t="s">
        <v>739</v>
      </c>
      <c r="F79" s="19" t="s">
        <v>66</v>
      </c>
      <c r="G79" s="40" t="s">
        <v>732</v>
      </c>
      <c r="H79" s="47" t="s">
        <v>13</v>
      </c>
      <c r="I79" s="23"/>
    </row>
    <row r="80" spans="1:9" ht="11.25" customHeight="1" x14ac:dyDescent="0.35">
      <c r="A80" s="55"/>
      <c r="B80" s="76"/>
      <c r="C80" s="76"/>
      <c r="D80" s="76"/>
      <c r="E80" s="76"/>
      <c r="F80" s="65" t="s">
        <v>23</v>
      </c>
      <c r="G80" s="57">
        <v>0</v>
      </c>
      <c r="H80" s="107"/>
      <c r="I80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Row],[Description]])&gt;0,LEN($A79)=0),checks!$B$127,"")))</f>
        <v/>
      </c>
    </row>
    <row r="81" spans="1:10" ht="11.25" customHeight="1" x14ac:dyDescent="0.35">
      <c r="A81" s="52"/>
      <c r="B81" s="78"/>
      <c r="C81" s="78"/>
      <c r="D81" s="78"/>
      <c r="E81" s="78"/>
      <c r="F81" s="65" t="s">
        <v>23</v>
      </c>
      <c r="G81" s="57">
        <v>0</v>
      </c>
      <c r="H81" s="108"/>
      <c r="I81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Row],[Description]])&gt;0,LEN($A80)=0),checks!$B$127,"")))</f>
        <v/>
      </c>
    </row>
    <row r="82" spans="1:10" ht="11.25" customHeight="1" x14ac:dyDescent="0.35">
      <c r="A82" s="52"/>
      <c r="B82" s="78"/>
      <c r="C82" s="78"/>
      <c r="D82" s="78"/>
      <c r="E82" s="78"/>
      <c r="F82" s="65" t="s">
        <v>23</v>
      </c>
      <c r="G82" s="57">
        <v>0</v>
      </c>
      <c r="H82" s="109"/>
      <c r="I82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Row],[Description]])&gt;0,LEN($A81)=0),checks!$B$127,"")))</f>
        <v/>
      </c>
    </row>
    <row r="83" spans="1:10" ht="11.25" customHeight="1" x14ac:dyDescent="0.35">
      <c r="A83" s="52"/>
      <c r="B83" s="78"/>
      <c r="C83" s="78"/>
      <c r="D83" s="78"/>
      <c r="E83" s="78"/>
      <c r="F83" s="65" t="s">
        <v>23</v>
      </c>
      <c r="G83" s="57">
        <v>0</v>
      </c>
      <c r="H83" s="109"/>
      <c r="I83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Row],[Description]])&gt;0,LEN($A82)=0),checks!$B$127,"")))</f>
        <v/>
      </c>
    </row>
    <row r="84" spans="1:10" ht="11.25" customHeight="1" x14ac:dyDescent="0.35">
      <c r="A84" s="52"/>
      <c r="B84" s="78"/>
      <c r="C84" s="78"/>
      <c r="D84" s="78"/>
      <c r="E84" s="78"/>
      <c r="F84" s="65" t="s">
        <v>23</v>
      </c>
      <c r="G84" s="57">
        <v>0</v>
      </c>
      <c r="H84" s="109"/>
      <c r="I84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Row],[Description]])&gt;0,LEN($A83)=0),checks!$B$127,"")))</f>
        <v/>
      </c>
    </row>
    <row r="85" spans="1:10" ht="11.25" customHeight="1" x14ac:dyDescent="0.35">
      <c r="A85" s="52"/>
      <c r="B85" s="78"/>
      <c r="C85" s="78"/>
      <c r="D85" s="78"/>
      <c r="E85" s="78"/>
      <c r="F85" s="65" t="s">
        <v>23</v>
      </c>
      <c r="G85" s="57">
        <v>0</v>
      </c>
      <c r="H85" s="109"/>
      <c r="I85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Row],[Description]])&gt;0,LEN($A84)=0),checks!$B$127,"")))</f>
        <v/>
      </c>
    </row>
    <row r="86" spans="1:10" ht="11.25" customHeight="1" x14ac:dyDescent="0.35">
      <c r="A86" s="52"/>
      <c r="B86" s="78"/>
      <c r="C86" s="78"/>
      <c r="D86" s="78"/>
      <c r="E86" s="78"/>
      <c r="F86" s="65" t="s">
        <v>23</v>
      </c>
      <c r="G86" s="57">
        <v>0</v>
      </c>
      <c r="H86" s="109"/>
      <c r="I86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Row],[Description]])&gt;0,LEN($A85)=0),checks!$B$127,"")))</f>
        <v/>
      </c>
    </row>
    <row r="87" spans="1:10" ht="11.25" customHeight="1" x14ac:dyDescent="0.35">
      <c r="A87" s="52"/>
      <c r="B87" s="78"/>
      <c r="C87" s="78"/>
      <c r="D87" s="78"/>
      <c r="E87" s="78"/>
      <c r="F87" s="65" t="s">
        <v>23</v>
      </c>
      <c r="G87" s="57">
        <v>0</v>
      </c>
      <c r="H87" s="109"/>
      <c r="I87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Row],[Description]])&gt;0,LEN($A86)=0),checks!$B$127,"")))</f>
        <v/>
      </c>
    </row>
    <row r="88" spans="1:10" ht="11.25" customHeight="1" x14ac:dyDescent="0.35">
      <c r="A88" s="52"/>
      <c r="B88" s="78"/>
      <c r="C88" s="78"/>
      <c r="D88" s="78"/>
      <c r="E88" s="78"/>
      <c r="F88" s="65" t="s">
        <v>23</v>
      </c>
      <c r="G88" s="57">
        <v>0</v>
      </c>
      <c r="H88" s="109"/>
      <c r="I88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Row],[Description]])&gt;0,LEN($A87)=0),checks!$B$127,"")))</f>
        <v/>
      </c>
    </row>
    <row r="89" spans="1:10" ht="11.25" customHeight="1" x14ac:dyDescent="0.35">
      <c r="A89" s="52"/>
      <c r="B89" s="78"/>
      <c r="C89" s="78"/>
      <c r="D89" s="78"/>
      <c r="E89" s="78"/>
      <c r="F89" s="65" t="s">
        <v>23</v>
      </c>
      <c r="G89" s="57">
        <v>0</v>
      </c>
      <c r="H89" s="109"/>
      <c r="I89" s="23" t="str">
        <f>IF(AND(implementation[[#This Row],[Amount]]&gt;0,organisation_type="yes",implementation[[#This Row],[Organisation type]]=""),checks!$B$146,IF(AND(implementation[[#This Row],[Amount]]&gt;0,organisation_name="yes",implementation[[#This Row],[Name organisation]]=""),checks!$B$147,IF(AND(LEN(implementation[[#This Row],[Description]])&gt;0,LEN($A88)=0),checks!$B$127,"")))</f>
        <v/>
      </c>
    </row>
    <row r="90" spans="1:10" ht="11.25" customHeight="1" x14ac:dyDescent="0.35">
      <c r="A90" s="410"/>
      <c r="B90" s="411"/>
      <c r="C90" s="411"/>
      <c r="D90" s="394"/>
      <c r="E90" s="394"/>
      <c r="F90" s="406" t="s">
        <v>9</v>
      </c>
      <c r="G90" s="406"/>
      <c r="H90" s="392">
        <f>SUM(implementation[Amount])</f>
        <v>0</v>
      </c>
      <c r="I90" s="23"/>
    </row>
    <row r="91" spans="1:10" ht="11.25" customHeight="1" x14ac:dyDescent="0.35">
      <c r="A91" s="269" t="s">
        <v>723</v>
      </c>
      <c r="B91" s="270"/>
      <c r="C91" s="270"/>
      <c r="D91" s="270"/>
      <c r="E91" s="270"/>
      <c r="F91" s="270"/>
      <c r="G91" s="270"/>
      <c r="H91" s="271"/>
      <c r="I91" s="23"/>
      <c r="J91" s="73"/>
    </row>
    <row r="92" spans="1:10" ht="11.25" customHeight="1" x14ac:dyDescent="0.35">
      <c r="A92" s="58" t="s">
        <v>12</v>
      </c>
      <c r="B92" s="58" t="s">
        <v>182</v>
      </c>
      <c r="C92" s="58" t="s">
        <v>183</v>
      </c>
      <c r="D92" s="58" t="s">
        <v>184</v>
      </c>
      <c r="E92" s="58" t="s">
        <v>739</v>
      </c>
      <c r="F92" s="19" t="s">
        <v>66</v>
      </c>
      <c r="G92" s="40" t="s">
        <v>732</v>
      </c>
      <c r="H92" s="47" t="s">
        <v>13</v>
      </c>
      <c r="I92" s="23"/>
      <c r="J92" s="73"/>
    </row>
    <row r="93" spans="1:10" ht="11.25" customHeight="1" x14ac:dyDescent="0.35">
      <c r="A93" s="55"/>
      <c r="B93" s="76"/>
      <c r="C93" s="76"/>
      <c r="D93" s="76"/>
      <c r="E93" s="77"/>
      <c r="F93" s="65" t="s">
        <v>23</v>
      </c>
      <c r="G93" s="57">
        <v>0</v>
      </c>
      <c r="H93" s="107"/>
      <c r="I93" s="23" t="str">
        <f>IF(AND(cleanroom[[#This Row],[Amount]]&gt;0,organisation_type="yes",cleanroom[[#This Row],[Organisation type]]=""),checks!$B$146,IF(AND(cleanroom[[#This Row],[Amount]]&gt;0,organisation_name="yes",cleanroom[[#This Row],[Name organisation]]=""),checks!$B$147,IF(AND(LEN(cleanroom[[#This Row],[Description]])&gt;0,LEN($A92)=0),checks!$B$127,"")))</f>
        <v/>
      </c>
      <c r="J93" s="73"/>
    </row>
    <row r="94" spans="1:10" ht="11.25" customHeight="1" x14ac:dyDescent="0.35">
      <c r="A94" s="52"/>
      <c r="B94" s="78"/>
      <c r="C94" s="78"/>
      <c r="D94" s="78"/>
      <c r="E94" s="79"/>
      <c r="F94" s="65" t="s">
        <v>23</v>
      </c>
      <c r="G94" s="57">
        <v>0</v>
      </c>
      <c r="H94" s="108"/>
      <c r="I94" s="23" t="str">
        <f>IF(AND(cleanroom[[#This Row],[Amount]]&gt;0,organisation_type="yes",cleanroom[[#This Row],[Organisation type]]=""),checks!$B$146,IF(AND(cleanroom[[#This Row],[Amount]]&gt;0,organisation_name="yes",cleanroom[[#This Row],[Name organisation]]=""),checks!$B$147,IF(AND(LEN(cleanroom[[#This Row],[Description]])&gt;0,LEN($A93)=0),checks!$B$127,"")))</f>
        <v/>
      </c>
      <c r="J94" s="73"/>
    </row>
    <row r="95" spans="1:10" ht="11.25" customHeight="1" x14ac:dyDescent="0.35">
      <c r="A95" s="52"/>
      <c r="B95" s="78"/>
      <c r="C95" s="78"/>
      <c r="D95" s="78"/>
      <c r="E95" s="79"/>
      <c r="F95" s="65" t="s">
        <v>23</v>
      </c>
      <c r="G95" s="57">
        <v>0</v>
      </c>
      <c r="H95" s="109"/>
      <c r="I95" s="23" t="str">
        <f>IF(AND(cleanroom[[#This Row],[Amount]]&gt;0,organisation_type="yes",cleanroom[[#This Row],[Organisation type]]=""),checks!$B$146,IF(AND(cleanroom[[#This Row],[Amount]]&gt;0,organisation_name="yes",cleanroom[[#This Row],[Name organisation]]=""),checks!$B$147,IF(AND(LEN(cleanroom[[#This Row],[Description]])&gt;0,LEN($A94)=0),checks!$B$127,"")))</f>
        <v/>
      </c>
      <c r="J95" s="73"/>
    </row>
    <row r="96" spans="1:10" ht="11.25" customHeight="1" x14ac:dyDescent="0.35">
      <c r="A96" s="52"/>
      <c r="B96" s="78"/>
      <c r="C96" s="78"/>
      <c r="D96" s="78"/>
      <c r="E96" s="79"/>
      <c r="F96" s="65" t="s">
        <v>23</v>
      </c>
      <c r="G96" s="57">
        <v>0</v>
      </c>
      <c r="H96" s="109"/>
      <c r="I96" s="23" t="str">
        <f>IF(AND(cleanroom[[#This Row],[Amount]]&gt;0,organisation_type="yes",cleanroom[[#This Row],[Organisation type]]=""),checks!$B$146,IF(AND(cleanroom[[#This Row],[Amount]]&gt;0,organisation_name="yes",cleanroom[[#This Row],[Name organisation]]=""),checks!$B$147,IF(AND(LEN(cleanroom[[#This Row],[Description]])&gt;0,LEN($A95)=0),checks!$B$127,"")))</f>
        <v/>
      </c>
      <c r="J96" s="73"/>
    </row>
    <row r="97" spans="1:10" ht="11.25" customHeight="1" x14ac:dyDescent="0.35">
      <c r="A97" s="52"/>
      <c r="B97" s="78"/>
      <c r="C97" s="78"/>
      <c r="D97" s="78"/>
      <c r="E97" s="79"/>
      <c r="F97" s="65" t="s">
        <v>23</v>
      </c>
      <c r="G97" s="57">
        <v>0</v>
      </c>
      <c r="H97" s="109"/>
      <c r="I97" s="23" t="str">
        <f>IF(AND(cleanroom[[#This Row],[Amount]]&gt;0,organisation_type="yes",cleanroom[[#This Row],[Organisation type]]=""),checks!$B$146,IF(AND(cleanroom[[#This Row],[Amount]]&gt;0,organisation_name="yes",cleanroom[[#This Row],[Name organisation]]=""),checks!$B$147,IF(AND(LEN(cleanroom[[#This Row],[Description]])&gt;0,LEN($A96)=0),checks!$B$127,"")))</f>
        <v/>
      </c>
      <c r="J97" s="73"/>
    </row>
    <row r="98" spans="1:10" ht="11.25" customHeight="1" x14ac:dyDescent="0.35">
      <c r="A98" s="407"/>
      <c r="B98" s="408"/>
      <c r="C98" s="408"/>
      <c r="D98" s="409"/>
      <c r="E98" s="409"/>
      <c r="F98" s="406" t="s">
        <v>9</v>
      </c>
      <c r="G98" s="406"/>
      <c r="H98" s="392">
        <f>SUM(cleanroom[Amount])</f>
        <v>0</v>
      </c>
      <c r="I98" s="23" t="str">
        <f>IF(AND(Total_cleanroom&gt;0,Total_cleanroom&lt;mat_cleanroom_minamount),checks!$B$158,IF(Total_cleanroom&gt;mat_cleanroom_maxamount,checks!$B$159,""))</f>
        <v/>
      </c>
      <c r="J98" s="73"/>
    </row>
    <row r="99" spans="1:10" ht="11.25" customHeight="1" x14ac:dyDescent="0.35">
      <c r="A99" s="122"/>
      <c r="B99" s="123"/>
      <c r="C99" s="123"/>
      <c r="D99" s="123"/>
      <c r="E99" s="336"/>
      <c r="F99" s="341" t="s">
        <v>17</v>
      </c>
      <c r="G99" s="341"/>
      <c r="H99" s="121">
        <f>Total_goods_services+Total_travel_acc+Total_implementation+Total_cleanroom</f>
        <v>0</v>
      </c>
      <c r="I99" s="272" t="str">
        <f ca="1">IF(Total_material_costs&gt;FTE_year_PhD_PD*Mat_max_FTE_year+pers_other_years_materials*Mat_max_FTE_year_other_inst+mat_costs_accountant+Total_cleanroom,checks!$B$157,"")</f>
        <v/>
      </c>
    </row>
    <row r="100" spans="1:10" ht="11.25" customHeight="1" x14ac:dyDescent="0.35">
      <c r="A100" s="339"/>
      <c r="B100" s="320"/>
      <c r="C100" s="320"/>
      <c r="D100" s="320"/>
      <c r="E100" s="320"/>
      <c r="F100" s="320"/>
      <c r="G100" s="320"/>
      <c r="H100" s="340"/>
      <c r="I100" s="6"/>
    </row>
    <row r="101" spans="1:10" ht="11.25" customHeight="1" x14ac:dyDescent="0.35">
      <c r="A101" s="446" t="s">
        <v>16</v>
      </c>
      <c r="B101" s="447"/>
      <c r="C101" s="447"/>
      <c r="D101" s="447"/>
      <c r="E101" s="447"/>
      <c r="F101" s="447"/>
      <c r="G101" s="447"/>
      <c r="H101" s="448"/>
      <c r="I101" s="6"/>
    </row>
    <row r="102" spans="1:10" ht="11.25" customHeight="1" x14ac:dyDescent="0.35">
      <c r="A102" s="275" t="s">
        <v>12</v>
      </c>
      <c r="B102" s="276" t="s">
        <v>182</v>
      </c>
      <c r="C102" s="276" t="s">
        <v>183</v>
      </c>
      <c r="D102" s="276" t="s">
        <v>184</v>
      </c>
      <c r="E102" s="276" t="s">
        <v>739</v>
      </c>
      <c r="F102" s="277" t="s">
        <v>66</v>
      </c>
      <c r="G102" s="47" t="s">
        <v>732</v>
      </c>
      <c r="H102" s="105" t="s">
        <v>13</v>
      </c>
      <c r="I102" s="281"/>
    </row>
    <row r="103" spans="1:10" ht="11.25" customHeight="1" x14ac:dyDescent="0.35">
      <c r="A103" s="56"/>
      <c r="B103" s="278"/>
      <c r="C103" s="278"/>
      <c r="D103" s="278"/>
      <c r="E103" s="278"/>
      <c r="F103" s="65" t="s">
        <v>23</v>
      </c>
      <c r="G103" s="57">
        <v>0</v>
      </c>
      <c r="H103" s="107"/>
      <c r="I103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Row],[Description]])&gt;0,LEN($A102)=0),checks!$B$127,"")))</f>
        <v/>
      </c>
    </row>
    <row r="104" spans="1:10" ht="11.25" customHeight="1" x14ac:dyDescent="0.35">
      <c r="A104" s="53"/>
      <c r="B104" s="279"/>
      <c r="C104" s="279"/>
      <c r="D104" s="279"/>
      <c r="E104" s="279"/>
      <c r="F104" s="65" t="s">
        <v>23</v>
      </c>
      <c r="G104" s="57">
        <v>0</v>
      </c>
      <c r="H104" s="108"/>
      <c r="I104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Row],[Description]])&gt;0,LEN($A103)=0),checks!$B$127,"")))</f>
        <v/>
      </c>
    </row>
    <row r="105" spans="1:10" ht="11.25" customHeight="1" x14ac:dyDescent="0.35">
      <c r="A105" s="53"/>
      <c r="B105" s="279"/>
      <c r="C105" s="279"/>
      <c r="D105" s="279"/>
      <c r="E105" s="279"/>
      <c r="F105" s="65" t="s">
        <v>23</v>
      </c>
      <c r="G105" s="57">
        <v>0</v>
      </c>
      <c r="H105" s="108"/>
      <c r="I105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Row],[Description]])&gt;0,LEN($A104)=0),checks!$B$127,"")))</f>
        <v/>
      </c>
    </row>
    <row r="106" spans="1:10" ht="11.25" customHeight="1" x14ac:dyDescent="0.35">
      <c r="A106" s="53"/>
      <c r="B106" s="280"/>
      <c r="C106" s="280"/>
      <c r="D106" s="280"/>
      <c r="E106" s="280"/>
      <c r="F106" s="65" t="s">
        <v>23</v>
      </c>
      <c r="G106" s="57">
        <v>0</v>
      </c>
      <c r="H106" s="108"/>
      <c r="I106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Row],[Description]])&gt;0,LEN($A105)=0),checks!$B$127,"")))</f>
        <v/>
      </c>
    </row>
    <row r="107" spans="1:10" ht="11.25" customHeight="1" x14ac:dyDescent="0.35">
      <c r="A107" s="53"/>
      <c r="B107" s="280"/>
      <c r="C107" s="280"/>
      <c r="D107" s="280"/>
      <c r="E107" s="280"/>
      <c r="F107" s="65" t="s">
        <v>23</v>
      </c>
      <c r="G107" s="57">
        <v>0</v>
      </c>
      <c r="H107" s="108"/>
      <c r="I107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Row],[Description]])&gt;0,LEN($A106)=0),checks!$B$127,"")))</f>
        <v/>
      </c>
    </row>
    <row r="108" spans="1:10" ht="11.25" customHeight="1" x14ac:dyDescent="0.35">
      <c r="A108" s="53"/>
      <c r="B108" s="280"/>
      <c r="C108" s="280"/>
      <c r="D108" s="280"/>
      <c r="E108" s="280"/>
      <c r="F108" s="65" t="s">
        <v>23</v>
      </c>
      <c r="G108" s="57">
        <v>0</v>
      </c>
      <c r="H108" s="108"/>
      <c r="I108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Row],[Description]])&gt;0,LEN($A107)=0),checks!$B$127,"")))</f>
        <v/>
      </c>
    </row>
    <row r="109" spans="1:10" ht="11.25" customHeight="1" x14ac:dyDescent="0.35">
      <c r="A109" s="53"/>
      <c r="B109" s="280"/>
      <c r="C109" s="280"/>
      <c r="D109" s="280"/>
      <c r="E109" s="280"/>
      <c r="F109" s="65" t="s">
        <v>23</v>
      </c>
      <c r="G109" s="57">
        <v>0</v>
      </c>
      <c r="H109" s="108"/>
      <c r="I109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Row],[Description]])&gt;0,LEN($A108)=0),checks!$B$127,"")))</f>
        <v/>
      </c>
    </row>
    <row r="110" spans="1:10" ht="11.25" customHeight="1" x14ac:dyDescent="0.35">
      <c r="A110" s="53"/>
      <c r="B110" s="280"/>
      <c r="C110" s="280"/>
      <c r="D110" s="280"/>
      <c r="E110" s="280"/>
      <c r="F110" s="65" t="s">
        <v>23</v>
      </c>
      <c r="G110" s="57">
        <v>0</v>
      </c>
      <c r="H110" s="108"/>
      <c r="I110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Row],[Description]])&gt;0,LEN($A109)=0),checks!$B$127,"")))</f>
        <v/>
      </c>
    </row>
    <row r="111" spans="1:10" ht="11.25" customHeight="1" x14ac:dyDescent="0.35">
      <c r="A111" s="53"/>
      <c r="B111" s="280"/>
      <c r="C111" s="280"/>
      <c r="D111" s="280"/>
      <c r="E111" s="280"/>
      <c r="F111" s="65" t="s">
        <v>23</v>
      </c>
      <c r="G111" s="57">
        <v>0</v>
      </c>
      <c r="H111" s="108"/>
      <c r="I111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Row],[Description]])&gt;0,LEN($A110)=0),checks!$B$127,"")))</f>
        <v/>
      </c>
    </row>
    <row r="112" spans="1:10" ht="11.25" customHeight="1" x14ac:dyDescent="0.35">
      <c r="A112" s="53"/>
      <c r="B112" s="280"/>
      <c r="C112" s="280"/>
      <c r="D112" s="280"/>
      <c r="E112" s="280"/>
      <c r="F112" s="65" t="s">
        <v>23</v>
      </c>
      <c r="G112" s="57">
        <v>0</v>
      </c>
      <c r="H112" s="108"/>
      <c r="I112" s="23" t="str">
        <f>IF(AND(investments_small[[#This Row],[Amount]]&gt;0,organisation_type="yes",investments_small[[#This Row],[Organisation type]]=""),checks!$B$146,IF(AND(investments_small[[#This Row],[Amount]]&gt;0,organisation_name="yes",investments_small[[#This Row],[Name organisation]]=""),checks!$B$147,IF(AND(LEN(investments_small[[#This Row],[Description]])&gt;0,LEN($A111)=0),checks!$B$127,"")))</f>
        <v/>
      </c>
    </row>
    <row r="113" spans="1:9" ht="11.25" customHeight="1" x14ac:dyDescent="0.35">
      <c r="A113" s="388"/>
      <c r="B113" s="390"/>
      <c r="C113" s="390"/>
      <c r="D113" s="390"/>
      <c r="E113" s="390"/>
      <c r="F113" s="406" t="s">
        <v>9</v>
      </c>
      <c r="G113" s="406"/>
      <c r="H113" s="392">
        <f>SUM(investments_small[Amount])</f>
        <v>0</v>
      </c>
      <c r="I113" s="23" t="str">
        <f>IF(Total_investments_small&gt;threshold_own_contribution,checks!$B$162,"")</f>
        <v/>
      </c>
    </row>
    <row r="114" spans="1:9" ht="11.25" customHeight="1" x14ac:dyDescent="0.35">
      <c r="A114" s="5"/>
      <c r="B114" s="343"/>
      <c r="C114" s="343"/>
      <c r="D114" s="344"/>
      <c r="E114" s="344"/>
      <c r="F114" s="337" t="s">
        <v>848</v>
      </c>
      <c r="G114" s="337"/>
      <c r="H114" s="345">
        <f>Total_investments_small+Total_investments_large</f>
        <v>0</v>
      </c>
      <c r="I114" s="329" t="str">
        <f ca="1">IF(AND(Total_NWO_funding&gt;0,Total_investments&lt;inv_min_total_amount),checks!$B$161,IF(Total_investments&gt;inv_max_total_amount,checks!$B$163,""))</f>
        <v/>
      </c>
    </row>
    <row r="115" spans="1:9" ht="11.25" customHeight="1" x14ac:dyDescent="0.35">
      <c r="A115" s="435"/>
      <c r="B115" s="436"/>
      <c r="C115" s="436"/>
      <c r="D115" s="436"/>
      <c r="E115" s="436"/>
      <c r="F115" s="436"/>
      <c r="G115" s="342"/>
    </row>
    <row r="116" spans="1:9" ht="11.25" customHeight="1" x14ac:dyDescent="0.35">
      <c r="A116" s="432" t="s">
        <v>18</v>
      </c>
      <c r="B116" s="433"/>
      <c r="C116" s="433"/>
      <c r="D116" s="433"/>
      <c r="E116" s="433"/>
      <c r="F116" s="433"/>
      <c r="G116" s="433"/>
      <c r="H116" s="434"/>
      <c r="I116" s="6"/>
    </row>
    <row r="117" spans="1:9" ht="11.25" customHeight="1" x14ac:dyDescent="0.35">
      <c r="A117" s="54" t="s">
        <v>12</v>
      </c>
      <c r="B117" s="54" t="s">
        <v>182</v>
      </c>
      <c r="C117" s="54" t="s">
        <v>183</v>
      </c>
      <c r="D117" s="54" t="s">
        <v>184</v>
      </c>
      <c r="E117" s="54" t="s">
        <v>739</v>
      </c>
      <c r="F117" s="19" t="s">
        <v>66</v>
      </c>
      <c r="G117" s="40" t="s">
        <v>732</v>
      </c>
      <c r="H117" s="106" t="s">
        <v>13</v>
      </c>
      <c r="I117" s="6"/>
    </row>
    <row r="118" spans="1:9" ht="11.25" customHeight="1" x14ac:dyDescent="0.35">
      <c r="A118" s="56"/>
      <c r="B118" s="80"/>
      <c r="C118" s="80"/>
      <c r="D118" s="80"/>
      <c r="E118" s="81"/>
      <c r="F118" s="65" t="s">
        <v>23</v>
      </c>
      <c r="G118" s="297">
        <v>0</v>
      </c>
      <c r="H118" s="107"/>
      <c r="I118" s="23" t="str">
        <f>IF(AND(knowledge_utilisation[[#This Row],[Amount]]&gt;0,organisation_type="yes",knowledge_utilisation[[#This Row],[Organisation type]]=""),checks!$B$146,IF(AND(knowledge_utilisation[[#This Row],[Amount]]&gt;0,organisation_name="yes",knowledge_utilisation[[#This Row],[Name organisation]]=""),checks!$B$147,IF(AND(LEN(knowledge_utilisation[[#This Row],[Description]])&gt;0,LEN($A117)=0),checks!$B$127,"")))</f>
        <v/>
      </c>
    </row>
    <row r="119" spans="1:9" ht="11.25" customHeight="1" x14ac:dyDescent="0.35">
      <c r="A119" s="53"/>
      <c r="B119" s="82"/>
      <c r="C119" s="82"/>
      <c r="D119" s="82"/>
      <c r="E119" s="83"/>
      <c r="F119" s="65" t="s">
        <v>23</v>
      </c>
      <c r="G119" s="297">
        <v>0</v>
      </c>
      <c r="H119" s="108"/>
      <c r="I119" s="23" t="str">
        <f>IF(AND(knowledge_utilisation[[#This Row],[Amount]]&gt;0,organisation_type="yes",knowledge_utilisation[[#This Row],[Organisation type]]=""),checks!$B$146,IF(AND(knowledge_utilisation[[#This Row],[Amount]]&gt;0,organisation_name="yes",knowledge_utilisation[[#This Row],[Name organisation]]=""),checks!$B$147,IF(AND(LEN(knowledge_utilisation[[#This Row],[Description]])&gt;0,LEN($A118)=0),checks!$B$127,"")))</f>
        <v/>
      </c>
    </row>
    <row r="120" spans="1:9" ht="11.25" customHeight="1" x14ac:dyDescent="0.35">
      <c r="A120" s="53"/>
      <c r="B120" s="82"/>
      <c r="C120" s="82"/>
      <c r="D120" s="82"/>
      <c r="E120" s="83"/>
      <c r="F120" s="65" t="s">
        <v>23</v>
      </c>
      <c r="G120" s="297">
        <v>0</v>
      </c>
      <c r="H120" s="108"/>
      <c r="I120" s="23" t="str">
        <f>IF(AND(knowledge_utilisation[[#This Row],[Amount]]&gt;0,organisation_type="yes",knowledge_utilisation[[#This Row],[Organisation type]]=""),checks!$B$146,IF(AND(knowledge_utilisation[[#This Row],[Amount]]&gt;0,organisation_name="yes",knowledge_utilisation[[#This Row],[Name organisation]]=""),checks!$B$147,IF(AND(LEN(knowledge_utilisation[[#This Row],[Description]])&gt;0,LEN($A119)=0),checks!$B$127,"")))</f>
        <v/>
      </c>
    </row>
    <row r="121" spans="1:9" ht="11.25" customHeight="1" x14ac:dyDescent="0.35">
      <c r="A121" s="53"/>
      <c r="B121" s="82"/>
      <c r="C121" s="82"/>
      <c r="D121" s="82"/>
      <c r="E121" s="83"/>
      <c r="F121" s="65" t="s">
        <v>23</v>
      </c>
      <c r="G121" s="297">
        <v>0</v>
      </c>
      <c r="H121" s="108"/>
      <c r="I121" s="23" t="str">
        <f>IF(AND(knowledge_utilisation[[#This Row],[Amount]]&gt;0,organisation_type="yes",knowledge_utilisation[[#This Row],[Organisation type]]=""),checks!$B$146,IF(AND(knowledge_utilisation[[#This Row],[Amount]]&gt;0,organisation_name="yes",knowledge_utilisation[[#This Row],[Name organisation]]=""),checks!$B$147,IF(AND(LEN(knowledge_utilisation[[#This Row],[Description]])&gt;0,LEN($A120)=0),checks!$B$127,"")))</f>
        <v/>
      </c>
    </row>
    <row r="122" spans="1:9" ht="11.25" customHeight="1" x14ac:dyDescent="0.35">
      <c r="A122" s="53"/>
      <c r="B122" s="82"/>
      <c r="C122" s="82"/>
      <c r="D122" s="82"/>
      <c r="E122" s="83"/>
      <c r="F122" s="65" t="s">
        <v>23</v>
      </c>
      <c r="G122" s="297">
        <v>0</v>
      </c>
      <c r="H122" s="108"/>
      <c r="I122" s="23" t="str">
        <f>IF(AND(knowledge_utilisation[[#This Row],[Amount]]&gt;0,organisation_type="yes",knowledge_utilisation[[#This Row],[Organisation type]]=""),checks!$B$146,IF(AND(knowledge_utilisation[[#This Row],[Amount]]&gt;0,organisation_name="yes",knowledge_utilisation[[#This Row],[Name organisation]]=""),checks!$B$147,IF(AND(LEN(knowledge_utilisation[[#This Row],[Description]])&gt;0,LEN($A121)=0),checks!$B$127,"")))</f>
        <v/>
      </c>
    </row>
    <row r="123" spans="1:9" ht="11.25" customHeight="1" x14ac:dyDescent="0.35">
      <c r="A123" s="403"/>
      <c r="B123" s="404"/>
      <c r="C123" s="404"/>
      <c r="D123" s="404"/>
      <c r="E123" s="404"/>
      <c r="F123" s="405" t="s">
        <v>849</v>
      </c>
      <c r="G123" s="405"/>
      <c r="H123" s="392">
        <f>SUM(knowledge_utilisation[Amount])</f>
        <v>0</v>
      </c>
      <c r="I123" s="23" t="str">
        <f ca="1">IF(Total_Knowledge_utilisation&lt;KU_minperc*Total_NWO_funding,checks!$B$164,IF(Total_Knowledge_utilisation&gt;KU_maxperc*Total_NWO_funding,checks!$B$165,IF(Total_Knowledge_utilisation&gt;KU_max_amount,checks!$B$166,"")))</f>
        <v/>
      </c>
    </row>
    <row r="124" spans="1:9" ht="11.25" customHeight="1" x14ac:dyDescent="0.35">
      <c r="A124" s="15"/>
      <c r="B124" s="16"/>
      <c r="C124" s="16"/>
      <c r="D124" s="16"/>
      <c r="E124" s="16"/>
      <c r="F124" s="320"/>
      <c r="G124" s="332"/>
    </row>
    <row r="125" spans="1:9" ht="11.25" customHeight="1" x14ac:dyDescent="0.35">
      <c r="A125" s="432" t="s">
        <v>20</v>
      </c>
      <c r="B125" s="433"/>
      <c r="C125" s="433"/>
      <c r="D125" s="433"/>
      <c r="E125" s="433"/>
      <c r="F125" s="433"/>
      <c r="G125" s="433"/>
      <c r="H125" s="434"/>
      <c r="I125" s="12"/>
    </row>
    <row r="126" spans="1:9" ht="11.25" customHeight="1" x14ac:dyDescent="0.35">
      <c r="A126" s="269" t="s">
        <v>20</v>
      </c>
      <c r="B126" s="270"/>
      <c r="C126" s="270"/>
      <c r="D126" s="270"/>
      <c r="E126" s="270"/>
      <c r="F126" s="270"/>
      <c r="G126" s="270"/>
      <c r="H126" s="271"/>
      <c r="I126" s="219"/>
    </row>
    <row r="127" spans="1:9" ht="11.25" customHeight="1" x14ac:dyDescent="0.35">
      <c r="A127" s="46" t="s">
        <v>12</v>
      </c>
      <c r="B127" s="54" t="s">
        <v>182</v>
      </c>
      <c r="C127" s="54" t="s">
        <v>183</v>
      </c>
      <c r="D127" s="298" t="s">
        <v>184</v>
      </c>
      <c r="E127" s="298" t="s">
        <v>739</v>
      </c>
      <c r="F127" s="18" t="s">
        <v>66</v>
      </c>
      <c r="G127" s="40" t="s">
        <v>732</v>
      </c>
      <c r="H127" s="103" t="s">
        <v>13</v>
      </c>
      <c r="I127" s="310"/>
    </row>
    <row r="128" spans="1:9" ht="11.25" customHeight="1" x14ac:dyDescent="0.35">
      <c r="A128" s="56"/>
      <c r="B128" s="80"/>
      <c r="C128" s="80"/>
      <c r="D128" s="84"/>
      <c r="E128" s="80"/>
      <c r="F128" s="65" t="s">
        <v>23</v>
      </c>
      <c r="G128" s="297">
        <v>0</v>
      </c>
      <c r="H128" s="90"/>
      <c r="I128" s="368" t="str">
        <f>IF(AND(internationalisation[[#This Row],[Amount]]&gt;0,organisation_type="yes",internationalisation[[#This Row],[Organisation type]]=""),checks!$B$146,IF(AND(internationalisation[[#This Row],[Amount]]&gt;0,organisation_name="yes",internationalisation[[#This Row],[Name organisation]]=""),checks!$B$147,IF(AND(LEN(internationalisation[[#This Row],[Description]])&gt;0,LEN($A127)=0),checks!$B$127,"")))</f>
        <v/>
      </c>
    </row>
    <row r="129" spans="1:10" ht="11.25" customHeight="1" x14ac:dyDescent="0.35">
      <c r="A129" s="53"/>
      <c r="B129" s="82"/>
      <c r="C129" s="82"/>
      <c r="D129" s="82"/>
      <c r="E129" s="82"/>
      <c r="F129" s="65" t="s">
        <v>23</v>
      </c>
      <c r="G129" s="297">
        <v>0</v>
      </c>
      <c r="H129" s="92"/>
      <c r="I129" s="368" t="str">
        <f>IF(AND(internationalisation[[#This Row],[Amount]]&gt;0,organisation_type="yes",internationalisation[[#This Row],[Organisation type]]=""),checks!$B$146,IF(AND(internationalisation[[#This Row],[Amount]]&gt;0,organisation_name="yes",internationalisation[[#This Row],[Name organisation]]=""),checks!$B$147,IF(AND(LEN(internationalisation[[#This Row],[Description]])&gt;0,LEN($A128)=0),checks!$B$127,"")))</f>
        <v/>
      </c>
    </row>
    <row r="130" spans="1:10" ht="11.25" customHeight="1" x14ac:dyDescent="0.35">
      <c r="A130" s="62"/>
      <c r="B130" s="85"/>
      <c r="C130" s="85"/>
      <c r="D130" s="85"/>
      <c r="E130" s="85"/>
      <c r="F130" s="65" t="s">
        <v>23</v>
      </c>
      <c r="G130" s="297">
        <v>0</v>
      </c>
      <c r="H130" s="104"/>
      <c r="I130" s="368" t="str">
        <f>IF(AND(internationalisation[[#This Row],[Amount]]&gt;0,organisation_type="yes",internationalisation[[#This Row],[Organisation type]]=""),checks!$B$146,IF(AND(internationalisation[[#This Row],[Amount]]&gt;0,organisation_name="yes",internationalisation[[#This Row],[Name organisation]]=""),checks!$B$147,IF(AND(LEN(internationalisation[[#This Row],[Description]])&gt;0,LEN($A129)=0),checks!$B$127,"")))</f>
        <v/>
      </c>
    </row>
    <row r="131" spans="1:10" ht="11.25" customHeight="1" x14ac:dyDescent="0.35">
      <c r="A131" s="62"/>
      <c r="B131" s="85"/>
      <c r="C131" s="85"/>
      <c r="D131" s="85"/>
      <c r="E131" s="85"/>
      <c r="F131" s="65" t="s">
        <v>23</v>
      </c>
      <c r="G131" s="297">
        <v>0</v>
      </c>
      <c r="H131" s="104"/>
      <c r="I131" s="368" t="str">
        <f>IF(AND(internationalisation[[#This Row],[Amount]]&gt;0,organisation_type="yes",internationalisation[[#This Row],[Organisation type]]=""),checks!$B$146,IF(AND(internationalisation[[#This Row],[Amount]]&gt;0,organisation_name="yes",internationalisation[[#This Row],[Name organisation]]=""),checks!$B$147,IF(AND(LEN(internationalisation[[#This Row],[Description]])&gt;0,LEN($A130)=0),checks!$B$127,"")))</f>
        <v/>
      </c>
    </row>
    <row r="132" spans="1:10" ht="11.25" customHeight="1" x14ac:dyDescent="0.35">
      <c r="A132" s="62"/>
      <c r="B132" s="85"/>
      <c r="C132" s="85"/>
      <c r="D132" s="85"/>
      <c r="E132" s="85"/>
      <c r="F132" s="65" t="s">
        <v>23</v>
      </c>
      <c r="G132" s="297">
        <v>0</v>
      </c>
      <c r="H132" s="104"/>
      <c r="I132" s="368" t="str">
        <f>IF(AND(internationalisation[[#This Row],[Amount]]&gt;0,organisation_type="yes",internationalisation[[#This Row],[Organisation type]]=""),checks!$B$146,IF(AND(internationalisation[[#This Row],[Amount]]&gt;0,organisation_name="yes",internationalisation[[#This Row],[Name organisation]]=""),checks!$B$147,IF(AND(LEN(internationalisation[[#This Row],[Description]])&gt;0,LEN($A131)=0),checks!$B$127,"")))</f>
        <v/>
      </c>
    </row>
    <row r="133" spans="1:10" ht="11.25" customHeight="1" x14ac:dyDescent="0.35">
      <c r="A133" s="399"/>
      <c r="B133" s="400"/>
      <c r="C133" s="400"/>
      <c r="D133" s="400"/>
      <c r="E133" s="400"/>
      <c r="F133" s="401" t="s">
        <v>824</v>
      </c>
      <c r="G133" s="401"/>
      <c r="H133" s="402">
        <f>SUM(internationalisation[Amount])</f>
        <v>0</v>
      </c>
      <c r="I133" s="368" t="str">
        <f ca="1">IF(AND(Total_internationalisation&gt;Int_maxamount,Total_NWO_funding&gt;0),checks!$B$169,IF(AND(Total_internationalisation&gt;Int_maxamount_perc*Total_NWO_funding,Total_NWO_funding&gt;0),checks!$B$170,""))</f>
        <v/>
      </c>
    </row>
    <row r="134" spans="1:10" ht="11.25" customHeight="1" x14ac:dyDescent="0.35">
      <c r="A134" s="379"/>
      <c r="B134" s="380"/>
      <c r="C134" s="380"/>
      <c r="D134" s="380"/>
      <c r="E134" s="380"/>
      <c r="F134" s="380"/>
      <c r="G134" s="381"/>
      <c r="H134" s="382"/>
      <c r="I134" s="377"/>
    </row>
    <row r="135" spans="1:10" ht="38.25" customHeight="1" x14ac:dyDescent="0.35">
      <c r="A135" s="432" t="s">
        <v>823</v>
      </c>
      <c r="B135" s="433"/>
      <c r="C135" s="433"/>
      <c r="D135" s="433"/>
      <c r="E135" s="433"/>
      <c r="F135" s="433"/>
      <c r="G135" s="433"/>
      <c r="H135" s="434"/>
      <c r="I135" s="439" t="s">
        <v>860</v>
      </c>
      <c r="J135" s="440"/>
    </row>
    <row r="136" spans="1:10" ht="11.25" customHeight="1" x14ac:dyDescent="0.35">
      <c r="A136" s="269" t="s">
        <v>186</v>
      </c>
      <c r="B136" s="270"/>
      <c r="C136" s="270"/>
      <c r="D136" s="270"/>
      <c r="E136" s="270"/>
      <c r="F136" s="270"/>
      <c r="G136" s="270"/>
      <c r="H136" s="271"/>
      <c r="I136" s="128"/>
    </row>
    <row r="137" spans="1:10" ht="11.25" customHeight="1" x14ac:dyDescent="0.35">
      <c r="A137" s="373" t="s">
        <v>40</v>
      </c>
      <c r="B137" s="374" t="s">
        <v>41</v>
      </c>
      <c r="C137" s="374" t="s">
        <v>42</v>
      </c>
      <c r="D137" s="374" t="s">
        <v>187</v>
      </c>
      <c r="E137" s="383" t="s">
        <v>76</v>
      </c>
      <c r="F137" s="375" t="s">
        <v>66</v>
      </c>
      <c r="G137" s="298" t="s">
        <v>732</v>
      </c>
      <c r="H137" s="376" t="s">
        <v>13</v>
      </c>
      <c r="I137" s="158" t="str">
        <f>IFERROR(IF(AND(NOT(ISBLANK(MfC_pers_ac_inst[Category])),OR(ISBLANK(MfC_pers_ac_inst[FTE]),ISBLANK(MfC_pers_ac_inst[Months]))),MfC_pers_ac_inst[Category] &amp; ", " &amp; VLOOKUP(MfC_pers_ac_inst[Category],salaries_academic[],2,FALSE),IF(AND(LEN(H138)&gt;0,ISERROR(VALUE(H138))),checks!$B$172,"")),"")</f>
        <v/>
      </c>
    </row>
    <row r="138" spans="1:10" ht="11.25" customHeight="1" x14ac:dyDescent="0.35">
      <c r="A138" s="63"/>
      <c r="B138" s="99"/>
      <c r="C138" s="101"/>
      <c r="D138" s="127"/>
      <c r="E138" s="315"/>
      <c r="F138" s="65" t="s">
        <v>23</v>
      </c>
      <c r="G138" s="297">
        <v>0</v>
      </c>
      <c r="H138" s="312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38" s="318" t="str">
        <f>checks!B520</f>
        <v/>
      </c>
    </row>
    <row r="139" spans="1:10" ht="11.25" customHeight="1" x14ac:dyDescent="0.35">
      <c r="A139" s="63"/>
      <c r="B139" s="100"/>
      <c r="C139" s="102"/>
      <c r="D139" s="64"/>
      <c r="E139" s="315"/>
      <c r="F139" s="65" t="s">
        <v>23</v>
      </c>
      <c r="G139" s="297">
        <v>0</v>
      </c>
      <c r="H139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39" s="318" t="str">
        <f>checks!B521</f>
        <v/>
      </c>
    </row>
    <row r="140" spans="1:10" ht="11.25" customHeight="1" x14ac:dyDescent="0.35">
      <c r="A140" s="63"/>
      <c r="B140" s="100"/>
      <c r="C140" s="102"/>
      <c r="D140" s="64"/>
      <c r="E140" s="315"/>
      <c r="F140" s="65" t="s">
        <v>23</v>
      </c>
      <c r="G140" s="297">
        <v>0</v>
      </c>
      <c r="H140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0" s="318" t="str">
        <f>checks!B522</f>
        <v/>
      </c>
    </row>
    <row r="141" spans="1:10" ht="11.25" customHeight="1" x14ac:dyDescent="0.35">
      <c r="A141" s="63"/>
      <c r="B141" s="100"/>
      <c r="C141" s="102"/>
      <c r="D141" s="64"/>
      <c r="E141" s="315"/>
      <c r="F141" s="65" t="s">
        <v>23</v>
      </c>
      <c r="G141" s="297">
        <v>0</v>
      </c>
      <c r="H141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1" s="318" t="str">
        <f>checks!B523</f>
        <v/>
      </c>
    </row>
    <row r="142" spans="1:10" ht="11.25" customHeight="1" x14ac:dyDescent="0.35">
      <c r="A142" s="63"/>
      <c r="B142" s="100"/>
      <c r="C142" s="102"/>
      <c r="D142" s="64"/>
      <c r="E142" s="315"/>
      <c r="F142" s="65" t="s">
        <v>23</v>
      </c>
      <c r="G142" s="297">
        <v>0</v>
      </c>
      <c r="H142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2" s="318" t="str">
        <f>checks!B524</f>
        <v/>
      </c>
    </row>
    <row r="143" spans="1:10" ht="11.25" customHeight="1" x14ac:dyDescent="0.35">
      <c r="A143" s="63"/>
      <c r="B143" s="100"/>
      <c r="C143" s="102"/>
      <c r="D143" s="64"/>
      <c r="E143" s="315"/>
      <c r="F143" s="65" t="s">
        <v>23</v>
      </c>
      <c r="G143" s="297">
        <v>0</v>
      </c>
      <c r="H143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3" s="318" t="str">
        <f>checks!B525</f>
        <v/>
      </c>
    </row>
    <row r="144" spans="1:10" ht="11.25" customHeight="1" x14ac:dyDescent="0.35">
      <c r="A144" s="63"/>
      <c r="B144" s="100"/>
      <c r="C144" s="102"/>
      <c r="D144" s="64"/>
      <c r="E144" s="315"/>
      <c r="F144" s="65" t="s">
        <v>23</v>
      </c>
      <c r="G144" s="297">
        <v>0</v>
      </c>
      <c r="H144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4" s="318" t="str">
        <f>checks!B526</f>
        <v/>
      </c>
    </row>
    <row r="145" spans="1:9" ht="11.25" customHeight="1" x14ac:dyDescent="0.35">
      <c r="A145" s="63"/>
      <c r="B145" s="100"/>
      <c r="C145" s="102"/>
      <c r="D145" s="64"/>
      <c r="E145" s="315"/>
      <c r="F145" s="65" t="s">
        <v>23</v>
      </c>
      <c r="G145" s="297">
        <v>0</v>
      </c>
      <c r="H145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5" s="318" t="str">
        <f>checks!B527</f>
        <v/>
      </c>
    </row>
    <row r="146" spans="1:9" ht="11.25" customHeight="1" x14ac:dyDescent="0.35">
      <c r="A146" s="63"/>
      <c r="B146" s="100"/>
      <c r="C146" s="102"/>
      <c r="D146" s="64"/>
      <c r="E146" s="315"/>
      <c r="F146" s="65" t="s">
        <v>23</v>
      </c>
      <c r="G146" s="297">
        <v>0</v>
      </c>
      <c r="H146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6" s="318" t="str">
        <f>checks!B528</f>
        <v/>
      </c>
    </row>
    <row r="147" spans="1:9" ht="11.25" customHeight="1" x14ac:dyDescent="0.35">
      <c r="A147" s="63"/>
      <c r="B147" s="100"/>
      <c r="C147" s="102"/>
      <c r="D147" s="64"/>
      <c r="E147" s="315"/>
      <c r="F147" s="65" t="s">
        <v>23</v>
      </c>
      <c r="G147" s="297">
        <v>0</v>
      </c>
      <c r="H147" s="313" t="str">
        <f>IFERROR(IF(HLOOKUP(TEXT(MfC_pers_ac_inst[[#This Row],[Months]],"@"),salaries_academic[#All],MATCH(MfC_pers_ac_inst[[#This Row],[Category]],salaries_academic[category],0)+1,FALSE)&gt;0,HLOOKUP(TEXT(MfC_pers_ac_inst[[#This Row],[Months]],"@"),salaries_academic[#All],MATCH(MfC_pers_ac_inst[[#This Row],[Category]],salaries_academic[category],0)+1,FALSE)*MfC_pers_ac_inst[[#This Row],[FTE]]*INDEX(CCC_table[],MATCH(MfC_pers_ac_inst[Country],CCC_table[Code and Country],0),4),MfC_pers_ac_inst[[#This Row],[Costs]]),"")</f>
        <v/>
      </c>
      <c r="I147" s="318" t="str">
        <f>checks!B529</f>
        <v/>
      </c>
    </row>
    <row r="148" spans="1:9" ht="11.25" customHeight="1" x14ac:dyDescent="0.35">
      <c r="A148" s="388"/>
      <c r="B148" s="394"/>
      <c r="C148" s="394"/>
      <c r="D148" s="394"/>
      <c r="E148" s="394"/>
      <c r="F148" s="397" t="s">
        <v>9</v>
      </c>
      <c r="G148" s="397"/>
      <c r="H148" s="398">
        <f>SUM(MfC_pers_ac_inst[Amount])</f>
        <v>0</v>
      </c>
      <c r="I148" s="384" t="str">
        <f ca="1">IF(AND(Total_MfC_materials+Total_MfC_pers_ac_inst&gt;MfC_maxamount,Total_NWO_funding&gt;0),checks!$B$177,IF(AND(Total_MfC_materials+Total_MfC_pers_ac_inst&gt;MfC_maxperc*Total_NWO_funding,Total_NWO_funding&gt;0),checks!$B$178,""))</f>
        <v/>
      </c>
    </row>
    <row r="149" spans="1:9" ht="11.25" customHeight="1" x14ac:dyDescent="0.35">
      <c r="A149" s="269" t="s">
        <v>185</v>
      </c>
      <c r="B149" s="270"/>
      <c r="C149" s="270"/>
      <c r="D149" s="270"/>
      <c r="E149" s="270"/>
      <c r="F149" s="270"/>
      <c r="G149" s="270"/>
      <c r="H149" s="271"/>
      <c r="I149" s="6"/>
    </row>
    <row r="150" spans="1:9" ht="11.25" customHeight="1" x14ac:dyDescent="0.35">
      <c r="A150" s="156" t="s">
        <v>12</v>
      </c>
      <c r="B150" s="156" t="s">
        <v>182</v>
      </c>
      <c r="C150" s="156" t="s">
        <v>183</v>
      </c>
      <c r="D150" s="366" t="s">
        <v>184</v>
      </c>
      <c r="E150" s="366" t="s">
        <v>739</v>
      </c>
      <c r="F150" s="35" t="s">
        <v>66</v>
      </c>
      <c r="G150" s="35" t="s">
        <v>732</v>
      </c>
      <c r="H150" s="277" t="s">
        <v>13</v>
      </c>
      <c r="I150" s="6"/>
    </row>
    <row r="151" spans="1:9" ht="11.25" customHeight="1" x14ac:dyDescent="0.35">
      <c r="A151" s="56"/>
      <c r="B151" s="80"/>
      <c r="C151" s="80"/>
      <c r="D151" s="84"/>
      <c r="E151" s="84"/>
      <c r="F151" s="65" t="s">
        <v>23</v>
      </c>
      <c r="G151" s="296">
        <v>0</v>
      </c>
      <c r="H151" s="91"/>
      <c r="I151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Row],[Description]])&gt;0,LEN($A150)=0),checks!$B$127,"")))</f>
        <v/>
      </c>
    </row>
    <row r="152" spans="1:9" ht="11.25" customHeight="1" x14ac:dyDescent="0.35">
      <c r="A152" s="53"/>
      <c r="B152" s="82"/>
      <c r="C152" s="82"/>
      <c r="D152" s="82"/>
      <c r="E152" s="82"/>
      <c r="F152" s="65" t="s">
        <v>23</v>
      </c>
      <c r="G152" s="296">
        <v>0</v>
      </c>
      <c r="H152" s="92"/>
      <c r="I152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Row],[Description]])&gt;0,LEN($A151)=0),checks!$B$127,"")))</f>
        <v/>
      </c>
    </row>
    <row r="153" spans="1:9" ht="11.25" customHeight="1" x14ac:dyDescent="0.35">
      <c r="A153" s="53"/>
      <c r="B153" s="82"/>
      <c r="C153" s="82"/>
      <c r="D153" s="82"/>
      <c r="E153" s="82"/>
      <c r="F153" s="65" t="s">
        <v>23</v>
      </c>
      <c r="G153" s="296">
        <v>0</v>
      </c>
      <c r="H153" s="92"/>
      <c r="I153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Row],[Description]])&gt;0,LEN($A152)=0),checks!$B$127,"")))</f>
        <v/>
      </c>
    </row>
    <row r="154" spans="1:9" ht="11.25" customHeight="1" x14ac:dyDescent="0.35">
      <c r="A154" s="53"/>
      <c r="B154" s="82"/>
      <c r="C154" s="82"/>
      <c r="D154" s="82"/>
      <c r="E154" s="82"/>
      <c r="F154" s="65" t="s">
        <v>23</v>
      </c>
      <c r="G154" s="296">
        <v>0</v>
      </c>
      <c r="H154" s="92"/>
      <c r="I154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Row],[Description]])&gt;0,LEN($A153)=0),checks!$B$127,"")))</f>
        <v/>
      </c>
    </row>
    <row r="155" spans="1:9" ht="11.25" customHeight="1" x14ac:dyDescent="0.35">
      <c r="A155" s="53"/>
      <c r="B155" s="82"/>
      <c r="C155" s="82"/>
      <c r="D155" s="82"/>
      <c r="E155" s="82"/>
      <c r="F155" s="65" t="s">
        <v>23</v>
      </c>
      <c r="G155" s="296">
        <v>0</v>
      </c>
      <c r="H155" s="92"/>
      <c r="I155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Row],[Description]])&gt;0,LEN($A154)=0),checks!$B$127,"")))</f>
        <v/>
      </c>
    </row>
    <row r="156" spans="1:9" ht="11.25" customHeight="1" x14ac:dyDescent="0.35">
      <c r="A156" s="53"/>
      <c r="B156" s="82"/>
      <c r="C156" s="82"/>
      <c r="D156" s="82"/>
      <c r="E156" s="82"/>
      <c r="F156" s="65" t="s">
        <v>23</v>
      </c>
      <c r="G156" s="296">
        <v>0</v>
      </c>
      <c r="H156" s="92"/>
      <c r="I156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Row],[Description]])&gt;0,LEN($A155)=0),checks!$B$127,"")))</f>
        <v/>
      </c>
    </row>
    <row r="157" spans="1:9" ht="11.25" customHeight="1" x14ac:dyDescent="0.35">
      <c r="A157" s="53"/>
      <c r="B157" s="82"/>
      <c r="C157" s="82"/>
      <c r="D157" s="82"/>
      <c r="E157" s="82"/>
      <c r="F157" s="65" t="s">
        <v>23</v>
      </c>
      <c r="G157" s="296">
        <v>0</v>
      </c>
      <c r="H157" s="92"/>
      <c r="I157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Row],[Description]])&gt;0,LEN($A156)=0),checks!$B$127,"")))</f>
        <v/>
      </c>
    </row>
    <row r="158" spans="1:9" ht="11.25" customHeight="1" x14ac:dyDescent="0.35">
      <c r="A158" s="53"/>
      <c r="B158" s="82"/>
      <c r="C158" s="82"/>
      <c r="D158" s="82"/>
      <c r="E158" s="82"/>
      <c r="F158" s="65" t="s">
        <v>23</v>
      </c>
      <c r="G158" s="296">
        <v>0</v>
      </c>
      <c r="H158" s="92"/>
      <c r="I158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Row],[Description]])&gt;0,LEN($A157)=0),checks!$B$127,"")))</f>
        <v/>
      </c>
    </row>
    <row r="159" spans="1:9" ht="11.25" customHeight="1" x14ac:dyDescent="0.35">
      <c r="A159" s="53"/>
      <c r="B159" s="82"/>
      <c r="C159" s="82"/>
      <c r="D159" s="82"/>
      <c r="E159" s="82"/>
      <c r="F159" s="65" t="s">
        <v>23</v>
      </c>
      <c r="G159" s="296">
        <v>0</v>
      </c>
      <c r="H159" s="92"/>
      <c r="I159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Row],[Description]])&gt;0,LEN($A158)=0),checks!$B$127,"")))</f>
        <v/>
      </c>
    </row>
    <row r="160" spans="1:9" ht="11.25" customHeight="1" x14ac:dyDescent="0.35">
      <c r="A160" s="53"/>
      <c r="B160" s="82"/>
      <c r="C160" s="82"/>
      <c r="D160" s="82"/>
      <c r="E160" s="82"/>
      <c r="F160" s="65" t="s">
        <v>23</v>
      </c>
      <c r="G160" s="296">
        <v>0</v>
      </c>
      <c r="H160" s="92"/>
      <c r="I160" s="23" t="str">
        <f>IF(AND(MfC_materials[[#This Row],[Amount]]&gt;0,organisation_type="yes",MfC_materials[[#This Row],[Organisation type]]=""),checks!$B$146,IF(AND(MfC_materials[[#This Row],[Amount]]&gt;0,organisation_name="yes",MfC_materials[[#This Row],[Name organisation]]=""),checks!$B$147,IF(AND(LEN(MfC_materials[[#This Row],[Description]])&gt;0,LEN($A159)=0),checks!$B$127,"")))</f>
        <v/>
      </c>
    </row>
    <row r="161" spans="1:9" ht="11.25" customHeight="1" x14ac:dyDescent="0.35">
      <c r="A161" s="388"/>
      <c r="B161" s="394"/>
      <c r="C161" s="394"/>
      <c r="D161" s="394"/>
      <c r="E161" s="394"/>
      <c r="F161" s="395" t="s">
        <v>9</v>
      </c>
      <c r="G161" s="395"/>
      <c r="H161" s="396">
        <f>SUM(MfC_materials[Amount])</f>
        <v>0</v>
      </c>
      <c r="I161" s="23"/>
    </row>
    <row r="162" spans="1:9" ht="11.25" customHeight="1" x14ac:dyDescent="0.35">
      <c r="A162" s="334"/>
      <c r="B162" s="335"/>
      <c r="C162" s="335"/>
      <c r="D162" s="335"/>
      <c r="E162" s="335"/>
      <c r="F162" s="337" t="s">
        <v>825</v>
      </c>
      <c r="G162" s="337"/>
      <c r="H162" s="378">
        <f>Total_MfC_pers_ac_inst+Total_MfC_materials</f>
        <v>0</v>
      </c>
      <c r="I162" s="377" t="str">
        <f ca="1">IF(AND(Total_MfC_materials+Total_MfC_pers_ac_inst&gt;MfC_maxamount,Total_NWO_funding&gt;0),checks!$B$177,IF(AND(Total_MfC_materials+Total_MfC_pers_ac_inst&gt;MfC_maxperc*Total_NWO_funding,Total_NWO_funding&gt;0),checks!$B$178,""))</f>
        <v/>
      </c>
    </row>
    <row r="163" spans="1:9" ht="11.25" customHeight="1" x14ac:dyDescent="0.35">
      <c r="A163" s="15"/>
      <c r="B163" s="16"/>
      <c r="C163" s="16"/>
      <c r="D163" s="16"/>
      <c r="E163" s="16"/>
      <c r="F163" s="320"/>
      <c r="G163" s="346"/>
      <c r="H163" s="322"/>
      <c r="I163" s="9"/>
    </row>
    <row r="164" spans="1:9" ht="11.25" customHeight="1" x14ac:dyDescent="0.35">
      <c r="A164" s="15"/>
      <c r="B164" s="16"/>
      <c r="C164" s="16"/>
      <c r="D164" s="16"/>
      <c r="E164" s="16"/>
      <c r="F164" s="320"/>
      <c r="G164" s="321"/>
      <c r="H164" s="322"/>
      <c r="I164" s="6"/>
    </row>
    <row r="165" spans="1:9" ht="11.25" customHeight="1" x14ac:dyDescent="0.35">
      <c r="A165" s="432" t="s">
        <v>21</v>
      </c>
      <c r="B165" s="433"/>
      <c r="C165" s="433"/>
      <c r="D165" s="433"/>
      <c r="E165" s="433"/>
      <c r="F165" s="433"/>
      <c r="G165" s="433"/>
      <c r="H165" s="434"/>
      <c r="I165"/>
    </row>
    <row r="166" spans="1:9" ht="11.25" customHeight="1" x14ac:dyDescent="0.35">
      <c r="A166" s="299" t="s">
        <v>74</v>
      </c>
      <c r="B166" s="300"/>
      <c r="C166" s="300"/>
      <c r="D166" s="300"/>
      <c r="E166" s="300"/>
      <c r="F166" s="300"/>
      <c r="G166" s="300"/>
      <c r="H166" s="301"/>
      <c r="I166"/>
    </row>
    <row r="167" spans="1:9" ht="11.25" customHeight="1" x14ac:dyDescent="0.35">
      <c r="A167" s="43" t="s">
        <v>12</v>
      </c>
      <c r="B167" s="416" t="s">
        <v>732</v>
      </c>
      <c r="C167" s="44" t="s">
        <v>183</v>
      </c>
      <c r="D167" s="302" t="s">
        <v>741</v>
      </c>
      <c r="E167" s="302" t="s">
        <v>740</v>
      </c>
      <c r="F167" s="40" t="s">
        <v>66</v>
      </c>
      <c r="G167" s="40" t="s">
        <v>862</v>
      </c>
      <c r="H167" s="327" t="s">
        <v>13</v>
      </c>
      <c r="I167"/>
    </row>
    <row r="168" spans="1:9" ht="11.25" customHeight="1" x14ac:dyDescent="0.35">
      <c r="A168" s="55"/>
      <c r="B168" s="41"/>
      <c r="C168" s="385"/>
      <c r="D168" s="68"/>
      <c r="E168" s="308"/>
      <c r="F168" s="41" t="s">
        <v>847</v>
      </c>
      <c r="G168" s="297">
        <v>0</v>
      </c>
      <c r="H168" s="325">
        <f>inkind[Nr of units or Nr of hours]*inkind[Unit price or hourly rate]</f>
        <v>0</v>
      </c>
      <c r="I168" s="139" t="str">
        <f>checks!B623</f>
        <v/>
      </c>
    </row>
    <row r="169" spans="1:9" ht="11.25" customHeight="1" x14ac:dyDescent="0.35">
      <c r="A169" s="52"/>
      <c r="B169" s="417"/>
      <c r="C169" s="386"/>
      <c r="D169" s="69"/>
      <c r="E169" s="309"/>
      <c r="F169" s="41" t="s">
        <v>847</v>
      </c>
      <c r="G169" s="297">
        <v>0</v>
      </c>
      <c r="H169" s="326">
        <f>inkind[Nr of units or Nr of hours]*inkind[Unit price or hourly rate]</f>
        <v>0</v>
      </c>
      <c r="I169" s="139" t="str">
        <f>checks!B624</f>
        <v/>
      </c>
    </row>
    <row r="170" spans="1:9" ht="11.25" customHeight="1" x14ac:dyDescent="0.35">
      <c r="A170" s="52"/>
      <c r="B170" s="417"/>
      <c r="C170" s="386"/>
      <c r="D170" s="69"/>
      <c r="E170" s="309"/>
      <c r="F170" s="41" t="s">
        <v>847</v>
      </c>
      <c r="G170" s="297">
        <v>0</v>
      </c>
      <c r="H170" s="326">
        <f>inkind[Nr of units or Nr of hours]*inkind[Unit price or hourly rate]</f>
        <v>0</v>
      </c>
      <c r="I170" s="139" t="str">
        <f>checks!B625</f>
        <v/>
      </c>
    </row>
    <row r="171" spans="1:9" ht="11.25" customHeight="1" x14ac:dyDescent="0.35">
      <c r="A171" s="52"/>
      <c r="B171" s="417"/>
      <c r="C171" s="386"/>
      <c r="D171" s="69"/>
      <c r="E171" s="309"/>
      <c r="F171" s="41" t="s">
        <v>847</v>
      </c>
      <c r="G171" s="297">
        <v>0</v>
      </c>
      <c r="H171" s="326">
        <f>inkind[Nr of units or Nr of hours]*inkind[Unit price or hourly rate]</f>
        <v>0</v>
      </c>
      <c r="I171" s="139" t="str">
        <f>checks!B626</f>
        <v/>
      </c>
    </row>
    <row r="172" spans="1:9" ht="11.25" customHeight="1" x14ac:dyDescent="0.35">
      <c r="A172" s="52"/>
      <c r="B172" s="417"/>
      <c r="C172" s="386"/>
      <c r="D172" s="69"/>
      <c r="E172" s="309"/>
      <c r="F172" s="41" t="s">
        <v>847</v>
      </c>
      <c r="G172" s="297">
        <v>0</v>
      </c>
      <c r="H172" s="326">
        <f>inkind[Nr of units or Nr of hours]*inkind[Unit price or hourly rate]</f>
        <v>0</v>
      </c>
      <c r="I172" s="139" t="str">
        <f>checks!B627</f>
        <v/>
      </c>
    </row>
    <row r="173" spans="1:9" ht="11.25" customHeight="1" x14ac:dyDescent="0.35">
      <c r="A173" s="52"/>
      <c r="B173" s="417"/>
      <c r="C173" s="386"/>
      <c r="D173" s="69"/>
      <c r="E173" s="309"/>
      <c r="F173" s="41" t="s">
        <v>847</v>
      </c>
      <c r="G173" s="297">
        <v>0</v>
      </c>
      <c r="H173" s="326">
        <f>inkind[Nr of units or Nr of hours]*inkind[Unit price or hourly rate]</f>
        <v>0</v>
      </c>
      <c r="I173" s="139" t="str">
        <f>checks!B628</f>
        <v/>
      </c>
    </row>
    <row r="174" spans="1:9" ht="11.25" customHeight="1" x14ac:dyDescent="0.35">
      <c r="A174" s="52"/>
      <c r="B174" s="417"/>
      <c r="C174" s="386"/>
      <c r="D174" s="69"/>
      <c r="E174" s="309"/>
      <c r="F174" s="41" t="s">
        <v>847</v>
      </c>
      <c r="G174" s="297">
        <v>0</v>
      </c>
      <c r="H174" s="326">
        <f>inkind[Nr of units or Nr of hours]*inkind[Unit price or hourly rate]</f>
        <v>0</v>
      </c>
      <c r="I174" s="139" t="str">
        <f>checks!B629</f>
        <v/>
      </c>
    </row>
    <row r="175" spans="1:9" ht="11.25" customHeight="1" x14ac:dyDescent="0.35">
      <c r="A175" s="52"/>
      <c r="B175" s="417"/>
      <c r="C175" s="386"/>
      <c r="D175" s="69"/>
      <c r="E175" s="309"/>
      <c r="F175" s="41" t="s">
        <v>847</v>
      </c>
      <c r="G175" s="297">
        <v>0</v>
      </c>
      <c r="H175" s="326">
        <f>inkind[Nr of units or Nr of hours]*inkind[Unit price or hourly rate]</f>
        <v>0</v>
      </c>
      <c r="I175" s="139" t="str">
        <f>checks!B630</f>
        <v/>
      </c>
    </row>
    <row r="176" spans="1:9" ht="11.25" customHeight="1" x14ac:dyDescent="0.35">
      <c r="A176" s="52"/>
      <c r="B176" s="417"/>
      <c r="C176" s="386"/>
      <c r="D176" s="69"/>
      <c r="E176" s="309"/>
      <c r="F176" s="41" t="s">
        <v>847</v>
      </c>
      <c r="G176" s="297">
        <v>0</v>
      </c>
      <c r="H176" s="326">
        <f>inkind[Nr of units or Nr of hours]*inkind[Unit price or hourly rate]</f>
        <v>0</v>
      </c>
      <c r="I176" s="139" t="str">
        <f>checks!B631</f>
        <v/>
      </c>
    </row>
    <row r="177" spans="1:9" ht="11.25" customHeight="1" x14ac:dyDescent="0.35">
      <c r="A177" s="52"/>
      <c r="B177" s="417"/>
      <c r="C177" s="386"/>
      <c r="D177" s="69"/>
      <c r="E177" s="309"/>
      <c r="F177" s="41" t="s">
        <v>847</v>
      </c>
      <c r="G177" s="297">
        <v>0</v>
      </c>
      <c r="H177" s="326">
        <f>inkind[Nr of units or Nr of hours]*inkind[Unit price or hourly rate]</f>
        <v>0</v>
      </c>
      <c r="I177" s="139" t="str">
        <f>checks!B632</f>
        <v/>
      </c>
    </row>
    <row r="178" spans="1:9" ht="11.25" customHeight="1" x14ac:dyDescent="0.35">
      <c r="A178" s="52"/>
      <c r="B178" s="417"/>
      <c r="C178" s="386"/>
      <c r="D178" s="69"/>
      <c r="E178" s="309"/>
      <c r="F178" s="41" t="s">
        <v>847</v>
      </c>
      <c r="G178" s="297">
        <v>0</v>
      </c>
      <c r="H178" s="326">
        <f>inkind[Nr of units or Nr of hours]*inkind[Unit price or hourly rate]</f>
        <v>0</v>
      </c>
      <c r="I178" s="139" t="str">
        <f>checks!B633</f>
        <v/>
      </c>
    </row>
    <row r="179" spans="1:9" ht="11.25" customHeight="1" x14ac:dyDescent="0.35">
      <c r="A179" s="52"/>
      <c r="B179" s="417"/>
      <c r="C179" s="386"/>
      <c r="D179" s="69"/>
      <c r="E179" s="309"/>
      <c r="F179" s="41" t="s">
        <v>847</v>
      </c>
      <c r="G179" s="297">
        <v>0</v>
      </c>
      <c r="H179" s="326">
        <f>inkind[Nr of units or Nr of hours]*inkind[Unit price or hourly rate]</f>
        <v>0</v>
      </c>
      <c r="I179" s="139" t="str">
        <f>checks!B634</f>
        <v/>
      </c>
    </row>
    <row r="180" spans="1:9" ht="11.25" customHeight="1" x14ac:dyDescent="0.35">
      <c r="A180" s="52"/>
      <c r="B180" s="417"/>
      <c r="C180" s="386"/>
      <c r="D180" s="69"/>
      <c r="E180" s="309"/>
      <c r="F180" s="41" t="s">
        <v>847</v>
      </c>
      <c r="G180" s="297">
        <v>0</v>
      </c>
      <c r="H180" s="326">
        <f>inkind[Nr of units or Nr of hours]*inkind[Unit price or hourly rate]</f>
        <v>0</v>
      </c>
      <c r="I180" s="139" t="str">
        <f>checks!B635</f>
        <v/>
      </c>
    </row>
    <row r="181" spans="1:9" ht="11.25" customHeight="1" x14ac:dyDescent="0.35">
      <c r="A181" s="52"/>
      <c r="B181" s="417"/>
      <c r="C181" s="386"/>
      <c r="D181" s="69"/>
      <c r="E181" s="309"/>
      <c r="F181" s="41" t="s">
        <v>847</v>
      </c>
      <c r="G181" s="297">
        <v>0</v>
      </c>
      <c r="H181" s="326">
        <f>inkind[Nr of units or Nr of hours]*inkind[Unit price or hourly rate]</f>
        <v>0</v>
      </c>
      <c r="I181" s="139" t="str">
        <f>checks!B636</f>
        <v/>
      </c>
    </row>
    <row r="182" spans="1:9" ht="11.25" customHeight="1" x14ac:dyDescent="0.35">
      <c r="A182" s="52"/>
      <c r="B182" s="418"/>
      <c r="C182" s="386"/>
      <c r="D182" s="69"/>
      <c r="E182" s="309"/>
      <c r="F182" s="41" t="s">
        <v>847</v>
      </c>
      <c r="G182" s="297">
        <v>0</v>
      </c>
      <c r="H182" s="326">
        <f>inkind[Nr of units or Nr of hours]*inkind[Unit price or hourly rate]</f>
        <v>0</v>
      </c>
      <c r="I182" s="139" t="str">
        <f>checks!B637</f>
        <v/>
      </c>
    </row>
    <row r="183" spans="1:9" ht="11.25" customHeight="1" x14ac:dyDescent="0.35">
      <c r="A183" s="419"/>
      <c r="B183" s="420"/>
      <c r="C183" s="420"/>
      <c r="D183" s="421"/>
      <c r="E183" s="420"/>
      <c r="F183" s="422" t="s">
        <v>9</v>
      </c>
      <c r="G183" s="422"/>
      <c r="H183" s="423">
        <f>SUM(inkind[Amount])</f>
        <v>0</v>
      </c>
      <c r="I183" s="139"/>
    </row>
    <row r="184" spans="1:9" ht="11.25" customHeight="1" x14ac:dyDescent="0.35">
      <c r="A184" s="269" t="s">
        <v>75</v>
      </c>
      <c r="B184" s="270"/>
      <c r="C184" s="270"/>
      <c r="D184" s="270"/>
      <c r="E184" s="270"/>
      <c r="F184" s="270"/>
      <c r="G184" s="270"/>
      <c r="H184" s="271"/>
      <c r="I184" s="17" t="s">
        <v>657</v>
      </c>
    </row>
    <row r="185" spans="1:9" ht="11.25" customHeight="1" x14ac:dyDescent="0.35">
      <c r="A185" s="152" t="s">
        <v>732</v>
      </c>
      <c r="B185" s="42" t="s">
        <v>182</v>
      </c>
      <c r="C185" s="42" t="s">
        <v>183</v>
      </c>
      <c r="D185" s="42" t="s">
        <v>184</v>
      </c>
      <c r="E185" s="42" t="s">
        <v>739</v>
      </c>
      <c r="F185" s="18" t="s">
        <v>66</v>
      </c>
      <c r="G185" s="40" t="s">
        <v>862</v>
      </c>
      <c r="H185" s="45" t="s">
        <v>13</v>
      </c>
      <c r="I185" s="157"/>
    </row>
    <row r="186" spans="1:9" ht="11.25" customHeight="1" x14ac:dyDescent="0.35">
      <c r="A186" s="55"/>
      <c r="B186" s="153"/>
      <c r="C186" s="154"/>
      <c r="D186" s="303"/>
      <c r="E186" s="305"/>
      <c r="F186" s="41" t="s">
        <v>847</v>
      </c>
      <c r="G186" s="306">
        <v>0</v>
      </c>
      <c r="H186" s="90"/>
      <c r="I186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organisation]])&gt;0,LEN($A185)=0),checks!$B$127,"")))</f>
        <v/>
      </c>
    </row>
    <row r="187" spans="1:9" ht="11.25" customHeight="1" x14ac:dyDescent="0.35">
      <c r="A187" s="52"/>
      <c r="B187" s="71"/>
      <c r="C187" s="155"/>
      <c r="D187" s="304"/>
      <c r="E187" s="304"/>
      <c r="F187" s="41" t="s">
        <v>847</v>
      </c>
      <c r="G187" s="306">
        <v>0</v>
      </c>
      <c r="H187" s="92"/>
      <c r="I187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organisation]])&gt;0,LEN($A186)=0),checks!$B$127,"")))</f>
        <v/>
      </c>
    </row>
    <row r="188" spans="1:9" ht="11.25" customHeight="1" x14ac:dyDescent="0.35">
      <c r="A188" s="52"/>
      <c r="B188" s="71"/>
      <c r="C188" s="155"/>
      <c r="D188" s="304"/>
      <c r="E188" s="304"/>
      <c r="F188" s="41" t="s">
        <v>847</v>
      </c>
      <c r="G188" s="306">
        <v>0</v>
      </c>
      <c r="H188" s="92"/>
      <c r="I188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organisation]])&gt;0,LEN($A187)=0),checks!$B$127,"")))</f>
        <v/>
      </c>
    </row>
    <row r="189" spans="1:9" ht="11.25" customHeight="1" x14ac:dyDescent="0.35">
      <c r="A189" s="52"/>
      <c r="B189" s="71"/>
      <c r="C189" s="155"/>
      <c r="D189" s="304"/>
      <c r="E189" s="304"/>
      <c r="F189" s="41" t="s">
        <v>847</v>
      </c>
      <c r="G189" s="306">
        <v>0</v>
      </c>
      <c r="H189" s="92"/>
      <c r="I189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organisation]])&gt;0,LEN($A188)=0),checks!$B$127,"")))</f>
        <v/>
      </c>
    </row>
    <row r="190" spans="1:9" ht="11.25" customHeight="1" x14ac:dyDescent="0.35">
      <c r="A190" s="52"/>
      <c r="B190" s="71"/>
      <c r="C190" s="155"/>
      <c r="D190" s="304"/>
      <c r="E190" s="304"/>
      <c r="F190" s="41" t="s">
        <v>847</v>
      </c>
      <c r="G190" s="306">
        <v>0</v>
      </c>
      <c r="H190" s="92"/>
      <c r="I190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organisation]])&gt;0,LEN($A189)=0),checks!$B$127,"")))</f>
        <v/>
      </c>
    </row>
    <row r="191" spans="1:9" ht="11.25" customHeight="1" x14ac:dyDescent="0.35">
      <c r="A191" s="52"/>
      <c r="B191" s="71"/>
      <c r="C191" s="155"/>
      <c r="D191" s="304"/>
      <c r="E191" s="304"/>
      <c r="F191" s="41" t="s">
        <v>847</v>
      </c>
      <c r="G191" s="306">
        <v>0</v>
      </c>
      <c r="H191" s="92"/>
      <c r="I191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organisation]])&gt;0,LEN($A190)=0),checks!$B$127,"")))</f>
        <v/>
      </c>
    </row>
    <row r="192" spans="1:9" ht="11.25" customHeight="1" x14ac:dyDescent="0.35">
      <c r="A192" s="52"/>
      <c r="B192" s="71"/>
      <c r="C192" s="155"/>
      <c r="D192" s="304"/>
      <c r="E192" s="304"/>
      <c r="F192" s="41" t="s">
        <v>847</v>
      </c>
      <c r="G192" s="306">
        <v>0</v>
      </c>
      <c r="H192" s="92"/>
      <c r="I192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organisation]])&gt;0,LEN($A191)=0),checks!$B$127,"")))</f>
        <v/>
      </c>
    </row>
    <row r="193" spans="1:9" ht="11.25" customHeight="1" x14ac:dyDescent="0.35">
      <c r="A193" s="52"/>
      <c r="B193" s="71"/>
      <c r="C193" s="155"/>
      <c r="D193" s="304"/>
      <c r="E193" s="304"/>
      <c r="F193" s="41" t="s">
        <v>847</v>
      </c>
      <c r="G193" s="306">
        <v>0</v>
      </c>
      <c r="H193" s="92"/>
      <c r="I193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organisation]])&gt;0,LEN($A192)=0),checks!$B$127,"")))</f>
        <v/>
      </c>
    </row>
    <row r="194" spans="1:9" ht="11.25" customHeight="1" x14ac:dyDescent="0.35">
      <c r="A194" s="52"/>
      <c r="B194" s="71"/>
      <c r="C194" s="155"/>
      <c r="D194" s="304"/>
      <c r="E194" s="304"/>
      <c r="F194" s="41" t="s">
        <v>847</v>
      </c>
      <c r="G194" s="306">
        <v>0</v>
      </c>
      <c r="H194" s="92"/>
      <c r="I194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organisation]])&gt;0,LEN($A193)=0),checks!$B$127,"")))</f>
        <v/>
      </c>
    </row>
    <row r="195" spans="1:9" ht="11.25" customHeight="1" x14ac:dyDescent="0.35">
      <c r="A195" s="52"/>
      <c r="B195" s="71"/>
      <c r="C195" s="155"/>
      <c r="D195" s="304"/>
      <c r="E195" s="304"/>
      <c r="F195" s="41" t="s">
        <v>847</v>
      </c>
      <c r="G195" s="306">
        <v>0</v>
      </c>
      <c r="H195" s="92"/>
      <c r="I195" s="139" t="str">
        <f>IF(AND(incash[[#This Row],[Amount]]&gt;0,organisation_type="yes",incash[[#This Row],[Organisation type]]=""),checks!$B$146,IF(AND(incash[[#This Row],[Amount]]&gt;0,organisation_name="yes",incash[[#This Row],[Name organisation2]]=""),checks!$B$147,IF(AND(LEN(incash[[#This Row],[Name organisation]])&gt;0,LEN($A194)=0),checks!$B$127,"")))</f>
        <v/>
      </c>
    </row>
    <row r="196" spans="1:9" ht="11.25" customHeight="1" x14ac:dyDescent="0.35">
      <c r="A196" s="388"/>
      <c r="B196" s="389"/>
      <c r="C196" s="389"/>
      <c r="D196" s="389"/>
      <c r="E196" s="389"/>
      <c r="F196" s="391" t="s">
        <v>9</v>
      </c>
      <c r="G196" s="391"/>
      <c r="H196" s="393">
        <f>SUM(incash[Amount])</f>
        <v>0</v>
      </c>
      <c r="I196" s="139" t="str">
        <f ca="1">IF(AND(Total_project_budget&gt;0,Total_cofunding_incash&lt;cash_cofunding_minperc*Total_project_budget),checks!$B$188,"")</f>
        <v/>
      </c>
    </row>
    <row r="197" spans="1:9" ht="11.25" customHeight="1" x14ac:dyDescent="0.35">
      <c r="A197" s="334"/>
      <c r="B197" s="335"/>
      <c r="C197" s="335"/>
      <c r="D197" s="335"/>
      <c r="E197" s="335"/>
      <c r="F197" s="337" t="s">
        <v>62</v>
      </c>
      <c r="G197" s="337"/>
      <c r="H197" s="338">
        <f>Total_cofunding_inkind+Total_cofunding_incash+Total_projectfee</f>
        <v>0</v>
      </c>
      <c r="I197" s="324" t="str">
        <f ca="1">cofunding_comb_notes[Combined notes]</f>
        <v/>
      </c>
    </row>
    <row r="198" spans="1:9" ht="11.25" hidden="1" customHeight="1" x14ac:dyDescent="0.35">
      <c r="I198" s="1"/>
    </row>
    <row r="199" spans="1:9" hidden="1" x14ac:dyDescent="0.35"/>
    <row r="200" spans="1:9" hidden="1" x14ac:dyDescent="0.35"/>
    <row r="201" spans="1:9" hidden="1" x14ac:dyDescent="0.35"/>
    <row r="202" spans="1:9" hidden="1" x14ac:dyDescent="0.35"/>
    <row r="203" spans="1:9" hidden="1" x14ac:dyDescent="0.35"/>
    <row r="204" spans="1:9" hidden="1" x14ac:dyDescent="0.35"/>
    <row r="205" spans="1:9" hidden="1" x14ac:dyDescent="0.35"/>
    <row r="206" spans="1:9" hidden="1" x14ac:dyDescent="0.35"/>
    <row r="207" spans="1:9" hidden="1" x14ac:dyDescent="0.35"/>
    <row r="208" spans="1:9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  <row r="705" hidden="1" x14ac:dyDescent="0.35"/>
    <row r="706" hidden="1" x14ac:dyDescent="0.35"/>
    <row r="707" hidden="1" x14ac:dyDescent="0.35"/>
    <row r="708" hidden="1" x14ac:dyDescent="0.35"/>
    <row r="709" hidden="1" x14ac:dyDescent="0.35"/>
    <row r="710" hidden="1" x14ac:dyDescent="0.35"/>
    <row r="711" hidden="1" x14ac:dyDescent="0.35"/>
    <row r="712" hidden="1" x14ac:dyDescent="0.35"/>
    <row r="713" hidden="1" x14ac:dyDescent="0.35"/>
    <row r="714" hidden="1" x14ac:dyDescent="0.35"/>
    <row r="715" hidden="1" x14ac:dyDescent="0.35"/>
    <row r="716" hidden="1" x14ac:dyDescent="0.35"/>
    <row r="717" hidden="1" x14ac:dyDescent="0.35"/>
    <row r="718" hidden="1" x14ac:dyDescent="0.35"/>
    <row r="719" hidden="1" x14ac:dyDescent="0.35"/>
    <row r="720" hidden="1" x14ac:dyDescent="0.35"/>
    <row r="721" hidden="1" x14ac:dyDescent="0.35"/>
    <row r="722" hidden="1" x14ac:dyDescent="0.35"/>
    <row r="723" hidden="1" x14ac:dyDescent="0.35"/>
    <row r="724" hidden="1" x14ac:dyDescent="0.35"/>
    <row r="725" hidden="1" x14ac:dyDescent="0.35"/>
    <row r="726" hidden="1" x14ac:dyDescent="0.35"/>
    <row r="727" hidden="1" x14ac:dyDescent="0.35"/>
    <row r="728" hidden="1" x14ac:dyDescent="0.35"/>
    <row r="729" hidden="1" x14ac:dyDescent="0.35"/>
    <row r="730" hidden="1" x14ac:dyDescent="0.35"/>
    <row r="731" hidden="1" x14ac:dyDescent="0.35"/>
    <row r="732" hidden="1" x14ac:dyDescent="0.35"/>
    <row r="733" hidden="1" x14ac:dyDescent="0.35"/>
    <row r="734" hidden="1" x14ac:dyDescent="0.35"/>
    <row r="735" hidden="1" x14ac:dyDescent="0.35"/>
    <row r="736" hidden="1" x14ac:dyDescent="0.35"/>
    <row r="737" hidden="1" x14ac:dyDescent="0.35"/>
    <row r="738" hidden="1" x14ac:dyDescent="0.35"/>
    <row r="739" hidden="1" x14ac:dyDescent="0.35"/>
    <row r="740" hidden="1" x14ac:dyDescent="0.35"/>
    <row r="741" hidden="1" x14ac:dyDescent="0.35"/>
    <row r="742" hidden="1" x14ac:dyDescent="0.35"/>
    <row r="743" hidden="1" x14ac:dyDescent="0.35"/>
    <row r="744" hidden="1" x14ac:dyDescent="0.35"/>
    <row r="745" hidden="1" x14ac:dyDescent="0.35"/>
    <row r="746" hidden="1" x14ac:dyDescent="0.35"/>
    <row r="747" hidden="1" x14ac:dyDescent="0.35"/>
    <row r="748" hidden="1" x14ac:dyDescent="0.35"/>
    <row r="749" hidden="1" x14ac:dyDescent="0.35"/>
    <row r="750" hidden="1" x14ac:dyDescent="0.35"/>
    <row r="751" hidden="1" x14ac:dyDescent="0.35"/>
    <row r="752" hidden="1" x14ac:dyDescent="0.35"/>
    <row r="753" hidden="1" x14ac:dyDescent="0.35"/>
    <row r="754" hidden="1" x14ac:dyDescent="0.35"/>
    <row r="755" hidden="1" x14ac:dyDescent="0.35"/>
    <row r="756" hidden="1" x14ac:dyDescent="0.35"/>
    <row r="757" hidden="1" x14ac:dyDescent="0.35"/>
    <row r="758" hidden="1" x14ac:dyDescent="0.35"/>
    <row r="759" hidden="1" x14ac:dyDescent="0.35"/>
    <row r="760" hidden="1" x14ac:dyDescent="0.35"/>
    <row r="761" hidden="1" x14ac:dyDescent="0.35"/>
    <row r="762" hidden="1" x14ac:dyDescent="0.35"/>
    <row r="763" hidden="1" x14ac:dyDescent="0.35"/>
    <row r="764" hidden="1" x14ac:dyDescent="0.35"/>
    <row r="765" hidden="1" x14ac:dyDescent="0.35"/>
    <row r="766" hidden="1" x14ac:dyDescent="0.35"/>
    <row r="767" hidden="1" x14ac:dyDescent="0.35"/>
    <row r="768" hidden="1" x14ac:dyDescent="0.35"/>
    <row r="769" hidden="1" x14ac:dyDescent="0.35"/>
    <row r="770" hidden="1" x14ac:dyDescent="0.35"/>
    <row r="771" hidden="1" x14ac:dyDescent="0.35"/>
    <row r="772" hidden="1" x14ac:dyDescent="0.35"/>
    <row r="773" hidden="1" x14ac:dyDescent="0.35"/>
    <row r="774" hidden="1" x14ac:dyDescent="0.35"/>
    <row r="775" hidden="1" x14ac:dyDescent="0.35"/>
    <row r="776" hidden="1" x14ac:dyDescent="0.35"/>
    <row r="777" hidden="1" x14ac:dyDescent="0.35"/>
    <row r="778" hidden="1" x14ac:dyDescent="0.35"/>
    <row r="779" hidden="1" x14ac:dyDescent="0.35"/>
    <row r="780" hidden="1" x14ac:dyDescent="0.35"/>
    <row r="781" hidden="1" x14ac:dyDescent="0.35"/>
    <row r="782" hidden="1" x14ac:dyDescent="0.35"/>
    <row r="783" hidden="1" x14ac:dyDescent="0.35"/>
    <row r="784" hidden="1" x14ac:dyDescent="0.35"/>
    <row r="785" hidden="1" x14ac:dyDescent="0.35"/>
    <row r="786" hidden="1" x14ac:dyDescent="0.35"/>
    <row r="787" hidden="1" x14ac:dyDescent="0.35"/>
    <row r="788" hidden="1" x14ac:dyDescent="0.35"/>
    <row r="789" hidden="1" x14ac:dyDescent="0.35"/>
    <row r="790" hidden="1" x14ac:dyDescent="0.35"/>
    <row r="791" hidden="1" x14ac:dyDescent="0.35"/>
    <row r="792" hidden="1" x14ac:dyDescent="0.35"/>
    <row r="793" hidden="1" x14ac:dyDescent="0.35"/>
    <row r="794" hidden="1" x14ac:dyDescent="0.35"/>
    <row r="795" hidden="1" x14ac:dyDescent="0.35"/>
    <row r="796" hidden="1" x14ac:dyDescent="0.35"/>
    <row r="797" hidden="1" x14ac:dyDescent="0.35"/>
    <row r="798" hidden="1" x14ac:dyDescent="0.35"/>
    <row r="799" hidden="1" x14ac:dyDescent="0.35"/>
    <row r="800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  <row r="845" hidden="1" x14ac:dyDescent="0.35"/>
    <row r="846" hidden="1" x14ac:dyDescent="0.35"/>
    <row r="847" hidden="1" x14ac:dyDescent="0.35"/>
    <row r="848" hidden="1" x14ac:dyDescent="0.35"/>
    <row r="849" hidden="1" x14ac:dyDescent="0.35"/>
    <row r="850" hidden="1" x14ac:dyDescent="0.35"/>
    <row r="851" hidden="1" x14ac:dyDescent="0.35"/>
    <row r="852" hidden="1" x14ac:dyDescent="0.35"/>
    <row r="853" hidden="1" x14ac:dyDescent="0.35"/>
    <row r="854" hidden="1" x14ac:dyDescent="0.35"/>
    <row r="855" hidden="1" x14ac:dyDescent="0.35"/>
    <row r="856" hidden="1" x14ac:dyDescent="0.35"/>
    <row r="857" hidden="1" x14ac:dyDescent="0.35"/>
    <row r="858" hidden="1" x14ac:dyDescent="0.35"/>
    <row r="859" hidden="1" x14ac:dyDescent="0.35"/>
    <row r="860" hidden="1" x14ac:dyDescent="0.35"/>
    <row r="861" hidden="1" x14ac:dyDescent="0.35"/>
    <row r="862" hidden="1" x14ac:dyDescent="0.35"/>
    <row r="863" hidden="1" x14ac:dyDescent="0.35"/>
    <row r="864" hidden="1" x14ac:dyDescent="0.35"/>
    <row r="865" hidden="1" x14ac:dyDescent="0.35"/>
    <row r="866" hidden="1" x14ac:dyDescent="0.35"/>
    <row r="867" hidden="1" x14ac:dyDescent="0.35"/>
    <row r="868" hidden="1" x14ac:dyDescent="0.35"/>
    <row r="869" hidden="1" x14ac:dyDescent="0.35"/>
    <row r="870" hidden="1" x14ac:dyDescent="0.35"/>
    <row r="871" hidden="1" x14ac:dyDescent="0.35"/>
    <row r="872" hidden="1" x14ac:dyDescent="0.35"/>
    <row r="873" hidden="1" x14ac:dyDescent="0.35"/>
    <row r="874" hidden="1" x14ac:dyDescent="0.35"/>
    <row r="875" hidden="1" x14ac:dyDescent="0.35"/>
    <row r="876" hidden="1" x14ac:dyDescent="0.35"/>
    <row r="877" hidden="1" x14ac:dyDescent="0.35"/>
    <row r="878" hidden="1" x14ac:dyDescent="0.35"/>
    <row r="879" hidden="1" x14ac:dyDescent="0.35"/>
    <row r="880" hidden="1" x14ac:dyDescent="0.35"/>
    <row r="881" hidden="1" x14ac:dyDescent="0.35"/>
    <row r="882" hidden="1" x14ac:dyDescent="0.35"/>
    <row r="883" hidden="1" x14ac:dyDescent="0.35"/>
    <row r="884" hidden="1" x14ac:dyDescent="0.35"/>
    <row r="885" hidden="1" x14ac:dyDescent="0.35"/>
    <row r="886" hidden="1" x14ac:dyDescent="0.35"/>
    <row r="887" hidden="1" x14ac:dyDescent="0.35"/>
    <row r="888" hidden="1" x14ac:dyDescent="0.35"/>
    <row r="889" hidden="1" x14ac:dyDescent="0.35"/>
    <row r="890" hidden="1" x14ac:dyDescent="0.35"/>
    <row r="891" hidden="1" x14ac:dyDescent="0.35"/>
    <row r="892" hidden="1" x14ac:dyDescent="0.35"/>
    <row r="893" hidden="1" x14ac:dyDescent="0.35"/>
    <row r="894" hidden="1" x14ac:dyDescent="0.35"/>
    <row r="895" hidden="1" x14ac:dyDescent="0.35"/>
    <row r="896" hidden="1" x14ac:dyDescent="0.35"/>
    <row r="897" hidden="1" x14ac:dyDescent="0.35"/>
    <row r="898" hidden="1" x14ac:dyDescent="0.35"/>
    <row r="899" hidden="1" x14ac:dyDescent="0.35"/>
    <row r="900" hidden="1" x14ac:dyDescent="0.35"/>
    <row r="901" hidden="1" x14ac:dyDescent="0.35"/>
    <row r="902" hidden="1" x14ac:dyDescent="0.35"/>
    <row r="903" hidden="1" x14ac:dyDescent="0.35"/>
    <row r="904" hidden="1" x14ac:dyDescent="0.35"/>
    <row r="905" hidden="1" x14ac:dyDescent="0.35"/>
    <row r="906" hidden="1" x14ac:dyDescent="0.35"/>
    <row r="907" hidden="1" x14ac:dyDescent="0.35"/>
    <row r="908" hidden="1" x14ac:dyDescent="0.35"/>
    <row r="909" hidden="1" x14ac:dyDescent="0.35"/>
    <row r="910" hidden="1" x14ac:dyDescent="0.35"/>
    <row r="911" hidden="1" x14ac:dyDescent="0.35"/>
    <row r="912" hidden="1" x14ac:dyDescent="0.35"/>
    <row r="913" hidden="1" x14ac:dyDescent="0.35"/>
    <row r="914" hidden="1" x14ac:dyDescent="0.35"/>
    <row r="915" hidden="1" x14ac:dyDescent="0.35"/>
    <row r="916" hidden="1" x14ac:dyDescent="0.35"/>
    <row r="917" hidden="1" x14ac:dyDescent="0.35"/>
    <row r="918" hidden="1" x14ac:dyDescent="0.35"/>
    <row r="919" hidden="1" x14ac:dyDescent="0.35"/>
    <row r="920" hidden="1" x14ac:dyDescent="0.35"/>
    <row r="921" hidden="1" x14ac:dyDescent="0.35"/>
    <row r="922" hidden="1" x14ac:dyDescent="0.35"/>
    <row r="923" hidden="1" x14ac:dyDescent="0.35"/>
    <row r="924" hidden="1" x14ac:dyDescent="0.35"/>
    <row r="925" hidden="1" x14ac:dyDescent="0.35"/>
    <row r="926" hidden="1" x14ac:dyDescent="0.35"/>
    <row r="927" hidden="1" x14ac:dyDescent="0.35"/>
    <row r="928" hidden="1" x14ac:dyDescent="0.35"/>
    <row r="929" hidden="1" x14ac:dyDescent="0.35"/>
    <row r="930" hidden="1" x14ac:dyDescent="0.35"/>
    <row r="931" hidden="1" x14ac:dyDescent="0.35"/>
    <row r="932" hidden="1" x14ac:dyDescent="0.35"/>
    <row r="933" hidden="1" x14ac:dyDescent="0.35"/>
    <row r="934" hidden="1" x14ac:dyDescent="0.35"/>
    <row r="935" hidden="1" x14ac:dyDescent="0.35"/>
    <row r="936" hidden="1" x14ac:dyDescent="0.35"/>
    <row r="937" hidden="1" x14ac:dyDescent="0.35"/>
    <row r="938" hidden="1" x14ac:dyDescent="0.35"/>
    <row r="939" hidden="1" x14ac:dyDescent="0.35"/>
    <row r="940" hidden="1" x14ac:dyDescent="0.35"/>
    <row r="941" hidden="1" x14ac:dyDescent="0.35"/>
    <row r="942" hidden="1" x14ac:dyDescent="0.35"/>
    <row r="943" hidden="1" x14ac:dyDescent="0.35"/>
    <row r="944" hidden="1" x14ac:dyDescent="0.35"/>
    <row r="945" hidden="1" x14ac:dyDescent="0.35"/>
    <row r="946" hidden="1" x14ac:dyDescent="0.35"/>
    <row r="947" hidden="1" x14ac:dyDescent="0.35"/>
    <row r="948" hidden="1" x14ac:dyDescent="0.35"/>
    <row r="949" hidden="1" x14ac:dyDescent="0.35"/>
    <row r="950" hidden="1" x14ac:dyDescent="0.35"/>
    <row r="951" hidden="1" x14ac:dyDescent="0.35"/>
    <row r="952" hidden="1" x14ac:dyDescent="0.35"/>
    <row r="953" hidden="1" x14ac:dyDescent="0.35"/>
    <row r="954" hidden="1" x14ac:dyDescent="0.35"/>
    <row r="955" hidden="1" x14ac:dyDescent="0.35"/>
    <row r="956" hidden="1" x14ac:dyDescent="0.35"/>
    <row r="957" hidden="1" x14ac:dyDescent="0.35"/>
    <row r="958" hidden="1" x14ac:dyDescent="0.35"/>
    <row r="959" hidden="1" x14ac:dyDescent="0.35"/>
    <row r="960" hidden="1" x14ac:dyDescent="0.35"/>
    <row r="961" hidden="1" x14ac:dyDescent="0.35"/>
    <row r="962" hidden="1" x14ac:dyDescent="0.35"/>
    <row r="963" hidden="1" x14ac:dyDescent="0.35"/>
    <row r="964" hidden="1" x14ac:dyDescent="0.35"/>
    <row r="965" hidden="1" x14ac:dyDescent="0.35"/>
    <row r="966" hidden="1" x14ac:dyDescent="0.35"/>
    <row r="967" hidden="1" x14ac:dyDescent="0.35"/>
    <row r="968" hidden="1" x14ac:dyDescent="0.35"/>
    <row r="969" hidden="1" x14ac:dyDescent="0.35"/>
    <row r="970" hidden="1" x14ac:dyDescent="0.35"/>
    <row r="971" hidden="1" x14ac:dyDescent="0.35"/>
    <row r="972" hidden="1" x14ac:dyDescent="0.35"/>
    <row r="973" hidden="1" x14ac:dyDescent="0.35"/>
    <row r="974" hidden="1" x14ac:dyDescent="0.35"/>
    <row r="975" hidden="1" x14ac:dyDescent="0.35"/>
    <row r="976" hidden="1" x14ac:dyDescent="0.35"/>
    <row r="977" hidden="1" x14ac:dyDescent="0.35"/>
    <row r="978" hidden="1" x14ac:dyDescent="0.35"/>
    <row r="979" hidden="1" x14ac:dyDescent="0.35"/>
    <row r="980" hidden="1" x14ac:dyDescent="0.35"/>
    <row r="981" hidden="1" x14ac:dyDescent="0.35"/>
    <row r="982" hidden="1" x14ac:dyDescent="0.35"/>
    <row r="983" hidden="1" x14ac:dyDescent="0.35"/>
    <row r="984" hidden="1" x14ac:dyDescent="0.35"/>
    <row r="985" hidden="1" x14ac:dyDescent="0.35"/>
    <row r="986" hidden="1" x14ac:dyDescent="0.35"/>
    <row r="987" hidden="1" x14ac:dyDescent="0.35"/>
    <row r="988" hidden="1" x14ac:dyDescent="0.35"/>
    <row r="989" hidden="1" x14ac:dyDescent="0.35"/>
    <row r="990" hidden="1" x14ac:dyDescent="0.35"/>
    <row r="991" hidden="1" x14ac:dyDescent="0.35"/>
    <row r="992" hidden="1" x14ac:dyDescent="0.35"/>
    <row r="993" hidden="1" x14ac:dyDescent="0.35"/>
    <row r="994" hidden="1" x14ac:dyDescent="0.35"/>
    <row r="995" hidden="1" x14ac:dyDescent="0.35"/>
    <row r="996" hidden="1" x14ac:dyDescent="0.35"/>
    <row r="997" hidden="1" x14ac:dyDescent="0.35"/>
    <row r="998" hidden="1" x14ac:dyDescent="0.35"/>
    <row r="999" hidden="1" x14ac:dyDescent="0.35"/>
    <row r="1000" hidden="1" x14ac:dyDescent="0.35"/>
    <row r="1001" hidden="1" x14ac:dyDescent="0.35"/>
    <row r="1002" hidden="1" x14ac:dyDescent="0.35"/>
    <row r="1003" hidden="1" x14ac:dyDescent="0.35"/>
    <row r="1004" hidden="1" x14ac:dyDescent="0.35"/>
    <row r="1005" hidden="1" x14ac:dyDescent="0.35"/>
    <row r="1006" hidden="1" x14ac:dyDescent="0.35"/>
    <row r="1007" hidden="1" x14ac:dyDescent="0.35"/>
    <row r="1008" hidden="1" x14ac:dyDescent="0.35"/>
    <row r="1009" hidden="1" x14ac:dyDescent="0.35"/>
    <row r="1010" hidden="1" x14ac:dyDescent="0.35"/>
    <row r="1011" hidden="1" x14ac:dyDescent="0.35"/>
    <row r="1012" hidden="1" x14ac:dyDescent="0.35"/>
    <row r="1013" hidden="1" x14ac:dyDescent="0.35"/>
    <row r="1014" hidden="1" x14ac:dyDescent="0.35"/>
    <row r="1015" hidden="1" x14ac:dyDescent="0.35"/>
    <row r="1016" hidden="1" x14ac:dyDescent="0.35"/>
    <row r="1017" hidden="1" x14ac:dyDescent="0.35"/>
    <row r="1018" hidden="1" x14ac:dyDescent="0.35"/>
    <row r="1019" hidden="1" x14ac:dyDescent="0.35"/>
    <row r="1020" hidden="1" x14ac:dyDescent="0.35"/>
    <row r="1021" hidden="1" x14ac:dyDescent="0.35"/>
    <row r="1022" hidden="1" x14ac:dyDescent="0.35"/>
    <row r="1023" hidden="1" x14ac:dyDescent="0.35"/>
    <row r="1024" hidden="1" x14ac:dyDescent="0.35"/>
    <row r="1025" hidden="1" x14ac:dyDescent="0.35"/>
    <row r="1026" hidden="1" x14ac:dyDescent="0.35"/>
    <row r="1027" hidden="1" x14ac:dyDescent="0.35"/>
    <row r="1028" hidden="1" x14ac:dyDescent="0.35"/>
    <row r="1029" hidden="1" x14ac:dyDescent="0.35"/>
    <row r="1030" hidden="1" x14ac:dyDescent="0.35"/>
    <row r="1031" hidden="1" x14ac:dyDescent="0.35"/>
    <row r="1032" hidden="1" x14ac:dyDescent="0.35"/>
    <row r="1033" hidden="1" x14ac:dyDescent="0.35"/>
    <row r="1034" hidden="1" x14ac:dyDescent="0.35"/>
    <row r="1035" hidden="1" x14ac:dyDescent="0.35"/>
    <row r="1036" hidden="1" x14ac:dyDescent="0.35"/>
    <row r="1037" hidden="1" x14ac:dyDescent="0.35"/>
    <row r="1038" hidden="1" x14ac:dyDescent="0.35"/>
    <row r="1039" hidden="1" x14ac:dyDescent="0.35"/>
    <row r="1040" hidden="1" x14ac:dyDescent="0.35"/>
    <row r="1041" hidden="1" x14ac:dyDescent="0.35"/>
    <row r="1042" hidden="1" x14ac:dyDescent="0.35"/>
    <row r="1043" hidden="1" x14ac:dyDescent="0.35"/>
    <row r="1044" hidden="1" x14ac:dyDescent="0.35"/>
    <row r="1045" hidden="1" x14ac:dyDescent="0.35"/>
    <row r="1046" hidden="1" x14ac:dyDescent="0.35"/>
    <row r="1047" hidden="1" x14ac:dyDescent="0.35"/>
    <row r="1048" hidden="1" x14ac:dyDescent="0.35"/>
    <row r="1049" hidden="1" x14ac:dyDescent="0.35"/>
    <row r="1050" hidden="1" x14ac:dyDescent="0.35"/>
    <row r="1051" hidden="1" x14ac:dyDescent="0.35"/>
    <row r="1052" hidden="1" x14ac:dyDescent="0.35"/>
    <row r="1053" hidden="1" x14ac:dyDescent="0.35"/>
    <row r="1054" hidden="1" x14ac:dyDescent="0.35"/>
    <row r="1055" hidden="1" x14ac:dyDescent="0.35"/>
    <row r="1056" hidden="1" x14ac:dyDescent="0.35"/>
    <row r="1057" hidden="1" x14ac:dyDescent="0.35"/>
    <row r="1058" hidden="1" x14ac:dyDescent="0.35"/>
    <row r="1059" hidden="1" x14ac:dyDescent="0.35"/>
    <row r="1060" hidden="1" x14ac:dyDescent="0.35"/>
    <row r="1061" hidden="1" x14ac:dyDescent="0.35"/>
    <row r="1062" hidden="1" x14ac:dyDescent="0.35"/>
    <row r="1063" hidden="1" x14ac:dyDescent="0.35"/>
    <row r="1064" hidden="1" x14ac:dyDescent="0.35"/>
    <row r="1065" hidden="1" x14ac:dyDescent="0.35"/>
    <row r="1066" hidden="1" x14ac:dyDescent="0.35"/>
    <row r="1067" hidden="1" x14ac:dyDescent="0.35"/>
    <row r="1068" hidden="1" x14ac:dyDescent="0.35"/>
    <row r="1069" hidden="1" x14ac:dyDescent="0.35"/>
    <row r="1070" hidden="1" x14ac:dyDescent="0.35"/>
    <row r="1071" hidden="1" x14ac:dyDescent="0.35"/>
    <row r="1072" hidden="1" x14ac:dyDescent="0.35"/>
    <row r="1073" hidden="1" x14ac:dyDescent="0.35"/>
    <row r="1074" hidden="1" x14ac:dyDescent="0.35"/>
    <row r="1075" hidden="1" x14ac:dyDescent="0.35"/>
    <row r="1076" hidden="1" x14ac:dyDescent="0.35"/>
    <row r="1077" hidden="1" x14ac:dyDescent="0.35"/>
    <row r="1078" hidden="1" x14ac:dyDescent="0.35"/>
    <row r="1079" hidden="1" x14ac:dyDescent="0.35"/>
    <row r="1080" hidden="1" x14ac:dyDescent="0.35"/>
    <row r="1081" hidden="1" x14ac:dyDescent="0.35"/>
    <row r="1082" hidden="1" x14ac:dyDescent="0.35"/>
    <row r="1083" hidden="1" x14ac:dyDescent="0.35"/>
    <row r="1084" hidden="1" x14ac:dyDescent="0.35"/>
    <row r="1085" hidden="1" x14ac:dyDescent="0.35"/>
    <row r="1086" hidden="1" x14ac:dyDescent="0.35"/>
    <row r="1087" hidden="1" x14ac:dyDescent="0.35"/>
    <row r="1088" hidden="1" x14ac:dyDescent="0.35"/>
    <row r="1089" hidden="1" x14ac:dyDescent="0.35"/>
    <row r="1090" hidden="1" x14ac:dyDescent="0.35"/>
    <row r="1091" hidden="1" x14ac:dyDescent="0.35"/>
    <row r="1092" hidden="1" x14ac:dyDescent="0.35"/>
    <row r="1093" hidden="1" x14ac:dyDescent="0.35"/>
    <row r="1094" hidden="1" x14ac:dyDescent="0.35"/>
    <row r="1095" hidden="1" x14ac:dyDescent="0.35"/>
    <row r="1096" hidden="1" x14ac:dyDescent="0.35"/>
    <row r="1097" hidden="1" x14ac:dyDescent="0.35"/>
    <row r="1098" hidden="1" x14ac:dyDescent="0.35"/>
    <row r="1099" hidden="1" x14ac:dyDescent="0.35"/>
    <row r="1100" hidden="1" x14ac:dyDescent="0.35"/>
    <row r="1101" hidden="1" x14ac:dyDescent="0.35"/>
    <row r="1102" hidden="1" x14ac:dyDescent="0.35"/>
    <row r="1103" hidden="1" x14ac:dyDescent="0.35"/>
    <row r="1104" hidden="1" x14ac:dyDescent="0.35"/>
    <row r="1105" hidden="1" x14ac:dyDescent="0.35"/>
    <row r="1106" hidden="1" x14ac:dyDescent="0.35"/>
    <row r="1107" hidden="1" x14ac:dyDescent="0.35"/>
    <row r="1108" hidden="1" x14ac:dyDescent="0.35"/>
    <row r="1109" hidden="1" x14ac:dyDescent="0.35"/>
    <row r="1110" hidden="1" x14ac:dyDescent="0.35"/>
    <row r="1111" hidden="1" x14ac:dyDescent="0.35"/>
    <row r="1112" hidden="1" x14ac:dyDescent="0.35"/>
    <row r="1113" hidden="1" x14ac:dyDescent="0.35"/>
    <row r="1114" hidden="1" x14ac:dyDescent="0.35"/>
    <row r="1115" hidden="1" x14ac:dyDescent="0.35"/>
    <row r="1116" hidden="1" x14ac:dyDescent="0.35"/>
    <row r="1117" hidden="1" x14ac:dyDescent="0.35"/>
    <row r="1118" hidden="1" x14ac:dyDescent="0.35"/>
    <row r="1119" hidden="1" x14ac:dyDescent="0.35"/>
    <row r="1120" hidden="1" x14ac:dyDescent="0.35"/>
    <row r="1121" hidden="1" x14ac:dyDescent="0.35"/>
    <row r="1122" hidden="1" x14ac:dyDescent="0.35"/>
    <row r="1123" hidden="1" x14ac:dyDescent="0.35"/>
    <row r="1124" hidden="1" x14ac:dyDescent="0.35"/>
    <row r="1125" hidden="1" x14ac:dyDescent="0.35"/>
    <row r="1126" hidden="1" x14ac:dyDescent="0.35"/>
    <row r="1127" hidden="1" x14ac:dyDescent="0.35"/>
    <row r="1128" hidden="1" x14ac:dyDescent="0.35"/>
    <row r="1129" hidden="1" x14ac:dyDescent="0.35"/>
    <row r="1130" hidden="1" x14ac:dyDescent="0.35"/>
    <row r="1131" hidden="1" x14ac:dyDescent="0.35"/>
    <row r="1132" hidden="1" x14ac:dyDescent="0.35"/>
    <row r="1133" hidden="1" x14ac:dyDescent="0.35"/>
    <row r="1134" hidden="1" x14ac:dyDescent="0.35"/>
    <row r="1135" hidden="1" x14ac:dyDescent="0.35"/>
    <row r="1136" hidden="1" x14ac:dyDescent="0.35"/>
    <row r="1137" hidden="1" x14ac:dyDescent="0.35"/>
    <row r="1138" hidden="1" x14ac:dyDescent="0.35"/>
    <row r="1139" hidden="1" x14ac:dyDescent="0.35"/>
    <row r="1140" hidden="1" x14ac:dyDescent="0.35"/>
    <row r="1141" hidden="1" x14ac:dyDescent="0.35"/>
    <row r="1142" hidden="1" x14ac:dyDescent="0.35"/>
    <row r="1143" hidden="1" x14ac:dyDescent="0.35"/>
    <row r="1144" hidden="1" x14ac:dyDescent="0.35"/>
    <row r="1145" hidden="1" x14ac:dyDescent="0.35"/>
    <row r="1146" hidden="1" x14ac:dyDescent="0.35"/>
    <row r="1147" hidden="1" x14ac:dyDescent="0.35"/>
    <row r="1148" hidden="1" x14ac:dyDescent="0.35"/>
    <row r="1149" hidden="1" x14ac:dyDescent="0.35"/>
    <row r="1150" hidden="1" x14ac:dyDescent="0.35"/>
    <row r="1151" hidden="1" x14ac:dyDescent="0.35"/>
    <row r="1152" hidden="1" x14ac:dyDescent="0.35"/>
    <row r="1153" hidden="1" x14ac:dyDescent="0.35"/>
    <row r="1154" hidden="1" x14ac:dyDescent="0.35"/>
    <row r="1155" hidden="1" x14ac:dyDescent="0.35"/>
    <row r="1156" hidden="1" x14ac:dyDescent="0.35"/>
    <row r="1157" hidden="1" x14ac:dyDescent="0.35"/>
    <row r="1158" hidden="1" x14ac:dyDescent="0.35"/>
    <row r="1159" hidden="1" x14ac:dyDescent="0.35"/>
    <row r="1160" hidden="1" x14ac:dyDescent="0.35"/>
    <row r="1161" hidden="1" x14ac:dyDescent="0.35"/>
    <row r="1162" hidden="1" x14ac:dyDescent="0.35"/>
    <row r="1163" hidden="1" x14ac:dyDescent="0.35"/>
    <row r="1164" hidden="1" x14ac:dyDescent="0.35"/>
    <row r="1165" hidden="1" x14ac:dyDescent="0.35"/>
    <row r="1166" hidden="1" x14ac:dyDescent="0.35"/>
    <row r="1167" hidden="1" x14ac:dyDescent="0.35"/>
    <row r="1168" hidden="1" x14ac:dyDescent="0.35"/>
    <row r="1169" hidden="1" x14ac:dyDescent="0.35"/>
    <row r="1170" hidden="1" x14ac:dyDescent="0.35"/>
    <row r="1171" hidden="1" x14ac:dyDescent="0.35"/>
    <row r="1172" hidden="1" x14ac:dyDescent="0.35"/>
    <row r="1173" hidden="1" x14ac:dyDescent="0.35"/>
    <row r="1174" hidden="1" x14ac:dyDescent="0.35"/>
    <row r="1175" hidden="1" x14ac:dyDescent="0.35"/>
    <row r="1176" hidden="1" x14ac:dyDescent="0.35"/>
    <row r="1177" hidden="1" x14ac:dyDescent="0.35"/>
    <row r="1178" hidden="1" x14ac:dyDescent="0.35"/>
    <row r="1179" hidden="1" x14ac:dyDescent="0.35"/>
    <row r="1180" hidden="1" x14ac:dyDescent="0.35"/>
    <row r="1181" hidden="1" x14ac:dyDescent="0.35"/>
    <row r="1182" hidden="1" x14ac:dyDescent="0.35"/>
    <row r="1183" hidden="1" x14ac:dyDescent="0.35"/>
    <row r="1184" hidden="1" x14ac:dyDescent="0.35"/>
    <row r="1185" hidden="1" x14ac:dyDescent="0.35"/>
    <row r="1186" hidden="1" x14ac:dyDescent="0.35"/>
    <row r="1187" hidden="1" x14ac:dyDescent="0.35"/>
    <row r="1188" hidden="1" x14ac:dyDescent="0.35"/>
    <row r="1189" hidden="1" x14ac:dyDescent="0.35"/>
    <row r="1190" hidden="1" x14ac:dyDescent="0.35"/>
    <row r="1191" hidden="1" x14ac:dyDescent="0.35"/>
    <row r="1192" hidden="1" x14ac:dyDescent="0.35"/>
    <row r="1193" hidden="1" x14ac:dyDescent="0.35"/>
    <row r="1194" hidden="1" x14ac:dyDescent="0.35"/>
    <row r="1195" hidden="1" x14ac:dyDescent="0.35"/>
    <row r="1196" hidden="1" x14ac:dyDescent="0.35"/>
    <row r="1197" hidden="1" x14ac:dyDescent="0.35"/>
    <row r="1198" hidden="1" x14ac:dyDescent="0.35"/>
    <row r="1199" hidden="1" x14ac:dyDescent="0.35"/>
    <row r="1200" hidden="1" x14ac:dyDescent="0.35"/>
    <row r="1201" hidden="1" x14ac:dyDescent="0.35"/>
    <row r="1202" hidden="1" x14ac:dyDescent="0.35"/>
    <row r="1203" hidden="1" x14ac:dyDescent="0.35"/>
    <row r="1204" hidden="1" x14ac:dyDescent="0.35"/>
    <row r="1205" hidden="1" x14ac:dyDescent="0.35"/>
    <row r="1206" hidden="1" x14ac:dyDescent="0.35"/>
    <row r="1207" hidden="1" x14ac:dyDescent="0.35"/>
    <row r="1208" hidden="1" x14ac:dyDescent="0.35"/>
    <row r="1209" hidden="1" x14ac:dyDescent="0.35"/>
    <row r="1210" hidden="1" x14ac:dyDescent="0.35"/>
    <row r="1211" hidden="1" x14ac:dyDescent="0.35"/>
    <row r="1212" hidden="1" x14ac:dyDescent="0.35"/>
    <row r="1213" hidden="1" x14ac:dyDescent="0.35"/>
    <row r="1214" hidden="1" x14ac:dyDescent="0.35"/>
    <row r="1215" hidden="1" x14ac:dyDescent="0.35"/>
    <row r="1216" hidden="1" x14ac:dyDescent="0.35"/>
    <row r="1217" hidden="1" x14ac:dyDescent="0.35"/>
    <row r="1218" hidden="1" x14ac:dyDescent="0.35"/>
    <row r="1219" hidden="1" x14ac:dyDescent="0.35"/>
    <row r="1220" hidden="1" x14ac:dyDescent="0.35"/>
    <row r="1221" hidden="1" x14ac:dyDescent="0.35"/>
    <row r="1222" hidden="1" x14ac:dyDescent="0.35"/>
    <row r="1223" hidden="1" x14ac:dyDescent="0.35"/>
    <row r="1224" hidden="1" x14ac:dyDescent="0.35"/>
    <row r="1225" hidden="1" x14ac:dyDescent="0.35"/>
    <row r="1226" hidden="1" x14ac:dyDescent="0.35"/>
    <row r="1227" hidden="1" x14ac:dyDescent="0.35"/>
    <row r="1228" hidden="1" x14ac:dyDescent="0.35"/>
    <row r="1229" hidden="1" x14ac:dyDescent="0.35"/>
    <row r="1230" hidden="1" x14ac:dyDescent="0.35"/>
    <row r="1231" hidden="1" x14ac:dyDescent="0.35"/>
    <row r="1232" hidden="1" x14ac:dyDescent="0.35"/>
    <row r="1233" hidden="1" x14ac:dyDescent="0.35"/>
    <row r="1234" hidden="1" x14ac:dyDescent="0.35"/>
    <row r="1235" hidden="1" x14ac:dyDescent="0.35"/>
    <row r="1236" hidden="1" x14ac:dyDescent="0.35"/>
    <row r="1237" hidden="1" x14ac:dyDescent="0.35"/>
    <row r="1238" hidden="1" x14ac:dyDescent="0.35"/>
    <row r="1239" hidden="1" x14ac:dyDescent="0.35"/>
    <row r="1240" hidden="1" x14ac:dyDescent="0.35"/>
    <row r="1241" hidden="1" x14ac:dyDescent="0.35"/>
    <row r="1242" hidden="1" x14ac:dyDescent="0.35"/>
    <row r="1243" hidden="1" x14ac:dyDescent="0.35"/>
    <row r="1244" hidden="1" x14ac:dyDescent="0.35"/>
    <row r="1245" hidden="1" x14ac:dyDescent="0.35"/>
    <row r="1246" hidden="1" x14ac:dyDescent="0.35"/>
    <row r="1247" hidden="1" x14ac:dyDescent="0.35"/>
    <row r="1248" hidden="1" x14ac:dyDescent="0.35"/>
    <row r="1249" hidden="1" x14ac:dyDescent="0.35"/>
    <row r="1250" hidden="1" x14ac:dyDescent="0.35"/>
    <row r="1251" hidden="1" x14ac:dyDescent="0.35"/>
    <row r="1252" hidden="1" x14ac:dyDescent="0.35"/>
    <row r="1253" hidden="1" x14ac:dyDescent="0.35"/>
    <row r="1254" hidden="1" x14ac:dyDescent="0.35"/>
    <row r="1255" hidden="1" x14ac:dyDescent="0.35"/>
    <row r="1256" hidden="1" x14ac:dyDescent="0.35"/>
    <row r="1257" hidden="1" x14ac:dyDescent="0.35"/>
    <row r="1258" hidden="1" x14ac:dyDescent="0.35"/>
    <row r="1259" hidden="1" x14ac:dyDescent="0.35"/>
    <row r="1260" hidden="1" x14ac:dyDescent="0.35"/>
    <row r="1261" hidden="1" x14ac:dyDescent="0.35"/>
    <row r="1262" hidden="1" x14ac:dyDescent="0.35"/>
    <row r="1263" hidden="1" x14ac:dyDescent="0.35"/>
    <row r="1264" hidden="1" x14ac:dyDescent="0.35"/>
    <row r="1265" hidden="1" x14ac:dyDescent="0.35"/>
    <row r="1266" hidden="1" x14ac:dyDescent="0.35"/>
    <row r="1267" hidden="1" x14ac:dyDescent="0.35"/>
    <row r="1268" hidden="1" x14ac:dyDescent="0.35"/>
    <row r="1269" hidden="1" x14ac:dyDescent="0.35"/>
    <row r="1270" hidden="1" x14ac:dyDescent="0.35"/>
    <row r="1271" hidden="1" x14ac:dyDescent="0.35"/>
    <row r="1272" hidden="1" x14ac:dyDescent="0.35"/>
    <row r="1273" hidden="1" x14ac:dyDescent="0.35"/>
    <row r="1274" hidden="1" x14ac:dyDescent="0.35"/>
    <row r="1275" hidden="1" x14ac:dyDescent="0.35"/>
    <row r="1276" hidden="1" x14ac:dyDescent="0.35"/>
    <row r="1277" hidden="1" x14ac:dyDescent="0.35"/>
    <row r="1278" hidden="1" x14ac:dyDescent="0.35"/>
    <row r="1279" hidden="1" x14ac:dyDescent="0.35"/>
    <row r="1280" hidden="1" x14ac:dyDescent="0.35"/>
    <row r="1281" hidden="1" x14ac:dyDescent="0.35"/>
    <row r="1282" hidden="1" x14ac:dyDescent="0.35"/>
    <row r="1283" hidden="1" x14ac:dyDescent="0.35"/>
    <row r="1284" hidden="1" x14ac:dyDescent="0.35"/>
    <row r="1285" hidden="1" x14ac:dyDescent="0.35"/>
    <row r="1286" hidden="1" x14ac:dyDescent="0.35"/>
    <row r="1287" hidden="1" x14ac:dyDescent="0.35"/>
    <row r="1288" hidden="1" x14ac:dyDescent="0.35"/>
    <row r="1289" hidden="1" x14ac:dyDescent="0.35"/>
    <row r="1290" hidden="1" x14ac:dyDescent="0.35"/>
    <row r="1291" hidden="1" x14ac:dyDescent="0.35"/>
    <row r="1292" hidden="1" x14ac:dyDescent="0.35"/>
    <row r="1293" hidden="1" x14ac:dyDescent="0.35"/>
    <row r="1294" hidden="1" x14ac:dyDescent="0.35"/>
    <row r="1295" hidden="1" x14ac:dyDescent="0.35"/>
    <row r="1296" hidden="1" x14ac:dyDescent="0.35"/>
    <row r="1297" hidden="1" x14ac:dyDescent="0.35"/>
    <row r="1298" hidden="1" x14ac:dyDescent="0.35"/>
    <row r="1299" hidden="1" x14ac:dyDescent="0.35"/>
    <row r="1300" hidden="1" x14ac:dyDescent="0.35"/>
    <row r="1301" hidden="1" x14ac:dyDescent="0.35"/>
    <row r="1302" hidden="1" x14ac:dyDescent="0.35"/>
    <row r="1303" hidden="1" x14ac:dyDescent="0.35"/>
    <row r="1304" hidden="1" x14ac:dyDescent="0.35"/>
    <row r="1305" hidden="1" x14ac:dyDescent="0.35"/>
    <row r="1306" hidden="1" x14ac:dyDescent="0.35"/>
    <row r="1307" hidden="1" x14ac:dyDescent="0.35"/>
    <row r="1308" hidden="1" x14ac:dyDescent="0.35"/>
    <row r="1309" hidden="1" x14ac:dyDescent="0.35"/>
    <row r="1310" hidden="1" x14ac:dyDescent="0.35"/>
    <row r="1311" hidden="1" x14ac:dyDescent="0.35"/>
    <row r="1312" hidden="1" x14ac:dyDescent="0.35"/>
    <row r="1313" hidden="1" x14ac:dyDescent="0.35"/>
    <row r="1314" hidden="1" x14ac:dyDescent="0.35"/>
    <row r="1315" hidden="1" x14ac:dyDescent="0.35"/>
    <row r="1316" hidden="1" x14ac:dyDescent="0.35"/>
    <row r="1317" hidden="1" x14ac:dyDescent="0.35"/>
    <row r="1318" hidden="1" x14ac:dyDescent="0.35"/>
    <row r="1319" hidden="1" x14ac:dyDescent="0.35"/>
    <row r="1320" hidden="1" x14ac:dyDescent="0.35"/>
    <row r="1321" hidden="1" x14ac:dyDescent="0.35"/>
    <row r="1322" hidden="1" x14ac:dyDescent="0.35"/>
    <row r="1323" hidden="1" x14ac:dyDescent="0.35"/>
    <row r="1324" hidden="1" x14ac:dyDescent="0.35"/>
    <row r="1325" hidden="1" x14ac:dyDescent="0.35"/>
    <row r="1326" hidden="1" x14ac:dyDescent="0.35"/>
    <row r="1327" hidden="1" x14ac:dyDescent="0.35"/>
    <row r="1328" hidden="1" x14ac:dyDescent="0.35"/>
    <row r="1329" hidden="1" x14ac:dyDescent="0.35"/>
    <row r="1330" hidden="1" x14ac:dyDescent="0.35"/>
    <row r="1331" hidden="1" x14ac:dyDescent="0.35"/>
    <row r="1332" hidden="1" x14ac:dyDescent="0.35"/>
    <row r="1333" hidden="1" x14ac:dyDescent="0.35"/>
    <row r="1334" hidden="1" x14ac:dyDescent="0.35"/>
    <row r="1335" hidden="1" x14ac:dyDescent="0.35"/>
    <row r="1336" hidden="1" x14ac:dyDescent="0.35"/>
    <row r="1337" hidden="1" x14ac:dyDescent="0.35"/>
    <row r="1338" hidden="1" x14ac:dyDescent="0.35"/>
    <row r="1339" hidden="1" x14ac:dyDescent="0.35"/>
    <row r="1340" hidden="1" x14ac:dyDescent="0.35"/>
    <row r="1341" hidden="1" x14ac:dyDescent="0.35"/>
    <row r="1342" hidden="1" x14ac:dyDescent="0.35"/>
    <row r="1343" hidden="1" x14ac:dyDescent="0.35"/>
    <row r="1344" hidden="1" x14ac:dyDescent="0.35"/>
    <row r="1345" hidden="1" x14ac:dyDescent="0.35"/>
    <row r="1346" hidden="1" x14ac:dyDescent="0.35"/>
    <row r="1347" hidden="1" x14ac:dyDescent="0.35"/>
    <row r="1348" hidden="1" x14ac:dyDescent="0.35"/>
    <row r="1349" hidden="1" x14ac:dyDescent="0.35"/>
    <row r="1350" hidden="1" x14ac:dyDescent="0.35"/>
    <row r="1351" hidden="1" x14ac:dyDescent="0.35"/>
    <row r="1352" hidden="1" x14ac:dyDescent="0.35"/>
    <row r="1353" hidden="1" x14ac:dyDescent="0.35"/>
    <row r="1354" hidden="1" x14ac:dyDescent="0.35"/>
    <row r="1355" hidden="1" x14ac:dyDescent="0.35"/>
    <row r="1356" hidden="1" x14ac:dyDescent="0.35"/>
    <row r="1357" hidden="1" x14ac:dyDescent="0.35"/>
    <row r="1358" hidden="1" x14ac:dyDescent="0.35"/>
    <row r="1359" hidden="1" x14ac:dyDescent="0.35"/>
    <row r="1360" hidden="1" x14ac:dyDescent="0.35"/>
    <row r="1361" hidden="1" x14ac:dyDescent="0.35"/>
    <row r="1362" hidden="1" x14ac:dyDescent="0.35"/>
    <row r="1363" hidden="1" x14ac:dyDescent="0.35"/>
    <row r="1364" hidden="1" x14ac:dyDescent="0.35"/>
    <row r="1365" hidden="1" x14ac:dyDescent="0.35"/>
    <row r="1366" hidden="1" x14ac:dyDescent="0.35"/>
    <row r="1367" hidden="1" x14ac:dyDescent="0.35"/>
    <row r="1368" hidden="1" x14ac:dyDescent="0.35"/>
    <row r="1369" hidden="1" x14ac:dyDescent="0.35"/>
    <row r="1370" hidden="1" x14ac:dyDescent="0.35"/>
    <row r="1371" hidden="1" x14ac:dyDescent="0.35"/>
    <row r="1372" hidden="1" x14ac:dyDescent="0.35"/>
    <row r="1373" hidden="1" x14ac:dyDescent="0.35"/>
    <row r="1374" hidden="1" x14ac:dyDescent="0.35"/>
    <row r="1375" hidden="1" x14ac:dyDescent="0.35"/>
    <row r="1376" hidden="1" x14ac:dyDescent="0.35"/>
    <row r="1377" hidden="1" x14ac:dyDescent="0.35"/>
    <row r="1378" hidden="1" x14ac:dyDescent="0.35"/>
    <row r="1379" hidden="1" x14ac:dyDescent="0.35"/>
    <row r="1380" hidden="1" x14ac:dyDescent="0.35"/>
    <row r="1381" hidden="1" x14ac:dyDescent="0.35"/>
    <row r="1382" hidden="1" x14ac:dyDescent="0.35"/>
    <row r="1383" hidden="1" x14ac:dyDescent="0.35"/>
    <row r="1384" hidden="1" x14ac:dyDescent="0.35"/>
    <row r="1385" hidden="1" x14ac:dyDescent="0.35"/>
    <row r="1386" hidden="1" x14ac:dyDescent="0.35"/>
    <row r="1387" hidden="1" x14ac:dyDescent="0.35"/>
    <row r="1388" hidden="1" x14ac:dyDescent="0.35"/>
    <row r="1389" hidden="1" x14ac:dyDescent="0.35"/>
    <row r="1390" hidden="1" x14ac:dyDescent="0.35"/>
    <row r="1391" hidden="1" x14ac:dyDescent="0.35"/>
    <row r="1392" hidden="1" x14ac:dyDescent="0.35"/>
    <row r="1393" hidden="1" x14ac:dyDescent="0.35"/>
    <row r="1394" hidden="1" x14ac:dyDescent="0.35"/>
    <row r="1395" hidden="1" x14ac:dyDescent="0.35"/>
    <row r="1396" hidden="1" x14ac:dyDescent="0.35"/>
    <row r="1397" hidden="1" x14ac:dyDescent="0.35"/>
    <row r="1398" hidden="1" x14ac:dyDescent="0.35"/>
    <row r="1399" hidden="1" x14ac:dyDescent="0.35"/>
    <row r="1400" hidden="1" x14ac:dyDescent="0.35"/>
    <row r="1401" hidden="1" x14ac:dyDescent="0.35"/>
    <row r="1402" hidden="1" x14ac:dyDescent="0.35"/>
    <row r="1403" hidden="1" x14ac:dyDescent="0.35"/>
    <row r="1404" hidden="1" x14ac:dyDescent="0.35"/>
    <row r="1405" hidden="1" x14ac:dyDescent="0.35"/>
    <row r="1406" hidden="1" x14ac:dyDescent="0.35"/>
    <row r="1407" hidden="1" x14ac:dyDescent="0.35"/>
    <row r="1408" hidden="1" x14ac:dyDescent="0.35"/>
    <row r="1409" hidden="1" x14ac:dyDescent="0.35"/>
    <row r="1410" hidden="1" x14ac:dyDescent="0.35"/>
    <row r="1411" hidden="1" x14ac:dyDescent="0.35"/>
    <row r="1412" hidden="1" x14ac:dyDescent="0.35"/>
    <row r="1413" hidden="1" x14ac:dyDescent="0.35"/>
    <row r="1414" hidden="1" x14ac:dyDescent="0.35"/>
    <row r="1415" hidden="1" x14ac:dyDescent="0.35"/>
    <row r="1416" hidden="1" x14ac:dyDescent="0.35"/>
    <row r="1417" hidden="1" x14ac:dyDescent="0.35"/>
    <row r="1418" hidden="1" x14ac:dyDescent="0.35"/>
    <row r="1419" hidden="1" x14ac:dyDescent="0.35"/>
    <row r="1420" hidden="1" x14ac:dyDescent="0.35"/>
    <row r="1421" hidden="1" x14ac:dyDescent="0.35"/>
    <row r="1422" hidden="1" x14ac:dyDescent="0.35"/>
    <row r="1423" hidden="1" x14ac:dyDescent="0.35"/>
    <row r="1424" hidden="1" x14ac:dyDescent="0.35"/>
    <row r="1425" hidden="1" x14ac:dyDescent="0.35"/>
    <row r="1426" hidden="1" x14ac:dyDescent="0.35"/>
    <row r="1427" hidden="1" x14ac:dyDescent="0.35"/>
    <row r="1428" hidden="1" x14ac:dyDescent="0.35"/>
    <row r="1429" hidden="1" x14ac:dyDescent="0.35"/>
    <row r="1430" hidden="1" x14ac:dyDescent="0.35"/>
    <row r="1431" hidden="1" x14ac:dyDescent="0.35"/>
    <row r="1432" hidden="1" x14ac:dyDescent="0.35"/>
    <row r="1433" hidden="1" x14ac:dyDescent="0.35"/>
    <row r="1434" hidden="1" x14ac:dyDescent="0.35"/>
    <row r="1435" hidden="1" x14ac:dyDescent="0.35"/>
    <row r="1436" hidden="1" x14ac:dyDescent="0.35"/>
    <row r="1437" hidden="1" x14ac:dyDescent="0.35"/>
    <row r="1438" hidden="1" x14ac:dyDescent="0.35"/>
    <row r="1439" hidden="1" x14ac:dyDescent="0.35"/>
    <row r="1440" hidden="1" x14ac:dyDescent="0.35"/>
    <row r="1441" hidden="1" x14ac:dyDescent="0.35"/>
    <row r="1442" hidden="1" x14ac:dyDescent="0.35"/>
    <row r="1443" hidden="1" x14ac:dyDescent="0.35"/>
    <row r="1444" hidden="1" x14ac:dyDescent="0.35"/>
    <row r="1445" hidden="1" x14ac:dyDescent="0.35"/>
    <row r="1446" hidden="1" x14ac:dyDescent="0.35"/>
    <row r="1447" hidden="1" x14ac:dyDescent="0.35"/>
    <row r="1448" hidden="1" x14ac:dyDescent="0.35"/>
    <row r="1449" hidden="1" x14ac:dyDescent="0.35"/>
    <row r="1450" hidden="1" x14ac:dyDescent="0.35"/>
    <row r="1451" hidden="1" x14ac:dyDescent="0.35"/>
    <row r="1452" hidden="1" x14ac:dyDescent="0.35"/>
    <row r="1453" hidden="1" x14ac:dyDescent="0.35"/>
    <row r="1454" hidden="1" x14ac:dyDescent="0.35"/>
    <row r="1455" hidden="1" x14ac:dyDescent="0.35"/>
    <row r="1456" hidden="1" x14ac:dyDescent="0.35"/>
    <row r="1457" hidden="1" x14ac:dyDescent="0.35"/>
    <row r="1458" hidden="1" x14ac:dyDescent="0.35"/>
    <row r="1459" hidden="1" x14ac:dyDescent="0.35"/>
    <row r="1460" hidden="1" x14ac:dyDescent="0.35"/>
    <row r="1461" hidden="1" x14ac:dyDescent="0.35"/>
    <row r="1462" hidden="1" x14ac:dyDescent="0.35"/>
    <row r="1463" hidden="1" x14ac:dyDescent="0.35"/>
    <row r="1464" hidden="1" x14ac:dyDescent="0.35"/>
    <row r="1465" hidden="1" x14ac:dyDescent="0.35"/>
    <row r="1466" hidden="1" x14ac:dyDescent="0.35"/>
    <row r="1467" hidden="1" x14ac:dyDescent="0.35"/>
    <row r="1468" hidden="1" x14ac:dyDescent="0.35"/>
    <row r="1469" hidden="1" x14ac:dyDescent="0.35"/>
    <row r="1470" hidden="1" x14ac:dyDescent="0.35"/>
    <row r="1471" hidden="1" x14ac:dyDescent="0.35"/>
    <row r="1472" hidden="1" x14ac:dyDescent="0.35"/>
    <row r="1473" hidden="1" x14ac:dyDescent="0.35"/>
    <row r="1474" hidden="1" x14ac:dyDescent="0.35"/>
    <row r="1475" hidden="1" x14ac:dyDescent="0.35"/>
    <row r="1476" hidden="1" x14ac:dyDescent="0.35"/>
    <row r="1477" hidden="1" x14ac:dyDescent="0.35"/>
    <row r="1478" hidden="1" x14ac:dyDescent="0.35"/>
    <row r="1479" hidden="1" x14ac:dyDescent="0.35"/>
    <row r="1480" hidden="1" x14ac:dyDescent="0.35"/>
    <row r="1481" hidden="1" x14ac:dyDescent="0.35"/>
    <row r="1482" hidden="1" x14ac:dyDescent="0.35"/>
    <row r="1483" hidden="1" x14ac:dyDescent="0.35"/>
    <row r="1484" hidden="1" x14ac:dyDescent="0.35"/>
    <row r="1485" hidden="1" x14ac:dyDescent="0.35"/>
    <row r="1486" hidden="1" x14ac:dyDescent="0.35"/>
    <row r="1487" hidden="1" x14ac:dyDescent="0.35"/>
    <row r="1488" hidden="1" x14ac:dyDescent="0.35"/>
    <row r="1489" hidden="1" x14ac:dyDescent="0.35"/>
    <row r="1490" hidden="1" x14ac:dyDescent="0.35"/>
    <row r="1491" hidden="1" x14ac:dyDescent="0.35"/>
    <row r="1492" hidden="1" x14ac:dyDescent="0.35"/>
    <row r="1493" hidden="1" x14ac:dyDescent="0.35"/>
    <row r="1494" hidden="1" x14ac:dyDescent="0.35"/>
    <row r="1495" hidden="1" x14ac:dyDescent="0.35"/>
    <row r="1496" hidden="1" x14ac:dyDescent="0.35"/>
    <row r="1497" hidden="1" x14ac:dyDescent="0.35"/>
    <row r="1498" hidden="1" x14ac:dyDescent="0.35"/>
    <row r="1499" hidden="1" x14ac:dyDescent="0.35"/>
    <row r="1500" hidden="1" x14ac:dyDescent="0.35"/>
    <row r="1501" hidden="1" x14ac:dyDescent="0.35"/>
    <row r="1502" hidden="1" x14ac:dyDescent="0.35"/>
    <row r="1503" hidden="1" x14ac:dyDescent="0.35"/>
    <row r="1504" hidden="1" x14ac:dyDescent="0.35"/>
    <row r="1505" hidden="1" x14ac:dyDescent="0.35"/>
    <row r="1506" hidden="1" x14ac:dyDescent="0.35"/>
    <row r="1507" hidden="1" x14ac:dyDescent="0.35"/>
    <row r="1508" hidden="1" x14ac:dyDescent="0.35"/>
    <row r="1509" hidden="1" x14ac:dyDescent="0.35"/>
    <row r="1510" hidden="1" x14ac:dyDescent="0.35"/>
    <row r="1511" hidden="1" x14ac:dyDescent="0.35"/>
    <row r="1512" hidden="1" x14ac:dyDescent="0.35"/>
    <row r="1513" hidden="1" x14ac:dyDescent="0.35"/>
    <row r="1514" hidden="1" x14ac:dyDescent="0.35"/>
    <row r="1515" hidden="1" x14ac:dyDescent="0.35"/>
    <row r="1516" hidden="1" x14ac:dyDescent="0.35"/>
    <row r="1517" hidden="1" x14ac:dyDescent="0.35"/>
    <row r="1518" hidden="1" x14ac:dyDescent="0.35"/>
    <row r="1519" hidden="1" x14ac:dyDescent="0.35"/>
    <row r="1520" hidden="1" x14ac:dyDescent="0.35"/>
    <row r="1521" hidden="1" x14ac:dyDescent="0.35"/>
    <row r="1522" hidden="1" x14ac:dyDescent="0.35"/>
    <row r="1523" hidden="1" x14ac:dyDescent="0.35"/>
    <row r="1524" hidden="1" x14ac:dyDescent="0.35"/>
    <row r="1525" hidden="1" x14ac:dyDescent="0.35"/>
    <row r="1526" hidden="1" x14ac:dyDescent="0.35"/>
    <row r="1527" hidden="1" x14ac:dyDescent="0.35"/>
    <row r="1528" hidden="1" x14ac:dyDescent="0.35"/>
    <row r="1529" hidden="1" x14ac:dyDescent="0.35"/>
    <row r="1530" hidden="1" x14ac:dyDescent="0.35"/>
    <row r="1531" hidden="1" x14ac:dyDescent="0.35"/>
    <row r="1532" hidden="1" x14ac:dyDescent="0.35"/>
    <row r="1533" hidden="1" x14ac:dyDescent="0.35"/>
    <row r="1534" hidden="1" x14ac:dyDescent="0.35"/>
    <row r="1535" hidden="1" x14ac:dyDescent="0.35"/>
    <row r="1536" hidden="1" x14ac:dyDescent="0.35"/>
    <row r="1537" hidden="1" x14ac:dyDescent="0.35"/>
    <row r="1538" hidden="1" x14ac:dyDescent="0.35"/>
    <row r="1539" hidden="1" x14ac:dyDescent="0.35"/>
    <row r="1540" hidden="1" x14ac:dyDescent="0.35"/>
    <row r="1541" hidden="1" x14ac:dyDescent="0.35"/>
    <row r="1542" hidden="1" x14ac:dyDescent="0.35"/>
    <row r="1543" hidden="1" x14ac:dyDescent="0.35"/>
    <row r="1544" hidden="1" x14ac:dyDescent="0.35"/>
    <row r="1545" hidden="1" x14ac:dyDescent="0.35"/>
    <row r="1546" hidden="1" x14ac:dyDescent="0.35"/>
    <row r="1547" hidden="1" x14ac:dyDescent="0.35"/>
    <row r="1548" hidden="1" x14ac:dyDescent="0.35"/>
    <row r="1549" hidden="1" x14ac:dyDescent="0.35"/>
    <row r="1550" hidden="1" x14ac:dyDescent="0.35"/>
    <row r="1551" hidden="1" x14ac:dyDescent="0.35"/>
    <row r="1552" hidden="1" x14ac:dyDescent="0.35"/>
    <row r="1553" hidden="1" x14ac:dyDescent="0.35"/>
    <row r="1554" hidden="1" x14ac:dyDescent="0.35"/>
    <row r="1555" hidden="1" x14ac:dyDescent="0.35"/>
    <row r="1556" hidden="1" x14ac:dyDescent="0.35"/>
    <row r="1557" hidden="1" x14ac:dyDescent="0.35"/>
    <row r="1558" hidden="1" x14ac:dyDescent="0.35"/>
    <row r="1559" hidden="1" x14ac:dyDescent="0.35"/>
    <row r="1560" hidden="1" x14ac:dyDescent="0.35"/>
    <row r="1561" hidden="1" x14ac:dyDescent="0.35"/>
    <row r="1562" hidden="1" x14ac:dyDescent="0.35"/>
    <row r="1563" hidden="1" x14ac:dyDescent="0.35"/>
    <row r="1564" hidden="1" x14ac:dyDescent="0.35"/>
    <row r="1565" hidden="1" x14ac:dyDescent="0.35"/>
    <row r="1566" hidden="1" x14ac:dyDescent="0.35"/>
    <row r="1567" hidden="1" x14ac:dyDescent="0.35"/>
    <row r="1568" hidden="1" x14ac:dyDescent="0.35"/>
    <row r="1569" hidden="1" x14ac:dyDescent="0.35"/>
    <row r="1570" hidden="1" x14ac:dyDescent="0.35"/>
    <row r="1571" hidden="1" x14ac:dyDescent="0.35"/>
    <row r="1572" hidden="1" x14ac:dyDescent="0.35"/>
    <row r="1573" hidden="1" x14ac:dyDescent="0.35"/>
    <row r="1574" hidden="1" x14ac:dyDescent="0.35"/>
    <row r="1575" hidden="1" x14ac:dyDescent="0.35"/>
    <row r="1576" hidden="1" x14ac:dyDescent="0.35"/>
    <row r="1577" hidden="1" x14ac:dyDescent="0.35"/>
    <row r="1578" hidden="1" x14ac:dyDescent="0.35"/>
    <row r="1579" hidden="1" x14ac:dyDescent="0.35"/>
    <row r="1580" hidden="1" x14ac:dyDescent="0.35"/>
    <row r="1581" hidden="1" x14ac:dyDescent="0.35"/>
    <row r="1582" hidden="1" x14ac:dyDescent="0.35"/>
    <row r="1583" hidden="1" x14ac:dyDescent="0.35"/>
    <row r="1584" hidden="1" x14ac:dyDescent="0.35"/>
    <row r="1585" hidden="1" x14ac:dyDescent="0.35"/>
    <row r="1586" hidden="1" x14ac:dyDescent="0.35"/>
    <row r="1587" hidden="1" x14ac:dyDescent="0.35"/>
    <row r="1588" hidden="1" x14ac:dyDescent="0.35"/>
    <row r="1589" hidden="1" x14ac:dyDescent="0.35"/>
    <row r="1590" hidden="1" x14ac:dyDescent="0.35"/>
    <row r="1591" hidden="1" x14ac:dyDescent="0.35"/>
    <row r="1592" hidden="1" x14ac:dyDescent="0.35"/>
    <row r="1593" hidden="1" x14ac:dyDescent="0.35"/>
    <row r="1594" hidden="1" x14ac:dyDescent="0.35"/>
    <row r="1595" hidden="1" x14ac:dyDescent="0.35"/>
    <row r="1596" hidden="1" x14ac:dyDescent="0.35"/>
    <row r="1597" hidden="1" x14ac:dyDescent="0.35"/>
    <row r="1598" hidden="1" x14ac:dyDescent="0.35"/>
    <row r="1599" hidden="1" x14ac:dyDescent="0.35"/>
    <row r="1600" hidden="1" x14ac:dyDescent="0.35"/>
    <row r="1601" hidden="1" x14ac:dyDescent="0.35"/>
    <row r="1602" hidden="1" x14ac:dyDescent="0.35"/>
    <row r="1603" hidden="1" x14ac:dyDescent="0.35"/>
    <row r="1604" hidden="1" x14ac:dyDescent="0.35"/>
    <row r="1605" hidden="1" x14ac:dyDescent="0.35"/>
    <row r="1606" hidden="1" x14ac:dyDescent="0.35"/>
    <row r="1607" hidden="1" x14ac:dyDescent="0.35"/>
    <row r="1608" hidden="1" x14ac:dyDescent="0.35"/>
    <row r="1609" hidden="1" x14ac:dyDescent="0.35"/>
    <row r="1610" hidden="1" x14ac:dyDescent="0.35"/>
    <row r="1611" hidden="1" x14ac:dyDescent="0.35"/>
    <row r="1612" hidden="1" x14ac:dyDescent="0.35"/>
    <row r="1613" hidden="1" x14ac:dyDescent="0.35"/>
    <row r="1614" hidden="1" x14ac:dyDescent="0.35"/>
    <row r="1615" hidden="1" x14ac:dyDescent="0.35"/>
    <row r="1616" hidden="1" x14ac:dyDescent="0.35"/>
    <row r="1617" hidden="1" x14ac:dyDescent="0.35"/>
    <row r="1618" hidden="1" x14ac:dyDescent="0.35"/>
    <row r="1619" hidden="1" x14ac:dyDescent="0.35"/>
    <row r="1620" hidden="1" x14ac:dyDescent="0.35"/>
    <row r="1621" hidden="1" x14ac:dyDescent="0.35"/>
    <row r="1622" hidden="1" x14ac:dyDescent="0.35"/>
    <row r="1623" hidden="1" x14ac:dyDescent="0.35"/>
    <row r="1624" hidden="1" x14ac:dyDescent="0.35"/>
    <row r="1625" hidden="1" x14ac:dyDescent="0.35"/>
    <row r="1626" hidden="1" x14ac:dyDescent="0.35"/>
    <row r="1627" hidden="1" x14ac:dyDescent="0.35"/>
    <row r="1628" hidden="1" x14ac:dyDescent="0.35"/>
    <row r="1629" hidden="1" x14ac:dyDescent="0.35"/>
    <row r="1630" hidden="1" x14ac:dyDescent="0.35"/>
    <row r="1631" hidden="1" x14ac:dyDescent="0.35"/>
    <row r="1632" hidden="1" x14ac:dyDescent="0.35"/>
    <row r="1633" hidden="1" x14ac:dyDescent="0.35"/>
    <row r="1634" hidden="1" x14ac:dyDescent="0.35"/>
    <row r="1635" hidden="1" x14ac:dyDescent="0.35"/>
    <row r="1636" hidden="1" x14ac:dyDescent="0.35"/>
    <row r="1637" hidden="1" x14ac:dyDescent="0.35"/>
    <row r="1638" hidden="1" x14ac:dyDescent="0.35"/>
    <row r="1639" hidden="1" x14ac:dyDescent="0.35"/>
    <row r="1640" hidden="1" x14ac:dyDescent="0.35"/>
    <row r="1641" hidden="1" x14ac:dyDescent="0.35"/>
    <row r="1642" hidden="1" x14ac:dyDescent="0.35"/>
    <row r="1643" hidden="1" x14ac:dyDescent="0.35"/>
    <row r="1644" hidden="1" x14ac:dyDescent="0.35"/>
    <row r="1645" hidden="1" x14ac:dyDescent="0.35"/>
    <row r="1646" hidden="1" x14ac:dyDescent="0.35"/>
    <row r="1647" hidden="1" x14ac:dyDescent="0.35"/>
    <row r="1648" hidden="1" x14ac:dyDescent="0.35"/>
    <row r="1649" hidden="1" x14ac:dyDescent="0.35"/>
    <row r="1650" hidden="1" x14ac:dyDescent="0.35"/>
    <row r="1651" hidden="1" x14ac:dyDescent="0.35"/>
    <row r="1652" hidden="1" x14ac:dyDescent="0.35"/>
    <row r="1653" hidden="1" x14ac:dyDescent="0.35"/>
    <row r="1654" hidden="1" x14ac:dyDescent="0.35"/>
    <row r="1655" hidden="1" x14ac:dyDescent="0.35"/>
    <row r="1656" hidden="1" x14ac:dyDescent="0.35"/>
    <row r="1657" hidden="1" x14ac:dyDescent="0.35"/>
    <row r="1658" hidden="1" x14ac:dyDescent="0.35"/>
    <row r="1659" hidden="1" x14ac:dyDescent="0.35"/>
    <row r="1660" hidden="1" x14ac:dyDescent="0.35"/>
    <row r="1661" hidden="1" x14ac:dyDescent="0.35"/>
    <row r="1662" hidden="1" x14ac:dyDescent="0.35"/>
    <row r="1663" hidden="1" x14ac:dyDescent="0.35"/>
    <row r="1664" hidden="1" x14ac:dyDescent="0.35"/>
    <row r="1665" hidden="1" x14ac:dyDescent="0.35"/>
    <row r="1666" hidden="1" x14ac:dyDescent="0.35"/>
    <row r="1667" hidden="1" x14ac:dyDescent="0.35"/>
    <row r="1668" hidden="1" x14ac:dyDescent="0.35"/>
    <row r="1669" hidden="1" x14ac:dyDescent="0.35"/>
    <row r="1670" hidden="1" x14ac:dyDescent="0.35"/>
    <row r="1671" hidden="1" x14ac:dyDescent="0.35"/>
    <row r="1672" hidden="1" x14ac:dyDescent="0.35"/>
    <row r="1673" hidden="1" x14ac:dyDescent="0.35"/>
    <row r="1674" hidden="1" x14ac:dyDescent="0.35"/>
    <row r="1675" hidden="1" x14ac:dyDescent="0.35"/>
    <row r="1676" hidden="1" x14ac:dyDescent="0.35"/>
    <row r="1677" hidden="1" x14ac:dyDescent="0.35"/>
    <row r="1678" hidden="1" x14ac:dyDescent="0.35"/>
    <row r="1679" hidden="1" x14ac:dyDescent="0.35"/>
    <row r="1680" hidden="1" x14ac:dyDescent="0.35"/>
    <row r="1681" hidden="1" x14ac:dyDescent="0.35"/>
    <row r="1682" hidden="1" x14ac:dyDescent="0.35"/>
    <row r="1683" hidden="1" x14ac:dyDescent="0.35"/>
    <row r="1684" hidden="1" x14ac:dyDescent="0.35"/>
    <row r="1685" hidden="1" x14ac:dyDescent="0.35"/>
    <row r="1686" hidden="1" x14ac:dyDescent="0.35"/>
    <row r="1687" hidden="1" x14ac:dyDescent="0.35"/>
    <row r="1688" hidden="1" x14ac:dyDescent="0.35"/>
    <row r="1689" hidden="1" x14ac:dyDescent="0.35"/>
    <row r="1690" hidden="1" x14ac:dyDescent="0.35"/>
    <row r="1691" hidden="1" x14ac:dyDescent="0.35"/>
    <row r="1692" hidden="1" x14ac:dyDescent="0.35"/>
    <row r="1693" hidden="1" x14ac:dyDescent="0.35"/>
    <row r="1694" hidden="1" x14ac:dyDescent="0.35"/>
    <row r="1695" hidden="1" x14ac:dyDescent="0.35"/>
    <row r="1696" hidden="1" x14ac:dyDescent="0.35"/>
    <row r="1697" hidden="1" x14ac:dyDescent="0.35"/>
    <row r="1698" hidden="1" x14ac:dyDescent="0.35"/>
    <row r="1699" hidden="1" x14ac:dyDescent="0.35"/>
    <row r="1700" hidden="1" x14ac:dyDescent="0.35"/>
    <row r="1701" hidden="1" x14ac:dyDescent="0.35"/>
    <row r="1702" hidden="1" x14ac:dyDescent="0.35"/>
    <row r="1703" hidden="1" x14ac:dyDescent="0.35"/>
    <row r="1704" hidden="1" x14ac:dyDescent="0.35"/>
    <row r="1705" hidden="1" x14ac:dyDescent="0.35"/>
    <row r="1706" hidden="1" x14ac:dyDescent="0.35"/>
    <row r="1707" hidden="1" x14ac:dyDescent="0.35"/>
    <row r="1708" hidden="1" x14ac:dyDescent="0.35"/>
    <row r="1709" hidden="1" x14ac:dyDescent="0.35"/>
    <row r="1710" hidden="1" x14ac:dyDescent="0.35"/>
    <row r="1711" hidden="1" x14ac:dyDescent="0.35"/>
    <row r="1712" hidden="1" x14ac:dyDescent="0.35"/>
    <row r="1713" hidden="1" x14ac:dyDescent="0.35"/>
    <row r="1714" hidden="1" x14ac:dyDescent="0.35"/>
    <row r="1715" hidden="1" x14ac:dyDescent="0.35"/>
    <row r="1716" hidden="1" x14ac:dyDescent="0.35"/>
    <row r="1717" hidden="1" x14ac:dyDescent="0.35"/>
    <row r="1718" hidden="1" x14ac:dyDescent="0.35"/>
    <row r="1719" hidden="1" x14ac:dyDescent="0.35"/>
    <row r="1720" hidden="1" x14ac:dyDescent="0.35"/>
    <row r="1721" hidden="1" x14ac:dyDescent="0.35"/>
    <row r="1722" hidden="1" x14ac:dyDescent="0.35"/>
    <row r="1723" hidden="1" x14ac:dyDescent="0.35"/>
    <row r="1724" hidden="1" x14ac:dyDescent="0.35"/>
    <row r="1725" hidden="1" x14ac:dyDescent="0.35"/>
    <row r="1726" hidden="1" x14ac:dyDescent="0.35"/>
    <row r="1727" hidden="1" x14ac:dyDescent="0.35"/>
    <row r="1728" hidden="1" x14ac:dyDescent="0.35"/>
    <row r="1729" hidden="1" x14ac:dyDescent="0.35"/>
    <row r="1730" hidden="1" x14ac:dyDescent="0.35"/>
    <row r="1731" hidden="1" x14ac:dyDescent="0.35"/>
    <row r="1732" hidden="1" x14ac:dyDescent="0.35"/>
    <row r="1733" hidden="1" x14ac:dyDescent="0.35"/>
    <row r="1734" hidden="1" x14ac:dyDescent="0.35"/>
    <row r="1735" hidden="1" x14ac:dyDescent="0.35"/>
    <row r="1736" hidden="1" x14ac:dyDescent="0.35"/>
    <row r="1737" hidden="1" x14ac:dyDescent="0.35"/>
    <row r="1738" hidden="1" x14ac:dyDescent="0.35"/>
    <row r="1739" hidden="1" x14ac:dyDescent="0.35"/>
    <row r="1740" hidden="1" x14ac:dyDescent="0.35"/>
    <row r="1741" hidden="1" x14ac:dyDescent="0.35"/>
    <row r="1742" hidden="1" x14ac:dyDescent="0.35"/>
    <row r="1743" hidden="1" x14ac:dyDescent="0.35"/>
    <row r="1744" hidden="1" x14ac:dyDescent="0.35"/>
    <row r="1745" hidden="1" x14ac:dyDescent="0.35"/>
    <row r="1746" hidden="1" x14ac:dyDescent="0.35"/>
    <row r="1747" hidden="1" x14ac:dyDescent="0.35"/>
    <row r="1748" hidden="1" x14ac:dyDescent="0.35"/>
    <row r="1749" hidden="1" x14ac:dyDescent="0.35"/>
    <row r="1750" hidden="1" x14ac:dyDescent="0.35"/>
    <row r="1751" hidden="1" x14ac:dyDescent="0.35"/>
    <row r="1752" hidden="1" x14ac:dyDescent="0.35"/>
    <row r="1753" hidden="1" x14ac:dyDescent="0.35"/>
    <row r="1754" hidden="1" x14ac:dyDescent="0.35"/>
    <row r="1755" hidden="1" x14ac:dyDescent="0.35"/>
    <row r="1756" hidden="1" x14ac:dyDescent="0.35"/>
    <row r="1757" hidden="1" x14ac:dyDescent="0.35"/>
    <row r="1758" hidden="1" x14ac:dyDescent="0.35"/>
    <row r="1759" hidden="1" x14ac:dyDescent="0.35"/>
    <row r="1760" hidden="1" x14ac:dyDescent="0.35"/>
    <row r="1761" hidden="1" x14ac:dyDescent="0.35"/>
    <row r="1762" hidden="1" x14ac:dyDescent="0.35"/>
    <row r="1763" hidden="1" x14ac:dyDescent="0.35"/>
    <row r="1764" hidden="1" x14ac:dyDescent="0.35"/>
    <row r="1765" hidden="1" x14ac:dyDescent="0.35"/>
    <row r="1766" hidden="1" x14ac:dyDescent="0.35"/>
    <row r="1767" hidden="1" x14ac:dyDescent="0.35"/>
    <row r="1768" hidden="1" x14ac:dyDescent="0.35"/>
    <row r="1769" hidden="1" x14ac:dyDescent="0.35"/>
    <row r="1770" hidden="1" x14ac:dyDescent="0.35"/>
    <row r="1771" hidden="1" x14ac:dyDescent="0.35"/>
    <row r="1772" hidden="1" x14ac:dyDescent="0.35"/>
    <row r="1773" hidden="1" x14ac:dyDescent="0.35"/>
    <row r="1774" hidden="1" x14ac:dyDescent="0.35"/>
    <row r="1775" hidden="1" x14ac:dyDescent="0.35"/>
    <row r="1776" hidden="1" x14ac:dyDescent="0.35"/>
    <row r="1777" hidden="1" x14ac:dyDescent="0.35"/>
    <row r="1778" hidden="1" x14ac:dyDescent="0.35"/>
    <row r="1779" hidden="1" x14ac:dyDescent="0.35"/>
    <row r="1780" hidden="1" x14ac:dyDescent="0.35"/>
    <row r="1781" hidden="1" x14ac:dyDescent="0.35"/>
    <row r="1782" hidden="1" x14ac:dyDescent="0.35"/>
    <row r="1783" hidden="1" x14ac:dyDescent="0.35"/>
    <row r="1784" hidden="1" x14ac:dyDescent="0.35"/>
    <row r="1785" hidden="1" x14ac:dyDescent="0.35"/>
    <row r="1786" hidden="1" x14ac:dyDescent="0.35"/>
    <row r="1787" hidden="1" x14ac:dyDescent="0.35"/>
    <row r="1788" hidden="1" x14ac:dyDescent="0.35"/>
    <row r="1789" hidden="1" x14ac:dyDescent="0.35"/>
    <row r="1790" hidden="1" x14ac:dyDescent="0.35"/>
    <row r="1791" hidden="1" x14ac:dyDescent="0.35"/>
    <row r="1792" hidden="1" x14ac:dyDescent="0.35"/>
    <row r="1793" hidden="1" x14ac:dyDescent="0.35"/>
    <row r="1794" hidden="1" x14ac:dyDescent="0.35"/>
    <row r="1795" hidden="1" x14ac:dyDescent="0.35"/>
    <row r="1796" hidden="1" x14ac:dyDescent="0.35"/>
    <row r="1797" hidden="1" x14ac:dyDescent="0.35"/>
    <row r="1798" hidden="1" x14ac:dyDescent="0.35"/>
    <row r="1799" hidden="1" x14ac:dyDescent="0.35"/>
    <row r="1800" hidden="1" x14ac:dyDescent="0.35"/>
    <row r="1801" hidden="1" x14ac:dyDescent="0.35"/>
    <row r="1802" hidden="1" x14ac:dyDescent="0.35"/>
    <row r="1803" hidden="1" x14ac:dyDescent="0.35"/>
    <row r="1804" hidden="1" x14ac:dyDescent="0.35"/>
    <row r="1805" hidden="1" x14ac:dyDescent="0.35"/>
    <row r="1806" hidden="1" x14ac:dyDescent="0.35"/>
    <row r="1807" hidden="1" x14ac:dyDescent="0.35"/>
    <row r="1808" hidden="1" x14ac:dyDescent="0.35"/>
    <row r="1809" hidden="1" x14ac:dyDescent="0.35"/>
    <row r="1810" hidden="1" x14ac:dyDescent="0.35"/>
    <row r="1811" hidden="1" x14ac:dyDescent="0.35"/>
    <row r="1812" hidden="1" x14ac:dyDescent="0.35"/>
    <row r="1813" hidden="1" x14ac:dyDescent="0.35"/>
    <row r="1814" hidden="1" x14ac:dyDescent="0.35"/>
    <row r="1815" hidden="1" x14ac:dyDescent="0.35"/>
    <row r="1816" hidden="1" x14ac:dyDescent="0.35"/>
    <row r="1817" hidden="1" x14ac:dyDescent="0.35"/>
    <row r="1818" hidden="1" x14ac:dyDescent="0.35"/>
    <row r="1819" hidden="1" x14ac:dyDescent="0.35"/>
    <row r="1820" hidden="1" x14ac:dyDescent="0.35"/>
    <row r="1821" hidden="1" x14ac:dyDescent="0.35"/>
    <row r="1822" hidden="1" x14ac:dyDescent="0.35"/>
    <row r="1823" hidden="1" x14ac:dyDescent="0.35"/>
    <row r="1824" hidden="1" x14ac:dyDescent="0.35"/>
    <row r="1825" hidden="1" x14ac:dyDescent="0.35"/>
    <row r="1826" hidden="1" x14ac:dyDescent="0.35"/>
    <row r="1827" hidden="1" x14ac:dyDescent="0.35"/>
    <row r="1828" hidden="1" x14ac:dyDescent="0.35"/>
    <row r="1829" hidden="1" x14ac:dyDescent="0.35"/>
    <row r="1830" hidden="1" x14ac:dyDescent="0.35"/>
    <row r="1831" hidden="1" x14ac:dyDescent="0.35"/>
    <row r="1832" hidden="1" x14ac:dyDescent="0.35"/>
    <row r="1833" hidden="1" x14ac:dyDescent="0.35"/>
    <row r="1834" hidden="1" x14ac:dyDescent="0.35"/>
    <row r="1835" hidden="1" x14ac:dyDescent="0.35"/>
    <row r="1836" hidden="1" x14ac:dyDescent="0.35"/>
    <row r="1837" hidden="1" x14ac:dyDescent="0.35"/>
    <row r="1838" hidden="1" x14ac:dyDescent="0.35"/>
    <row r="1839" hidden="1" x14ac:dyDescent="0.35"/>
    <row r="1840" hidden="1" x14ac:dyDescent="0.35"/>
    <row r="1841" hidden="1" x14ac:dyDescent="0.35"/>
    <row r="1842" hidden="1" x14ac:dyDescent="0.35"/>
    <row r="1843" hidden="1" x14ac:dyDescent="0.35"/>
    <row r="1844" hidden="1" x14ac:dyDescent="0.35"/>
    <row r="1845" hidden="1" x14ac:dyDescent="0.35"/>
    <row r="1846" hidden="1" x14ac:dyDescent="0.35"/>
    <row r="1847" hidden="1" x14ac:dyDescent="0.35"/>
    <row r="1848" hidden="1" x14ac:dyDescent="0.35"/>
    <row r="1849" hidden="1" x14ac:dyDescent="0.35"/>
    <row r="1850" hidden="1" x14ac:dyDescent="0.35"/>
    <row r="1851" hidden="1" x14ac:dyDescent="0.35"/>
    <row r="1852" hidden="1" x14ac:dyDescent="0.35"/>
    <row r="1853" hidden="1" x14ac:dyDescent="0.35"/>
    <row r="1854" hidden="1" x14ac:dyDescent="0.35"/>
    <row r="1855" hidden="1" x14ac:dyDescent="0.35"/>
    <row r="1856" hidden="1" x14ac:dyDescent="0.35"/>
    <row r="1857" hidden="1" x14ac:dyDescent="0.35"/>
    <row r="1858" hidden="1" x14ac:dyDescent="0.35"/>
    <row r="1859" hidden="1" x14ac:dyDescent="0.35"/>
    <row r="1860" hidden="1" x14ac:dyDescent="0.35"/>
    <row r="1861" hidden="1" x14ac:dyDescent="0.35"/>
    <row r="1862" hidden="1" x14ac:dyDescent="0.35"/>
    <row r="1863" hidden="1" x14ac:dyDescent="0.35"/>
    <row r="1864" hidden="1" x14ac:dyDescent="0.35"/>
    <row r="1865" hidden="1" x14ac:dyDescent="0.35"/>
    <row r="1866" hidden="1" x14ac:dyDescent="0.35"/>
    <row r="1867" hidden="1" x14ac:dyDescent="0.35"/>
    <row r="1868" hidden="1" x14ac:dyDescent="0.35"/>
    <row r="1869" hidden="1" x14ac:dyDescent="0.35"/>
    <row r="1870" hidden="1" x14ac:dyDescent="0.35"/>
    <row r="1871" hidden="1" x14ac:dyDescent="0.35"/>
    <row r="1872" hidden="1" x14ac:dyDescent="0.35"/>
    <row r="1873" hidden="1" x14ac:dyDescent="0.35"/>
    <row r="1874" hidden="1" x14ac:dyDescent="0.35"/>
    <row r="1875" hidden="1" x14ac:dyDescent="0.35"/>
    <row r="1876" hidden="1" x14ac:dyDescent="0.35"/>
    <row r="1877" hidden="1" x14ac:dyDescent="0.35"/>
    <row r="1878" hidden="1" x14ac:dyDescent="0.35"/>
    <row r="1879" hidden="1" x14ac:dyDescent="0.35"/>
    <row r="1880" hidden="1" x14ac:dyDescent="0.35"/>
    <row r="1881" hidden="1" x14ac:dyDescent="0.35"/>
    <row r="1882" hidden="1" x14ac:dyDescent="0.35"/>
    <row r="1883" hidden="1" x14ac:dyDescent="0.35"/>
    <row r="1884" hidden="1" x14ac:dyDescent="0.35"/>
    <row r="1885" hidden="1" x14ac:dyDescent="0.35"/>
    <row r="1886" hidden="1" x14ac:dyDescent="0.35"/>
    <row r="1887" hidden="1" x14ac:dyDescent="0.35"/>
    <row r="1888" hidden="1" x14ac:dyDescent="0.35"/>
    <row r="1889" hidden="1" x14ac:dyDescent="0.35"/>
    <row r="1890" hidden="1" x14ac:dyDescent="0.35"/>
    <row r="1891" hidden="1" x14ac:dyDescent="0.35"/>
    <row r="1892" hidden="1" x14ac:dyDescent="0.35"/>
    <row r="1893" hidden="1" x14ac:dyDescent="0.35"/>
    <row r="1894" hidden="1" x14ac:dyDescent="0.35"/>
    <row r="1895" hidden="1" x14ac:dyDescent="0.35"/>
    <row r="1896" hidden="1" x14ac:dyDescent="0.35"/>
    <row r="1897" hidden="1" x14ac:dyDescent="0.35"/>
    <row r="1898" hidden="1" x14ac:dyDescent="0.35"/>
    <row r="1899" hidden="1" x14ac:dyDescent="0.35"/>
    <row r="1900" hidden="1" x14ac:dyDescent="0.35"/>
    <row r="1901" hidden="1" x14ac:dyDescent="0.35"/>
    <row r="1902" hidden="1" x14ac:dyDescent="0.35"/>
    <row r="1903" hidden="1" x14ac:dyDescent="0.35"/>
    <row r="1904" hidden="1" x14ac:dyDescent="0.35"/>
    <row r="1905" hidden="1" x14ac:dyDescent="0.35"/>
    <row r="1906" hidden="1" x14ac:dyDescent="0.35"/>
    <row r="1907" hidden="1" x14ac:dyDescent="0.35"/>
    <row r="1908" hidden="1" x14ac:dyDescent="0.35"/>
    <row r="1909" hidden="1" x14ac:dyDescent="0.35"/>
    <row r="1910" hidden="1" x14ac:dyDescent="0.35"/>
    <row r="1911" hidden="1" x14ac:dyDescent="0.35"/>
    <row r="1912" hidden="1" x14ac:dyDescent="0.35"/>
    <row r="1913" hidden="1" x14ac:dyDescent="0.35"/>
    <row r="1914" hidden="1" x14ac:dyDescent="0.35"/>
    <row r="1915" hidden="1" x14ac:dyDescent="0.35"/>
    <row r="1916" hidden="1" x14ac:dyDescent="0.35"/>
    <row r="1917" hidden="1" x14ac:dyDescent="0.35"/>
    <row r="1918" hidden="1" x14ac:dyDescent="0.35"/>
    <row r="1919" hidden="1" x14ac:dyDescent="0.35"/>
    <row r="1920" hidden="1" x14ac:dyDescent="0.35"/>
    <row r="1921" hidden="1" x14ac:dyDescent="0.35"/>
    <row r="1922" hidden="1" x14ac:dyDescent="0.35"/>
    <row r="1923" hidden="1" x14ac:dyDescent="0.35"/>
    <row r="1924" hidden="1" x14ac:dyDescent="0.35"/>
    <row r="1925" hidden="1" x14ac:dyDescent="0.35"/>
    <row r="1926" hidden="1" x14ac:dyDescent="0.35"/>
    <row r="1927" hidden="1" x14ac:dyDescent="0.35"/>
    <row r="1928" hidden="1" x14ac:dyDescent="0.35"/>
    <row r="1929" hidden="1" x14ac:dyDescent="0.35"/>
    <row r="1930" hidden="1" x14ac:dyDescent="0.35"/>
    <row r="1931" hidden="1" x14ac:dyDescent="0.35"/>
    <row r="1932" hidden="1" x14ac:dyDescent="0.35"/>
    <row r="1933" hidden="1" x14ac:dyDescent="0.35"/>
    <row r="1934" hidden="1" x14ac:dyDescent="0.35"/>
    <row r="1935" hidden="1" x14ac:dyDescent="0.35"/>
    <row r="1936" hidden="1" x14ac:dyDescent="0.35"/>
    <row r="1937" hidden="1" x14ac:dyDescent="0.35"/>
    <row r="1938" hidden="1" x14ac:dyDescent="0.35"/>
    <row r="1939" hidden="1" x14ac:dyDescent="0.35"/>
    <row r="1940" hidden="1" x14ac:dyDescent="0.35"/>
    <row r="1941" hidden="1" x14ac:dyDescent="0.35"/>
    <row r="1942" hidden="1" x14ac:dyDescent="0.35"/>
    <row r="1943" hidden="1" x14ac:dyDescent="0.35"/>
    <row r="1944" hidden="1" x14ac:dyDescent="0.35"/>
    <row r="1945" hidden="1" x14ac:dyDescent="0.35"/>
    <row r="1946" hidden="1" x14ac:dyDescent="0.35"/>
    <row r="1947" hidden="1" x14ac:dyDescent="0.35"/>
    <row r="1948" hidden="1" x14ac:dyDescent="0.35"/>
    <row r="1949" hidden="1" x14ac:dyDescent="0.35"/>
    <row r="1950" hidden="1" x14ac:dyDescent="0.35"/>
    <row r="1951" hidden="1" x14ac:dyDescent="0.35"/>
    <row r="1952" hidden="1" x14ac:dyDescent="0.35"/>
    <row r="1953" hidden="1" x14ac:dyDescent="0.35"/>
    <row r="1954" hidden="1" x14ac:dyDescent="0.35"/>
    <row r="1955" hidden="1" x14ac:dyDescent="0.35"/>
    <row r="1956" hidden="1" x14ac:dyDescent="0.35"/>
    <row r="1957" hidden="1" x14ac:dyDescent="0.35"/>
    <row r="1958" hidden="1" x14ac:dyDescent="0.35"/>
    <row r="1959" hidden="1" x14ac:dyDescent="0.35"/>
    <row r="1960" hidden="1" x14ac:dyDescent="0.35"/>
    <row r="1961" hidden="1" x14ac:dyDescent="0.35"/>
    <row r="1962" hidden="1" x14ac:dyDescent="0.35"/>
    <row r="1963" hidden="1" x14ac:dyDescent="0.35"/>
    <row r="1964" hidden="1" x14ac:dyDescent="0.35"/>
    <row r="1965" hidden="1" x14ac:dyDescent="0.35"/>
    <row r="1966" hidden="1" x14ac:dyDescent="0.35"/>
    <row r="1967" hidden="1" x14ac:dyDescent="0.35"/>
    <row r="1968" hidden="1" x14ac:dyDescent="0.35"/>
    <row r="1969" hidden="1" x14ac:dyDescent="0.35"/>
    <row r="1970" hidden="1" x14ac:dyDescent="0.35"/>
    <row r="1971" hidden="1" x14ac:dyDescent="0.35"/>
    <row r="1972" hidden="1" x14ac:dyDescent="0.35"/>
    <row r="1973" hidden="1" x14ac:dyDescent="0.35"/>
    <row r="1974" hidden="1" x14ac:dyDescent="0.35"/>
    <row r="1975" hidden="1" x14ac:dyDescent="0.35"/>
    <row r="1976" hidden="1" x14ac:dyDescent="0.35"/>
    <row r="1977" hidden="1" x14ac:dyDescent="0.35"/>
    <row r="1978" hidden="1" x14ac:dyDescent="0.35"/>
    <row r="1979" hidden="1" x14ac:dyDescent="0.35"/>
    <row r="1980" hidden="1" x14ac:dyDescent="0.35"/>
    <row r="1981" hidden="1" x14ac:dyDescent="0.35"/>
    <row r="1982" hidden="1" x14ac:dyDescent="0.35"/>
    <row r="1983" hidden="1" x14ac:dyDescent="0.35"/>
    <row r="1984" hidden="1" x14ac:dyDescent="0.35"/>
    <row r="1985" hidden="1" x14ac:dyDescent="0.35"/>
    <row r="1986" hidden="1" x14ac:dyDescent="0.35"/>
    <row r="1987" hidden="1" x14ac:dyDescent="0.35"/>
    <row r="1988" hidden="1" x14ac:dyDescent="0.35"/>
    <row r="1989" hidden="1" x14ac:dyDescent="0.35"/>
    <row r="1990" hidden="1" x14ac:dyDescent="0.35"/>
    <row r="1991" hidden="1" x14ac:dyDescent="0.35"/>
    <row r="1992" hidden="1" x14ac:dyDescent="0.35"/>
    <row r="1993" hidden="1" x14ac:dyDescent="0.35"/>
    <row r="1994" hidden="1" x14ac:dyDescent="0.35"/>
    <row r="1995" hidden="1" x14ac:dyDescent="0.35"/>
    <row r="1996" hidden="1" x14ac:dyDescent="0.35"/>
    <row r="1997" hidden="1" x14ac:dyDescent="0.35"/>
    <row r="1998" hidden="1" x14ac:dyDescent="0.35"/>
    <row r="1999" hidden="1" x14ac:dyDescent="0.35"/>
    <row r="2000" hidden="1" x14ac:dyDescent="0.35"/>
    <row r="2001" hidden="1" x14ac:dyDescent="0.35"/>
    <row r="2002" hidden="1" x14ac:dyDescent="0.35"/>
    <row r="2003" hidden="1" x14ac:dyDescent="0.35"/>
    <row r="2004" hidden="1" x14ac:dyDescent="0.35"/>
    <row r="2005" hidden="1" x14ac:dyDescent="0.35"/>
    <row r="2006" hidden="1" x14ac:dyDescent="0.35"/>
    <row r="2007" hidden="1" x14ac:dyDescent="0.35"/>
    <row r="2008" hidden="1" x14ac:dyDescent="0.35"/>
    <row r="2009" hidden="1" x14ac:dyDescent="0.35"/>
    <row r="2010" hidden="1" x14ac:dyDescent="0.35"/>
    <row r="2011" hidden="1" x14ac:dyDescent="0.35"/>
    <row r="2012" hidden="1" x14ac:dyDescent="0.35"/>
    <row r="2013" hidden="1" x14ac:dyDescent="0.35"/>
    <row r="2014" hidden="1" x14ac:dyDescent="0.35"/>
    <row r="2015" hidden="1" x14ac:dyDescent="0.35"/>
    <row r="2016" hidden="1" x14ac:dyDescent="0.35"/>
    <row r="2017" hidden="1" x14ac:dyDescent="0.35"/>
    <row r="2018" hidden="1" x14ac:dyDescent="0.35"/>
    <row r="2019" hidden="1" x14ac:dyDescent="0.35"/>
    <row r="2020" hidden="1" x14ac:dyDescent="0.35"/>
    <row r="2021" hidden="1" x14ac:dyDescent="0.35"/>
    <row r="2022" hidden="1" x14ac:dyDescent="0.35"/>
    <row r="2023" hidden="1" x14ac:dyDescent="0.35"/>
    <row r="2024" hidden="1" x14ac:dyDescent="0.35"/>
    <row r="2025" hidden="1" x14ac:dyDescent="0.35"/>
    <row r="2026" hidden="1" x14ac:dyDescent="0.35"/>
    <row r="2027" hidden="1" x14ac:dyDescent="0.35"/>
    <row r="2028" hidden="1" x14ac:dyDescent="0.35"/>
    <row r="2029" hidden="1" x14ac:dyDescent="0.35"/>
    <row r="2030" hidden="1" x14ac:dyDescent="0.35"/>
    <row r="2031" hidden="1" x14ac:dyDescent="0.35"/>
    <row r="2032" hidden="1" x14ac:dyDescent="0.35"/>
    <row r="2033" hidden="1" x14ac:dyDescent="0.35"/>
    <row r="2034" hidden="1" x14ac:dyDescent="0.35"/>
    <row r="2035" hidden="1" x14ac:dyDescent="0.35"/>
    <row r="2036" hidden="1" x14ac:dyDescent="0.35"/>
    <row r="2037" hidden="1" x14ac:dyDescent="0.35"/>
    <row r="2038" hidden="1" x14ac:dyDescent="0.35"/>
    <row r="2039" hidden="1" x14ac:dyDescent="0.35"/>
    <row r="2040" hidden="1" x14ac:dyDescent="0.35"/>
    <row r="2041" hidden="1" x14ac:dyDescent="0.35"/>
    <row r="2042" hidden="1" x14ac:dyDescent="0.35"/>
    <row r="2043" hidden="1" x14ac:dyDescent="0.35"/>
    <row r="2044" hidden="1" x14ac:dyDescent="0.35"/>
    <row r="2045" hidden="1" x14ac:dyDescent="0.35"/>
    <row r="2046" hidden="1" x14ac:dyDescent="0.35"/>
    <row r="2047" hidden="1" x14ac:dyDescent="0.35"/>
    <row r="2048" hidden="1" x14ac:dyDescent="0.35"/>
    <row r="2049" hidden="1" x14ac:dyDescent="0.35"/>
    <row r="2050" hidden="1" x14ac:dyDescent="0.35"/>
    <row r="2051" hidden="1" x14ac:dyDescent="0.35"/>
    <row r="2052" hidden="1" x14ac:dyDescent="0.35"/>
    <row r="2053" hidden="1" x14ac:dyDescent="0.35"/>
    <row r="2054" hidden="1" x14ac:dyDescent="0.35"/>
    <row r="2055" hidden="1" x14ac:dyDescent="0.35"/>
    <row r="2056" hidden="1" x14ac:dyDescent="0.35"/>
    <row r="2057" hidden="1" x14ac:dyDescent="0.35"/>
    <row r="2058" hidden="1" x14ac:dyDescent="0.35"/>
    <row r="2059" hidden="1" x14ac:dyDescent="0.35"/>
    <row r="2060" hidden="1" x14ac:dyDescent="0.35"/>
    <row r="2061" hidden="1" x14ac:dyDescent="0.35"/>
    <row r="2062" hidden="1" x14ac:dyDescent="0.35"/>
    <row r="2063" hidden="1" x14ac:dyDescent="0.35"/>
    <row r="2064" hidden="1" x14ac:dyDescent="0.35"/>
    <row r="2065" hidden="1" x14ac:dyDescent="0.35"/>
    <row r="2066" hidden="1" x14ac:dyDescent="0.35"/>
    <row r="2067" hidden="1" x14ac:dyDescent="0.35"/>
    <row r="2068" hidden="1" x14ac:dyDescent="0.35"/>
    <row r="2069" hidden="1" x14ac:dyDescent="0.35"/>
    <row r="2070" hidden="1" x14ac:dyDescent="0.35"/>
    <row r="2071" hidden="1" x14ac:dyDescent="0.35"/>
    <row r="2072" hidden="1" x14ac:dyDescent="0.35"/>
    <row r="2073" hidden="1" x14ac:dyDescent="0.35"/>
    <row r="2074" hidden="1" x14ac:dyDescent="0.35"/>
    <row r="2075" hidden="1" x14ac:dyDescent="0.35"/>
    <row r="2076" hidden="1" x14ac:dyDescent="0.35"/>
    <row r="2077" hidden="1" x14ac:dyDescent="0.35"/>
    <row r="2078" hidden="1" x14ac:dyDescent="0.35"/>
    <row r="2079" hidden="1" x14ac:dyDescent="0.35"/>
    <row r="2080" hidden="1" x14ac:dyDescent="0.35"/>
    <row r="2081" hidden="1" x14ac:dyDescent="0.35"/>
    <row r="2082" hidden="1" x14ac:dyDescent="0.35"/>
    <row r="2083" hidden="1" x14ac:dyDescent="0.35"/>
    <row r="2084" hidden="1" x14ac:dyDescent="0.35"/>
    <row r="2085" hidden="1" x14ac:dyDescent="0.35"/>
    <row r="2086" hidden="1" x14ac:dyDescent="0.35"/>
    <row r="2087" hidden="1" x14ac:dyDescent="0.35"/>
    <row r="2088" hidden="1" x14ac:dyDescent="0.35"/>
    <row r="2089" hidden="1" x14ac:dyDescent="0.35"/>
    <row r="2090" hidden="1" x14ac:dyDescent="0.35"/>
    <row r="2091" hidden="1" x14ac:dyDescent="0.35"/>
    <row r="2092" hidden="1" x14ac:dyDescent="0.35"/>
    <row r="2093" hidden="1" x14ac:dyDescent="0.35"/>
    <row r="2094" hidden="1" x14ac:dyDescent="0.35"/>
    <row r="2095" hidden="1" x14ac:dyDescent="0.35"/>
    <row r="2096" hidden="1" x14ac:dyDescent="0.35"/>
    <row r="2097" hidden="1" x14ac:dyDescent="0.35"/>
    <row r="2098" hidden="1" x14ac:dyDescent="0.35"/>
    <row r="2099" hidden="1" x14ac:dyDescent="0.35"/>
    <row r="2100" hidden="1" x14ac:dyDescent="0.35"/>
    <row r="2101" hidden="1" x14ac:dyDescent="0.35"/>
    <row r="2102" hidden="1" x14ac:dyDescent="0.35"/>
    <row r="2103" hidden="1" x14ac:dyDescent="0.35"/>
    <row r="2104" hidden="1" x14ac:dyDescent="0.35"/>
    <row r="2105" hidden="1" x14ac:dyDescent="0.35"/>
    <row r="2106" hidden="1" x14ac:dyDescent="0.35"/>
    <row r="2107" hidden="1" x14ac:dyDescent="0.35"/>
    <row r="2108" hidden="1" x14ac:dyDescent="0.35"/>
    <row r="2109" hidden="1" x14ac:dyDescent="0.35"/>
    <row r="2110" hidden="1" x14ac:dyDescent="0.35"/>
    <row r="2111" hidden="1" x14ac:dyDescent="0.35"/>
    <row r="2112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hidden="1" x14ac:dyDescent="0.35"/>
    <row r="2130" hidden="1" x14ac:dyDescent="0.35"/>
    <row r="2131" hidden="1" x14ac:dyDescent="0.35"/>
    <row r="2132" hidden="1" x14ac:dyDescent="0.35"/>
    <row r="2133" hidden="1" x14ac:dyDescent="0.35"/>
    <row r="2134" hidden="1" x14ac:dyDescent="0.35"/>
    <row r="2135" hidden="1" x14ac:dyDescent="0.35"/>
    <row r="2136" hidden="1" x14ac:dyDescent="0.35"/>
    <row r="2137" hidden="1" x14ac:dyDescent="0.35"/>
    <row r="2138" hidden="1" x14ac:dyDescent="0.35"/>
    <row r="2139" hidden="1" x14ac:dyDescent="0.35"/>
    <row r="2140" hidden="1" x14ac:dyDescent="0.35"/>
    <row r="2141" hidden="1" x14ac:dyDescent="0.35"/>
    <row r="2142" hidden="1" x14ac:dyDescent="0.35"/>
    <row r="2143" hidden="1" x14ac:dyDescent="0.35"/>
    <row r="2144" hidden="1" x14ac:dyDescent="0.35"/>
    <row r="2145" hidden="1" x14ac:dyDescent="0.35"/>
    <row r="2146" hidden="1" x14ac:dyDescent="0.35"/>
    <row r="2147" hidden="1" x14ac:dyDescent="0.35"/>
    <row r="2148" hidden="1" x14ac:dyDescent="0.35"/>
    <row r="2149" hidden="1" x14ac:dyDescent="0.35"/>
    <row r="2150" hidden="1" x14ac:dyDescent="0.35"/>
    <row r="2151" hidden="1" x14ac:dyDescent="0.35"/>
    <row r="2152" hidden="1" x14ac:dyDescent="0.35"/>
    <row r="2153" hidden="1" x14ac:dyDescent="0.35"/>
    <row r="2154" hidden="1" x14ac:dyDescent="0.35"/>
    <row r="2155" hidden="1" x14ac:dyDescent="0.35"/>
    <row r="2156" hidden="1" x14ac:dyDescent="0.35"/>
    <row r="2157" hidden="1" x14ac:dyDescent="0.35"/>
    <row r="2158" hidden="1" x14ac:dyDescent="0.35"/>
    <row r="2159" hidden="1" x14ac:dyDescent="0.35"/>
    <row r="2160" hidden="1" x14ac:dyDescent="0.35"/>
    <row r="2161" hidden="1" x14ac:dyDescent="0.35"/>
    <row r="2162" hidden="1" x14ac:dyDescent="0.35"/>
    <row r="2163" hidden="1" x14ac:dyDescent="0.35"/>
    <row r="2164" hidden="1" x14ac:dyDescent="0.35"/>
    <row r="2165" hidden="1" x14ac:dyDescent="0.35"/>
    <row r="2166" hidden="1" x14ac:dyDescent="0.35"/>
    <row r="2167" hidden="1" x14ac:dyDescent="0.35"/>
    <row r="2168" hidden="1" x14ac:dyDescent="0.35"/>
    <row r="2169" hidden="1" x14ac:dyDescent="0.35"/>
    <row r="2170" hidden="1" x14ac:dyDescent="0.35"/>
    <row r="2171" hidden="1" x14ac:dyDescent="0.35"/>
    <row r="2172" hidden="1" x14ac:dyDescent="0.35"/>
    <row r="2173" hidden="1" x14ac:dyDescent="0.35"/>
    <row r="2174" hidden="1" x14ac:dyDescent="0.35"/>
    <row r="2175" hidden="1" x14ac:dyDescent="0.35"/>
    <row r="2176" hidden="1" x14ac:dyDescent="0.35"/>
    <row r="2177" hidden="1" x14ac:dyDescent="0.35"/>
    <row r="2178" hidden="1" x14ac:dyDescent="0.35"/>
    <row r="2179" hidden="1" x14ac:dyDescent="0.35"/>
    <row r="2180" hidden="1" x14ac:dyDescent="0.35"/>
    <row r="2181" hidden="1" x14ac:dyDescent="0.35"/>
    <row r="2182" hidden="1" x14ac:dyDescent="0.35"/>
    <row r="2183" hidden="1" x14ac:dyDescent="0.35"/>
    <row r="2184" hidden="1" x14ac:dyDescent="0.35"/>
    <row r="2185" hidden="1" x14ac:dyDescent="0.35"/>
    <row r="2186" hidden="1" x14ac:dyDescent="0.35"/>
    <row r="2187" hidden="1" x14ac:dyDescent="0.35"/>
    <row r="2188" hidden="1" x14ac:dyDescent="0.35"/>
    <row r="2189" hidden="1" x14ac:dyDescent="0.35"/>
    <row r="2190" hidden="1" x14ac:dyDescent="0.35"/>
    <row r="2191" hidden="1" x14ac:dyDescent="0.35"/>
    <row r="2192" hidden="1" x14ac:dyDescent="0.35"/>
    <row r="2193" hidden="1" x14ac:dyDescent="0.35"/>
    <row r="2194" hidden="1" x14ac:dyDescent="0.35"/>
    <row r="2195" hidden="1" x14ac:dyDescent="0.35"/>
    <row r="2196" hidden="1" x14ac:dyDescent="0.35"/>
    <row r="2197" hidden="1" x14ac:dyDescent="0.35"/>
    <row r="2198" hidden="1" x14ac:dyDescent="0.35"/>
    <row r="2199" hidden="1" x14ac:dyDescent="0.35"/>
    <row r="2200" hidden="1" x14ac:dyDescent="0.35"/>
    <row r="2201" hidden="1" x14ac:dyDescent="0.35"/>
    <row r="2202" hidden="1" x14ac:dyDescent="0.35"/>
    <row r="2203" hidden="1" x14ac:dyDescent="0.35"/>
    <row r="2204" hidden="1" x14ac:dyDescent="0.35"/>
    <row r="2205" hidden="1" x14ac:dyDescent="0.35"/>
    <row r="2206" hidden="1" x14ac:dyDescent="0.35"/>
    <row r="2207" hidden="1" x14ac:dyDescent="0.35"/>
    <row r="2208" hidden="1" x14ac:dyDescent="0.35"/>
    <row r="2209" hidden="1" x14ac:dyDescent="0.35"/>
    <row r="2210" hidden="1" x14ac:dyDescent="0.35"/>
    <row r="2211" hidden="1" x14ac:dyDescent="0.35"/>
    <row r="2212" hidden="1" x14ac:dyDescent="0.35"/>
    <row r="2213" hidden="1" x14ac:dyDescent="0.35"/>
    <row r="2214" hidden="1" x14ac:dyDescent="0.35"/>
    <row r="2215" hidden="1" x14ac:dyDescent="0.35"/>
    <row r="2216" hidden="1" x14ac:dyDescent="0.35"/>
    <row r="2217" hidden="1" x14ac:dyDescent="0.35"/>
    <row r="2218" hidden="1" x14ac:dyDescent="0.35"/>
    <row r="2219" hidden="1" x14ac:dyDescent="0.35"/>
    <row r="2220" hidden="1" x14ac:dyDescent="0.35"/>
    <row r="2221" hidden="1" x14ac:dyDescent="0.35"/>
    <row r="2222" hidden="1" x14ac:dyDescent="0.35"/>
    <row r="2223" hidden="1" x14ac:dyDescent="0.35"/>
    <row r="2224" hidden="1" x14ac:dyDescent="0.35"/>
    <row r="2225" hidden="1" x14ac:dyDescent="0.35"/>
    <row r="2226" hidden="1" x14ac:dyDescent="0.35"/>
    <row r="2227" hidden="1" x14ac:dyDescent="0.35"/>
    <row r="2228" hidden="1" x14ac:dyDescent="0.35"/>
    <row r="2229" hidden="1" x14ac:dyDescent="0.35"/>
    <row r="2230" hidden="1" x14ac:dyDescent="0.35"/>
    <row r="2231" hidden="1" x14ac:dyDescent="0.35"/>
    <row r="2232" hidden="1" x14ac:dyDescent="0.35"/>
    <row r="2233" hidden="1" x14ac:dyDescent="0.35"/>
    <row r="2234" hidden="1" x14ac:dyDescent="0.35"/>
    <row r="2235" hidden="1" x14ac:dyDescent="0.35"/>
    <row r="2236" hidden="1" x14ac:dyDescent="0.35"/>
    <row r="2237" hidden="1" x14ac:dyDescent="0.35"/>
    <row r="2238" hidden="1" x14ac:dyDescent="0.35"/>
    <row r="2239" hidden="1" x14ac:dyDescent="0.35"/>
    <row r="2240" hidden="1" x14ac:dyDescent="0.35"/>
    <row r="2241" hidden="1" x14ac:dyDescent="0.35"/>
    <row r="2242" hidden="1" x14ac:dyDescent="0.35"/>
    <row r="2243" hidden="1" x14ac:dyDescent="0.35"/>
    <row r="2244" hidden="1" x14ac:dyDescent="0.35"/>
    <row r="2245" hidden="1" x14ac:dyDescent="0.35"/>
    <row r="2246" hidden="1" x14ac:dyDescent="0.35"/>
    <row r="2247" hidden="1" x14ac:dyDescent="0.35"/>
    <row r="2248" hidden="1" x14ac:dyDescent="0.35"/>
    <row r="2249" hidden="1" x14ac:dyDescent="0.35"/>
    <row r="2250" hidden="1" x14ac:dyDescent="0.35"/>
    <row r="2251" hidden="1" x14ac:dyDescent="0.35"/>
    <row r="2252" hidden="1" x14ac:dyDescent="0.35"/>
    <row r="2253" hidden="1" x14ac:dyDescent="0.35"/>
    <row r="2254" hidden="1" x14ac:dyDescent="0.35"/>
    <row r="2255" hidden="1" x14ac:dyDescent="0.35"/>
    <row r="2256" hidden="1" x14ac:dyDescent="0.35"/>
    <row r="2257" hidden="1" x14ac:dyDescent="0.35"/>
    <row r="2258" hidden="1" x14ac:dyDescent="0.35"/>
    <row r="2259" hidden="1" x14ac:dyDescent="0.35"/>
    <row r="2260" hidden="1" x14ac:dyDescent="0.35"/>
    <row r="2261" hidden="1" x14ac:dyDescent="0.35"/>
    <row r="2262" hidden="1" x14ac:dyDescent="0.35"/>
    <row r="2263" hidden="1" x14ac:dyDescent="0.35"/>
    <row r="2264" hidden="1" x14ac:dyDescent="0.35"/>
    <row r="2265" hidden="1" x14ac:dyDescent="0.35"/>
    <row r="2266" hidden="1" x14ac:dyDescent="0.35"/>
    <row r="2267" hidden="1" x14ac:dyDescent="0.35"/>
    <row r="2268" hidden="1" x14ac:dyDescent="0.35"/>
    <row r="2269" hidden="1" x14ac:dyDescent="0.35"/>
    <row r="2270" hidden="1" x14ac:dyDescent="0.35"/>
    <row r="2271" hidden="1" x14ac:dyDescent="0.35"/>
    <row r="2272" hidden="1" x14ac:dyDescent="0.35"/>
    <row r="2273" hidden="1" x14ac:dyDescent="0.35"/>
    <row r="2274" hidden="1" x14ac:dyDescent="0.35"/>
    <row r="2275" hidden="1" x14ac:dyDescent="0.35"/>
    <row r="2276" hidden="1" x14ac:dyDescent="0.35"/>
    <row r="2277" hidden="1" x14ac:dyDescent="0.35"/>
    <row r="2278" hidden="1" x14ac:dyDescent="0.35"/>
    <row r="2279" hidden="1" x14ac:dyDescent="0.35"/>
    <row r="2280" hidden="1" x14ac:dyDescent="0.35"/>
    <row r="2281" hidden="1" x14ac:dyDescent="0.35"/>
    <row r="2282" hidden="1" x14ac:dyDescent="0.35"/>
    <row r="2283" hidden="1" x14ac:dyDescent="0.35"/>
    <row r="2284" hidden="1" x14ac:dyDescent="0.35"/>
    <row r="2285" hidden="1" x14ac:dyDescent="0.35"/>
    <row r="2286" hidden="1" x14ac:dyDescent="0.35"/>
    <row r="2287" hidden="1" x14ac:dyDescent="0.35"/>
    <row r="2288" hidden="1" x14ac:dyDescent="0.35"/>
    <row r="2289" hidden="1" x14ac:dyDescent="0.35"/>
    <row r="2290" hidden="1" x14ac:dyDescent="0.35"/>
    <row r="2291" hidden="1" x14ac:dyDescent="0.35"/>
    <row r="2292" hidden="1" x14ac:dyDescent="0.35"/>
    <row r="2293" hidden="1" x14ac:dyDescent="0.35"/>
    <row r="2294" hidden="1" x14ac:dyDescent="0.35"/>
    <row r="2295" hidden="1" x14ac:dyDescent="0.35"/>
    <row r="2296" hidden="1" x14ac:dyDescent="0.35"/>
    <row r="2297" hidden="1" x14ac:dyDescent="0.35"/>
    <row r="2298" hidden="1" x14ac:dyDescent="0.35"/>
    <row r="2299" hidden="1" x14ac:dyDescent="0.35"/>
    <row r="2300" hidden="1" x14ac:dyDescent="0.35"/>
    <row r="2301" hidden="1" x14ac:dyDescent="0.35"/>
    <row r="2302" hidden="1" x14ac:dyDescent="0.35"/>
    <row r="2303" hidden="1" x14ac:dyDescent="0.35"/>
    <row r="2304" hidden="1" x14ac:dyDescent="0.35"/>
    <row r="2305" hidden="1" x14ac:dyDescent="0.35"/>
    <row r="2306" hidden="1" x14ac:dyDescent="0.35"/>
    <row r="2307" hidden="1" x14ac:dyDescent="0.35"/>
    <row r="2308" hidden="1" x14ac:dyDescent="0.35"/>
    <row r="2309" hidden="1" x14ac:dyDescent="0.35"/>
    <row r="2310" hidden="1" x14ac:dyDescent="0.35"/>
    <row r="2311" hidden="1" x14ac:dyDescent="0.35"/>
    <row r="2312" hidden="1" x14ac:dyDescent="0.35"/>
    <row r="2313" hidden="1" x14ac:dyDescent="0.35"/>
    <row r="2314" hidden="1" x14ac:dyDescent="0.35"/>
    <row r="2315" hidden="1" x14ac:dyDescent="0.35"/>
    <row r="2316" hidden="1" x14ac:dyDescent="0.35"/>
    <row r="2317" hidden="1" x14ac:dyDescent="0.35"/>
    <row r="2318" hidden="1" x14ac:dyDescent="0.35"/>
    <row r="2319" hidden="1" x14ac:dyDescent="0.35"/>
    <row r="2320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hidden="1" x14ac:dyDescent="0.35"/>
    <row r="2338" hidden="1" x14ac:dyDescent="0.35"/>
    <row r="2339" hidden="1" x14ac:dyDescent="0.35"/>
    <row r="2340" hidden="1" x14ac:dyDescent="0.35"/>
    <row r="2341" hidden="1" x14ac:dyDescent="0.35"/>
    <row r="2342" hidden="1" x14ac:dyDescent="0.35"/>
    <row r="2343" hidden="1" x14ac:dyDescent="0.35"/>
    <row r="2344" hidden="1" x14ac:dyDescent="0.35"/>
    <row r="2345" hidden="1" x14ac:dyDescent="0.35"/>
    <row r="2346" hidden="1" x14ac:dyDescent="0.35"/>
    <row r="2347" hidden="1" x14ac:dyDescent="0.35"/>
    <row r="2348" hidden="1" x14ac:dyDescent="0.35"/>
    <row r="2349" hidden="1" x14ac:dyDescent="0.35"/>
    <row r="2350" hidden="1" x14ac:dyDescent="0.35"/>
    <row r="2351" hidden="1" x14ac:dyDescent="0.35"/>
    <row r="2352" hidden="1" x14ac:dyDescent="0.35"/>
    <row r="2353" hidden="1" x14ac:dyDescent="0.35"/>
    <row r="2354" hidden="1" x14ac:dyDescent="0.35"/>
    <row r="2355" hidden="1" x14ac:dyDescent="0.35"/>
    <row r="2356" hidden="1" x14ac:dyDescent="0.35"/>
    <row r="2357" hidden="1" x14ac:dyDescent="0.35"/>
    <row r="2358" hidden="1" x14ac:dyDescent="0.35"/>
    <row r="2359" hidden="1" x14ac:dyDescent="0.35"/>
    <row r="2360" hidden="1" x14ac:dyDescent="0.35"/>
    <row r="2361" hidden="1" x14ac:dyDescent="0.35"/>
    <row r="2362" hidden="1" x14ac:dyDescent="0.35"/>
    <row r="2363" hidden="1" x14ac:dyDescent="0.35"/>
    <row r="2364" hidden="1" x14ac:dyDescent="0.35"/>
    <row r="2365" hidden="1" x14ac:dyDescent="0.35"/>
    <row r="2366" hidden="1" x14ac:dyDescent="0.35"/>
    <row r="2367" hidden="1" x14ac:dyDescent="0.35"/>
    <row r="2368" hidden="1" x14ac:dyDescent="0.35"/>
    <row r="2369" hidden="1" x14ac:dyDescent="0.35"/>
    <row r="2370" hidden="1" x14ac:dyDescent="0.35"/>
    <row r="2371" hidden="1" x14ac:dyDescent="0.35"/>
    <row r="2372" hidden="1" x14ac:dyDescent="0.35"/>
    <row r="2373" hidden="1" x14ac:dyDescent="0.35"/>
    <row r="2374" hidden="1" x14ac:dyDescent="0.35"/>
    <row r="2375" hidden="1" x14ac:dyDescent="0.35"/>
    <row r="2376" hidden="1" x14ac:dyDescent="0.35"/>
    <row r="2377" hidden="1" x14ac:dyDescent="0.35"/>
    <row r="2378" hidden="1" x14ac:dyDescent="0.35"/>
    <row r="2379" hidden="1" x14ac:dyDescent="0.35"/>
    <row r="2380" hidden="1" x14ac:dyDescent="0.35"/>
    <row r="2381" hidden="1" x14ac:dyDescent="0.35"/>
    <row r="2382" hidden="1" x14ac:dyDescent="0.35"/>
    <row r="2383" hidden="1" x14ac:dyDescent="0.35"/>
    <row r="2384" hidden="1" x14ac:dyDescent="0.35"/>
    <row r="2385" hidden="1" x14ac:dyDescent="0.35"/>
    <row r="2386" hidden="1" x14ac:dyDescent="0.35"/>
    <row r="2387" hidden="1" x14ac:dyDescent="0.35"/>
    <row r="2388" hidden="1" x14ac:dyDescent="0.35"/>
    <row r="2389" hidden="1" x14ac:dyDescent="0.35"/>
    <row r="2390" hidden="1" x14ac:dyDescent="0.35"/>
    <row r="2391" hidden="1" x14ac:dyDescent="0.35"/>
    <row r="2392" hidden="1" x14ac:dyDescent="0.35"/>
    <row r="2393" hidden="1" x14ac:dyDescent="0.35"/>
    <row r="2394" hidden="1" x14ac:dyDescent="0.35"/>
    <row r="2395" hidden="1" x14ac:dyDescent="0.35"/>
    <row r="2396" hidden="1" x14ac:dyDescent="0.35"/>
    <row r="2397" hidden="1" x14ac:dyDescent="0.35"/>
    <row r="2398" hidden="1" x14ac:dyDescent="0.35"/>
    <row r="2399" hidden="1" x14ac:dyDescent="0.35"/>
    <row r="2400" hidden="1" x14ac:dyDescent="0.35"/>
    <row r="2401" hidden="1" x14ac:dyDescent="0.35"/>
    <row r="2402" hidden="1" x14ac:dyDescent="0.35"/>
    <row r="2403" hidden="1" x14ac:dyDescent="0.35"/>
    <row r="2404" hidden="1" x14ac:dyDescent="0.35"/>
    <row r="2405" hidden="1" x14ac:dyDescent="0.35"/>
    <row r="2406" hidden="1" x14ac:dyDescent="0.35"/>
    <row r="2407" hidden="1" x14ac:dyDescent="0.35"/>
    <row r="2408" hidden="1" x14ac:dyDescent="0.35"/>
    <row r="2409" hidden="1" x14ac:dyDescent="0.35"/>
    <row r="2410" hidden="1" x14ac:dyDescent="0.35"/>
    <row r="2411" hidden="1" x14ac:dyDescent="0.35"/>
    <row r="2412" hidden="1" x14ac:dyDescent="0.35"/>
    <row r="2413" hidden="1" x14ac:dyDescent="0.35"/>
    <row r="2414" hidden="1" x14ac:dyDescent="0.35"/>
    <row r="2415" hidden="1" x14ac:dyDescent="0.35"/>
    <row r="2416" hidden="1" x14ac:dyDescent="0.35"/>
    <row r="2417" hidden="1" x14ac:dyDescent="0.35"/>
    <row r="2418" hidden="1" x14ac:dyDescent="0.35"/>
    <row r="2419" hidden="1" x14ac:dyDescent="0.35"/>
    <row r="2420" hidden="1" x14ac:dyDescent="0.35"/>
    <row r="2421" hidden="1" x14ac:dyDescent="0.35"/>
    <row r="2422" hidden="1" x14ac:dyDescent="0.35"/>
    <row r="2423" hidden="1" x14ac:dyDescent="0.35"/>
    <row r="2424" hidden="1" x14ac:dyDescent="0.35"/>
    <row r="2425" hidden="1" x14ac:dyDescent="0.35"/>
    <row r="2426" hidden="1" x14ac:dyDescent="0.35"/>
    <row r="2427" hidden="1" x14ac:dyDescent="0.35"/>
    <row r="2428" hidden="1" x14ac:dyDescent="0.35"/>
    <row r="2429" hidden="1" x14ac:dyDescent="0.35"/>
    <row r="2430" hidden="1" x14ac:dyDescent="0.35"/>
    <row r="2431" hidden="1" x14ac:dyDescent="0.35"/>
    <row r="2432" hidden="1" x14ac:dyDescent="0.35"/>
    <row r="2433" hidden="1" x14ac:dyDescent="0.35"/>
    <row r="2434" hidden="1" x14ac:dyDescent="0.35"/>
    <row r="2435" hidden="1" x14ac:dyDescent="0.35"/>
    <row r="2436" hidden="1" x14ac:dyDescent="0.35"/>
    <row r="2437" hidden="1" x14ac:dyDescent="0.35"/>
    <row r="2438" hidden="1" x14ac:dyDescent="0.35"/>
    <row r="2439" hidden="1" x14ac:dyDescent="0.35"/>
    <row r="2440" hidden="1" x14ac:dyDescent="0.35"/>
    <row r="2441" hidden="1" x14ac:dyDescent="0.35"/>
    <row r="2442" hidden="1" x14ac:dyDescent="0.35"/>
    <row r="2443" hidden="1" x14ac:dyDescent="0.35"/>
    <row r="2444" hidden="1" x14ac:dyDescent="0.35"/>
    <row r="2445" hidden="1" x14ac:dyDescent="0.35"/>
    <row r="2446" hidden="1" x14ac:dyDescent="0.35"/>
    <row r="2447" hidden="1" x14ac:dyDescent="0.35"/>
    <row r="2448" hidden="1" x14ac:dyDescent="0.35"/>
    <row r="2449" hidden="1" x14ac:dyDescent="0.35"/>
    <row r="2450" hidden="1" x14ac:dyDescent="0.35"/>
    <row r="2451" hidden="1" x14ac:dyDescent="0.35"/>
    <row r="2452" hidden="1" x14ac:dyDescent="0.35"/>
    <row r="2453" hidden="1" x14ac:dyDescent="0.35"/>
    <row r="2454" hidden="1" x14ac:dyDescent="0.35"/>
    <row r="2455" hidden="1" x14ac:dyDescent="0.35"/>
    <row r="2456" hidden="1" x14ac:dyDescent="0.35"/>
    <row r="2457" hidden="1" x14ac:dyDescent="0.35"/>
    <row r="2458" hidden="1" x14ac:dyDescent="0.35"/>
    <row r="2459" hidden="1" x14ac:dyDescent="0.35"/>
    <row r="2460" hidden="1" x14ac:dyDescent="0.35"/>
    <row r="2461" hidden="1" x14ac:dyDescent="0.35"/>
    <row r="2462" hidden="1" x14ac:dyDescent="0.35"/>
    <row r="2463" hidden="1" x14ac:dyDescent="0.35"/>
    <row r="2464" hidden="1" x14ac:dyDescent="0.35"/>
    <row r="2465" hidden="1" x14ac:dyDescent="0.35"/>
    <row r="2466" hidden="1" x14ac:dyDescent="0.35"/>
    <row r="2467" hidden="1" x14ac:dyDescent="0.35"/>
    <row r="2468" hidden="1" x14ac:dyDescent="0.35"/>
    <row r="2469" hidden="1" x14ac:dyDescent="0.35"/>
    <row r="2470" hidden="1" x14ac:dyDescent="0.35"/>
    <row r="2471" hidden="1" x14ac:dyDescent="0.35"/>
    <row r="2472" hidden="1" x14ac:dyDescent="0.35"/>
    <row r="2473" hidden="1" x14ac:dyDescent="0.35"/>
    <row r="2474" hidden="1" x14ac:dyDescent="0.35"/>
    <row r="2475" hidden="1" x14ac:dyDescent="0.35"/>
    <row r="2476" hidden="1" x14ac:dyDescent="0.35"/>
    <row r="2477" hidden="1" x14ac:dyDescent="0.35"/>
    <row r="2478" hidden="1" x14ac:dyDescent="0.35"/>
    <row r="2479" hidden="1" x14ac:dyDescent="0.35"/>
    <row r="2480" hidden="1" x14ac:dyDescent="0.35"/>
    <row r="2481" hidden="1" x14ac:dyDescent="0.35"/>
    <row r="2482" hidden="1" x14ac:dyDescent="0.35"/>
    <row r="2483" hidden="1" x14ac:dyDescent="0.35"/>
    <row r="2484" hidden="1" x14ac:dyDescent="0.35"/>
    <row r="2485" hidden="1" x14ac:dyDescent="0.35"/>
    <row r="2486" hidden="1" x14ac:dyDescent="0.35"/>
    <row r="2487" hidden="1" x14ac:dyDescent="0.35"/>
    <row r="2488" hidden="1" x14ac:dyDescent="0.35"/>
    <row r="2489" hidden="1" x14ac:dyDescent="0.35"/>
    <row r="2490" hidden="1" x14ac:dyDescent="0.35"/>
    <row r="2491" hidden="1" x14ac:dyDescent="0.35"/>
    <row r="2492" hidden="1" x14ac:dyDescent="0.35"/>
    <row r="2493" hidden="1" x14ac:dyDescent="0.35"/>
    <row r="2494" hidden="1" x14ac:dyDescent="0.35"/>
    <row r="2495" hidden="1" x14ac:dyDescent="0.35"/>
    <row r="2496" hidden="1" x14ac:dyDescent="0.35"/>
    <row r="2497" hidden="1" x14ac:dyDescent="0.35"/>
    <row r="2498" hidden="1" x14ac:dyDescent="0.35"/>
    <row r="2499" hidden="1" x14ac:dyDescent="0.35"/>
    <row r="2500" hidden="1" x14ac:dyDescent="0.35"/>
    <row r="2501" hidden="1" x14ac:dyDescent="0.35"/>
    <row r="2502" hidden="1" x14ac:dyDescent="0.35"/>
    <row r="2503" hidden="1" x14ac:dyDescent="0.35"/>
    <row r="2504" hidden="1" x14ac:dyDescent="0.35"/>
    <row r="2505" hidden="1" x14ac:dyDescent="0.35"/>
    <row r="2506" hidden="1" x14ac:dyDescent="0.35"/>
    <row r="2507" hidden="1" x14ac:dyDescent="0.35"/>
    <row r="2508" hidden="1" x14ac:dyDescent="0.35"/>
    <row r="2509" hidden="1" x14ac:dyDescent="0.35"/>
    <row r="2510" hidden="1" x14ac:dyDescent="0.35"/>
    <row r="2511" hidden="1" x14ac:dyDescent="0.35"/>
    <row r="2512" hidden="1" x14ac:dyDescent="0.35"/>
    <row r="2513" hidden="1" x14ac:dyDescent="0.35"/>
    <row r="2514" hidden="1" x14ac:dyDescent="0.35"/>
    <row r="2515" hidden="1" x14ac:dyDescent="0.35"/>
    <row r="2516" hidden="1" x14ac:dyDescent="0.35"/>
    <row r="2517" hidden="1" x14ac:dyDescent="0.35"/>
    <row r="2518" hidden="1" x14ac:dyDescent="0.35"/>
    <row r="2519" hidden="1" x14ac:dyDescent="0.35"/>
    <row r="2520" hidden="1" x14ac:dyDescent="0.35"/>
    <row r="2521" hidden="1" x14ac:dyDescent="0.35"/>
    <row r="2522" hidden="1" x14ac:dyDescent="0.35"/>
    <row r="2523" hidden="1" x14ac:dyDescent="0.35"/>
    <row r="2524" hidden="1" x14ac:dyDescent="0.35"/>
    <row r="2525" hidden="1" x14ac:dyDescent="0.35"/>
    <row r="2526" hidden="1" x14ac:dyDescent="0.35"/>
    <row r="2527" hidden="1" x14ac:dyDescent="0.35"/>
    <row r="2528" hidden="1" x14ac:dyDescent="0.35"/>
    <row r="2529" hidden="1" x14ac:dyDescent="0.35"/>
    <row r="2530" hidden="1" x14ac:dyDescent="0.35"/>
    <row r="2531" hidden="1" x14ac:dyDescent="0.35"/>
    <row r="2532" hidden="1" x14ac:dyDescent="0.35"/>
    <row r="2533" hidden="1" x14ac:dyDescent="0.35"/>
    <row r="2534" hidden="1" x14ac:dyDescent="0.35"/>
    <row r="2535" hidden="1" x14ac:dyDescent="0.35"/>
    <row r="2536" hidden="1" x14ac:dyDescent="0.35"/>
    <row r="2537" hidden="1" x14ac:dyDescent="0.35"/>
    <row r="2538" hidden="1" x14ac:dyDescent="0.35"/>
    <row r="2539" hidden="1" x14ac:dyDescent="0.35"/>
    <row r="2540" hidden="1" x14ac:dyDescent="0.35"/>
    <row r="2541" hidden="1" x14ac:dyDescent="0.35"/>
    <row r="2542" hidden="1" x14ac:dyDescent="0.35"/>
    <row r="2543" hidden="1" x14ac:dyDescent="0.35"/>
    <row r="2544" hidden="1" x14ac:dyDescent="0.35"/>
    <row r="2545" hidden="1" x14ac:dyDescent="0.35"/>
    <row r="2546" hidden="1" x14ac:dyDescent="0.35"/>
    <row r="2547" hidden="1" x14ac:dyDescent="0.35"/>
    <row r="2548" hidden="1" x14ac:dyDescent="0.35"/>
    <row r="2549" hidden="1" x14ac:dyDescent="0.35"/>
    <row r="2550" hidden="1" x14ac:dyDescent="0.35"/>
    <row r="2551" hidden="1" x14ac:dyDescent="0.35"/>
    <row r="2552" hidden="1" x14ac:dyDescent="0.35"/>
    <row r="2553" hidden="1" x14ac:dyDescent="0.35"/>
    <row r="2554" hidden="1" x14ac:dyDescent="0.35"/>
    <row r="2555" hidden="1" x14ac:dyDescent="0.35"/>
    <row r="2556" hidden="1" x14ac:dyDescent="0.35"/>
    <row r="2557" hidden="1" x14ac:dyDescent="0.35"/>
    <row r="2558" hidden="1" x14ac:dyDescent="0.35"/>
    <row r="2559" hidden="1" x14ac:dyDescent="0.35"/>
    <row r="2560" hidden="1" x14ac:dyDescent="0.35"/>
    <row r="2561" hidden="1" x14ac:dyDescent="0.35"/>
    <row r="2562" hidden="1" x14ac:dyDescent="0.35"/>
    <row r="2563" hidden="1" x14ac:dyDescent="0.35"/>
    <row r="2564" hidden="1" x14ac:dyDescent="0.35"/>
    <row r="2565" hidden="1" x14ac:dyDescent="0.35"/>
    <row r="2566" hidden="1" x14ac:dyDescent="0.35"/>
    <row r="2567" hidden="1" x14ac:dyDescent="0.35"/>
    <row r="2568" hidden="1" x14ac:dyDescent="0.35"/>
    <row r="2569" hidden="1" x14ac:dyDescent="0.35"/>
    <row r="2570" hidden="1" x14ac:dyDescent="0.35"/>
    <row r="2571" hidden="1" x14ac:dyDescent="0.35"/>
    <row r="2572" hidden="1" x14ac:dyDescent="0.35"/>
    <row r="2573" hidden="1" x14ac:dyDescent="0.35"/>
    <row r="2574" hidden="1" x14ac:dyDescent="0.35"/>
    <row r="2575" hidden="1" x14ac:dyDescent="0.35"/>
    <row r="2576" hidden="1" x14ac:dyDescent="0.35"/>
    <row r="2577" hidden="1" x14ac:dyDescent="0.35"/>
    <row r="2578" hidden="1" x14ac:dyDescent="0.35"/>
    <row r="2579" hidden="1" x14ac:dyDescent="0.35"/>
    <row r="2580" hidden="1" x14ac:dyDescent="0.35"/>
    <row r="2581" hidden="1" x14ac:dyDescent="0.35"/>
    <row r="2582" hidden="1" x14ac:dyDescent="0.35"/>
    <row r="2583" hidden="1" x14ac:dyDescent="0.35"/>
    <row r="2584" hidden="1" x14ac:dyDescent="0.35"/>
    <row r="2585" hidden="1" x14ac:dyDescent="0.35"/>
    <row r="2586" hidden="1" x14ac:dyDescent="0.35"/>
    <row r="2587" hidden="1" x14ac:dyDescent="0.35"/>
    <row r="2588" hidden="1" x14ac:dyDescent="0.35"/>
    <row r="2589" hidden="1" x14ac:dyDescent="0.35"/>
    <row r="2590" hidden="1" x14ac:dyDescent="0.35"/>
    <row r="2591" hidden="1" x14ac:dyDescent="0.35"/>
    <row r="2592" hidden="1" x14ac:dyDescent="0.35"/>
    <row r="2593" hidden="1" x14ac:dyDescent="0.35"/>
    <row r="2594" hidden="1" x14ac:dyDescent="0.35"/>
    <row r="2595" hidden="1" x14ac:dyDescent="0.35"/>
    <row r="2596" hidden="1" x14ac:dyDescent="0.35"/>
    <row r="2597" hidden="1" x14ac:dyDescent="0.35"/>
    <row r="2598" hidden="1" x14ac:dyDescent="0.35"/>
    <row r="2599" hidden="1" x14ac:dyDescent="0.35"/>
    <row r="2600" hidden="1" x14ac:dyDescent="0.35"/>
    <row r="2601" hidden="1" x14ac:dyDescent="0.35"/>
    <row r="2602" hidden="1" x14ac:dyDescent="0.35"/>
    <row r="2603" hidden="1" x14ac:dyDescent="0.35"/>
    <row r="2604" hidden="1" x14ac:dyDescent="0.35"/>
    <row r="2605" hidden="1" x14ac:dyDescent="0.35"/>
    <row r="2606" hidden="1" x14ac:dyDescent="0.35"/>
    <row r="2607" hidden="1" x14ac:dyDescent="0.35"/>
    <row r="2608" hidden="1" x14ac:dyDescent="0.35"/>
    <row r="2609" hidden="1" x14ac:dyDescent="0.35"/>
    <row r="2610" hidden="1" x14ac:dyDescent="0.35"/>
    <row r="2611" hidden="1" x14ac:dyDescent="0.35"/>
    <row r="2612" hidden="1" x14ac:dyDescent="0.35"/>
    <row r="2613" hidden="1" x14ac:dyDescent="0.35"/>
    <row r="2614" hidden="1" x14ac:dyDescent="0.35"/>
    <row r="2615" hidden="1" x14ac:dyDescent="0.35"/>
    <row r="2616" hidden="1" x14ac:dyDescent="0.35"/>
    <row r="2617" hidden="1" x14ac:dyDescent="0.35"/>
    <row r="2618" hidden="1" x14ac:dyDescent="0.35"/>
    <row r="2619" hidden="1" x14ac:dyDescent="0.35"/>
    <row r="2620" hidden="1" x14ac:dyDescent="0.35"/>
    <row r="2621" hidden="1" x14ac:dyDescent="0.35"/>
    <row r="2622" hidden="1" x14ac:dyDescent="0.35"/>
    <row r="2623" hidden="1" x14ac:dyDescent="0.35"/>
    <row r="2624" hidden="1" x14ac:dyDescent="0.35"/>
    <row r="2625" hidden="1" x14ac:dyDescent="0.35"/>
    <row r="2626" hidden="1" x14ac:dyDescent="0.35"/>
    <row r="2627" hidden="1" x14ac:dyDescent="0.35"/>
    <row r="2628" hidden="1" x14ac:dyDescent="0.35"/>
    <row r="2629" hidden="1" x14ac:dyDescent="0.35"/>
    <row r="2630" hidden="1" x14ac:dyDescent="0.35"/>
    <row r="2631" hidden="1" x14ac:dyDescent="0.35"/>
    <row r="2632" hidden="1" x14ac:dyDescent="0.35"/>
    <row r="2633" hidden="1" x14ac:dyDescent="0.35"/>
    <row r="2634" hidden="1" x14ac:dyDescent="0.35"/>
    <row r="2635" hidden="1" x14ac:dyDescent="0.35"/>
    <row r="2636" hidden="1" x14ac:dyDescent="0.35"/>
    <row r="2637" hidden="1" x14ac:dyDescent="0.35"/>
    <row r="2638" hidden="1" x14ac:dyDescent="0.35"/>
    <row r="2639" hidden="1" x14ac:dyDescent="0.35"/>
    <row r="2640" hidden="1" x14ac:dyDescent="0.35"/>
    <row r="2641" hidden="1" x14ac:dyDescent="0.35"/>
    <row r="2642" hidden="1" x14ac:dyDescent="0.35"/>
    <row r="2643" hidden="1" x14ac:dyDescent="0.35"/>
    <row r="2644" hidden="1" x14ac:dyDescent="0.35"/>
    <row r="2645" hidden="1" x14ac:dyDescent="0.35"/>
    <row r="2646" hidden="1" x14ac:dyDescent="0.35"/>
    <row r="2647" hidden="1" x14ac:dyDescent="0.35"/>
    <row r="2648" hidden="1" x14ac:dyDescent="0.35"/>
    <row r="2649" hidden="1" x14ac:dyDescent="0.35"/>
    <row r="2650" hidden="1" x14ac:dyDescent="0.35"/>
    <row r="2651" hidden="1" x14ac:dyDescent="0.35"/>
    <row r="2652" hidden="1" x14ac:dyDescent="0.35"/>
    <row r="2653" hidden="1" x14ac:dyDescent="0.35"/>
    <row r="2654" hidden="1" x14ac:dyDescent="0.35"/>
    <row r="2655" hidden="1" x14ac:dyDescent="0.35"/>
    <row r="2656" hidden="1" x14ac:dyDescent="0.35"/>
    <row r="2657" hidden="1" x14ac:dyDescent="0.35"/>
    <row r="2658" hidden="1" x14ac:dyDescent="0.35"/>
    <row r="2659" hidden="1" x14ac:dyDescent="0.35"/>
    <row r="2660" hidden="1" x14ac:dyDescent="0.35"/>
    <row r="2661" hidden="1" x14ac:dyDescent="0.35"/>
    <row r="2662" hidden="1" x14ac:dyDescent="0.35"/>
    <row r="2663" hidden="1" x14ac:dyDescent="0.35"/>
    <row r="2664" hidden="1" x14ac:dyDescent="0.35"/>
    <row r="2665" hidden="1" x14ac:dyDescent="0.35"/>
    <row r="2666" hidden="1" x14ac:dyDescent="0.35"/>
    <row r="2667" hidden="1" x14ac:dyDescent="0.35"/>
    <row r="2668" hidden="1" x14ac:dyDescent="0.35"/>
    <row r="2669" hidden="1" x14ac:dyDescent="0.35"/>
    <row r="2670" hidden="1" x14ac:dyDescent="0.35"/>
    <row r="2671" hidden="1" x14ac:dyDescent="0.35"/>
    <row r="2672" hidden="1" x14ac:dyDescent="0.35"/>
    <row r="2673" hidden="1" x14ac:dyDescent="0.35"/>
    <row r="2674" hidden="1" x14ac:dyDescent="0.35"/>
    <row r="2675" hidden="1" x14ac:dyDescent="0.35"/>
    <row r="2676" hidden="1" x14ac:dyDescent="0.35"/>
    <row r="2677" hidden="1" x14ac:dyDescent="0.35"/>
    <row r="2678" hidden="1" x14ac:dyDescent="0.35"/>
    <row r="2679" hidden="1" x14ac:dyDescent="0.35"/>
    <row r="2680" hidden="1" x14ac:dyDescent="0.35"/>
    <row r="2681" hidden="1" x14ac:dyDescent="0.35"/>
    <row r="2682" hidden="1" x14ac:dyDescent="0.35"/>
    <row r="2683" hidden="1" x14ac:dyDescent="0.35"/>
    <row r="2684" hidden="1" x14ac:dyDescent="0.35"/>
    <row r="2685" hidden="1" x14ac:dyDescent="0.35"/>
    <row r="2686" hidden="1" x14ac:dyDescent="0.35"/>
    <row r="2687" hidden="1" x14ac:dyDescent="0.35"/>
    <row r="2688" hidden="1" x14ac:dyDescent="0.35"/>
    <row r="2689" hidden="1" x14ac:dyDescent="0.35"/>
    <row r="2690" hidden="1" x14ac:dyDescent="0.35"/>
    <row r="2691" hidden="1" x14ac:dyDescent="0.35"/>
    <row r="2692" hidden="1" x14ac:dyDescent="0.35"/>
    <row r="2693" hidden="1" x14ac:dyDescent="0.35"/>
    <row r="2694" hidden="1" x14ac:dyDescent="0.35"/>
    <row r="2695" hidden="1" x14ac:dyDescent="0.35"/>
    <row r="2696" hidden="1" x14ac:dyDescent="0.35"/>
    <row r="2697" hidden="1" x14ac:dyDescent="0.35"/>
    <row r="2698" hidden="1" x14ac:dyDescent="0.35"/>
    <row r="2699" hidden="1" x14ac:dyDescent="0.35"/>
    <row r="2700" hidden="1" x14ac:dyDescent="0.35"/>
    <row r="2701" hidden="1" x14ac:dyDescent="0.35"/>
    <row r="2702" hidden="1" x14ac:dyDescent="0.35"/>
    <row r="2703" hidden="1" x14ac:dyDescent="0.35"/>
    <row r="2704" hidden="1" x14ac:dyDescent="0.35"/>
    <row r="2705" hidden="1" x14ac:dyDescent="0.35"/>
    <row r="2706" hidden="1" x14ac:dyDescent="0.35"/>
    <row r="2707" hidden="1" x14ac:dyDescent="0.35"/>
    <row r="2708" hidden="1" x14ac:dyDescent="0.35"/>
    <row r="2709" hidden="1" x14ac:dyDescent="0.35"/>
    <row r="2710" hidden="1" x14ac:dyDescent="0.35"/>
    <row r="2711" hidden="1" x14ac:dyDescent="0.35"/>
    <row r="2712" hidden="1" x14ac:dyDescent="0.35"/>
    <row r="2713" hidden="1" x14ac:dyDescent="0.35"/>
    <row r="2714" hidden="1" x14ac:dyDescent="0.35"/>
    <row r="2715" hidden="1" x14ac:dyDescent="0.35"/>
    <row r="2716" hidden="1" x14ac:dyDescent="0.35"/>
    <row r="2717" hidden="1" x14ac:dyDescent="0.35"/>
    <row r="2718" hidden="1" x14ac:dyDescent="0.35"/>
    <row r="2719" hidden="1" x14ac:dyDescent="0.35"/>
    <row r="2720" hidden="1" x14ac:dyDescent="0.35"/>
    <row r="2721" hidden="1" x14ac:dyDescent="0.35"/>
    <row r="2722" hidden="1" x14ac:dyDescent="0.35"/>
    <row r="2723" hidden="1" x14ac:dyDescent="0.35"/>
    <row r="2724" hidden="1" x14ac:dyDescent="0.35"/>
    <row r="2725" hidden="1" x14ac:dyDescent="0.35"/>
    <row r="2726" hidden="1" x14ac:dyDescent="0.35"/>
    <row r="2727" hidden="1" x14ac:dyDescent="0.35"/>
    <row r="2728" hidden="1" x14ac:dyDescent="0.35"/>
    <row r="2729" hidden="1" x14ac:dyDescent="0.35"/>
    <row r="2730" hidden="1" x14ac:dyDescent="0.35"/>
    <row r="2731" hidden="1" x14ac:dyDescent="0.35"/>
    <row r="2732" hidden="1" x14ac:dyDescent="0.35"/>
    <row r="2733" hidden="1" x14ac:dyDescent="0.35"/>
    <row r="2734" hidden="1" x14ac:dyDescent="0.35"/>
    <row r="2735" hidden="1" x14ac:dyDescent="0.35"/>
    <row r="2736" hidden="1" x14ac:dyDescent="0.35"/>
    <row r="2737" hidden="1" x14ac:dyDescent="0.35"/>
    <row r="2738" hidden="1" x14ac:dyDescent="0.35"/>
    <row r="2739" hidden="1" x14ac:dyDescent="0.35"/>
    <row r="2740" hidden="1" x14ac:dyDescent="0.35"/>
    <row r="2741" hidden="1" x14ac:dyDescent="0.35"/>
    <row r="2742" hidden="1" x14ac:dyDescent="0.35"/>
    <row r="2743" hidden="1" x14ac:dyDescent="0.35"/>
    <row r="2744" hidden="1" x14ac:dyDescent="0.35"/>
    <row r="2745" hidden="1" x14ac:dyDescent="0.35"/>
    <row r="2746" hidden="1" x14ac:dyDescent="0.35"/>
    <row r="2747" hidden="1" x14ac:dyDescent="0.35"/>
    <row r="2748" hidden="1" x14ac:dyDescent="0.35"/>
    <row r="2749" hidden="1" x14ac:dyDescent="0.35"/>
    <row r="2750" hidden="1" x14ac:dyDescent="0.35"/>
    <row r="2751" hidden="1" x14ac:dyDescent="0.35"/>
    <row r="2752" hidden="1" x14ac:dyDescent="0.35"/>
    <row r="2753" hidden="1" x14ac:dyDescent="0.35"/>
    <row r="2754" hidden="1" x14ac:dyDescent="0.35"/>
    <row r="2755" hidden="1" x14ac:dyDescent="0.35"/>
    <row r="2756" hidden="1" x14ac:dyDescent="0.35"/>
    <row r="2757" hidden="1" x14ac:dyDescent="0.35"/>
    <row r="2758" hidden="1" x14ac:dyDescent="0.35"/>
    <row r="2759" hidden="1" x14ac:dyDescent="0.35"/>
    <row r="2760" hidden="1" x14ac:dyDescent="0.35"/>
    <row r="2761" hidden="1" x14ac:dyDescent="0.35"/>
    <row r="2762" hidden="1" x14ac:dyDescent="0.35"/>
    <row r="2763" hidden="1" x14ac:dyDescent="0.35"/>
    <row r="2764" hidden="1" x14ac:dyDescent="0.35"/>
    <row r="2765" hidden="1" x14ac:dyDescent="0.35"/>
    <row r="2766" hidden="1" x14ac:dyDescent="0.35"/>
    <row r="2767" hidden="1" x14ac:dyDescent="0.35"/>
    <row r="2768" hidden="1" x14ac:dyDescent="0.35"/>
    <row r="2769" hidden="1" x14ac:dyDescent="0.35"/>
    <row r="2770" hidden="1" x14ac:dyDescent="0.35"/>
    <row r="2771" hidden="1" x14ac:dyDescent="0.35"/>
    <row r="2772" hidden="1" x14ac:dyDescent="0.35"/>
    <row r="2773" hidden="1" x14ac:dyDescent="0.35"/>
    <row r="2774" hidden="1" x14ac:dyDescent="0.35"/>
    <row r="2775" hidden="1" x14ac:dyDescent="0.35"/>
    <row r="2776" hidden="1" x14ac:dyDescent="0.35"/>
    <row r="2777" hidden="1" x14ac:dyDescent="0.35"/>
    <row r="2778" hidden="1" x14ac:dyDescent="0.35"/>
    <row r="2779" hidden="1" x14ac:dyDescent="0.35"/>
    <row r="2780" hidden="1" x14ac:dyDescent="0.35"/>
    <row r="2781" hidden="1" x14ac:dyDescent="0.35"/>
    <row r="2782" hidden="1" x14ac:dyDescent="0.35"/>
    <row r="2783" hidden="1" x14ac:dyDescent="0.35"/>
    <row r="2784" hidden="1" x14ac:dyDescent="0.35"/>
    <row r="2785" hidden="1" x14ac:dyDescent="0.35"/>
    <row r="2786" hidden="1" x14ac:dyDescent="0.35"/>
    <row r="2787" hidden="1" x14ac:dyDescent="0.35"/>
    <row r="2788" hidden="1" x14ac:dyDescent="0.35"/>
    <row r="2789" hidden="1" x14ac:dyDescent="0.35"/>
    <row r="2790" hidden="1" x14ac:dyDescent="0.35"/>
    <row r="2791" hidden="1" x14ac:dyDescent="0.35"/>
    <row r="2792" hidden="1" x14ac:dyDescent="0.35"/>
    <row r="2793" hidden="1" x14ac:dyDescent="0.35"/>
    <row r="2794" hidden="1" x14ac:dyDescent="0.35"/>
    <row r="2795" hidden="1" x14ac:dyDescent="0.35"/>
    <row r="2796" hidden="1" x14ac:dyDescent="0.35"/>
    <row r="2797" hidden="1" x14ac:dyDescent="0.35"/>
    <row r="2798" hidden="1" x14ac:dyDescent="0.35"/>
    <row r="2799" hidden="1" x14ac:dyDescent="0.35"/>
    <row r="2800" hidden="1" x14ac:dyDescent="0.35"/>
    <row r="2801" hidden="1" x14ac:dyDescent="0.35"/>
    <row r="2802" hidden="1" x14ac:dyDescent="0.35"/>
    <row r="2803" hidden="1" x14ac:dyDescent="0.35"/>
    <row r="2804" hidden="1" x14ac:dyDescent="0.35"/>
    <row r="2805" hidden="1" x14ac:dyDescent="0.35"/>
    <row r="2806" hidden="1" x14ac:dyDescent="0.35"/>
    <row r="2807" hidden="1" x14ac:dyDescent="0.35"/>
    <row r="2808" hidden="1" x14ac:dyDescent="0.35"/>
    <row r="2809" hidden="1" x14ac:dyDescent="0.35"/>
    <row r="2810" hidden="1" x14ac:dyDescent="0.35"/>
    <row r="2811" hidden="1" x14ac:dyDescent="0.35"/>
    <row r="2812" hidden="1" x14ac:dyDescent="0.35"/>
    <row r="2813" hidden="1" x14ac:dyDescent="0.35"/>
    <row r="2814" hidden="1" x14ac:dyDescent="0.35"/>
    <row r="2815" hidden="1" x14ac:dyDescent="0.35"/>
    <row r="2816" hidden="1" x14ac:dyDescent="0.35"/>
    <row r="2817" hidden="1" x14ac:dyDescent="0.35"/>
    <row r="2818" hidden="1" x14ac:dyDescent="0.35"/>
    <row r="2819" hidden="1" x14ac:dyDescent="0.35"/>
    <row r="2820" hidden="1" x14ac:dyDescent="0.35"/>
    <row r="2821" hidden="1" x14ac:dyDescent="0.35"/>
    <row r="2822" hidden="1" x14ac:dyDescent="0.35"/>
    <row r="2823" hidden="1" x14ac:dyDescent="0.35"/>
    <row r="2824" hidden="1" x14ac:dyDescent="0.35"/>
    <row r="2825" hidden="1" x14ac:dyDescent="0.35"/>
    <row r="2826" hidden="1" x14ac:dyDescent="0.35"/>
    <row r="2827" hidden="1" x14ac:dyDescent="0.35"/>
    <row r="2828" hidden="1" x14ac:dyDescent="0.35"/>
    <row r="2829" hidden="1" x14ac:dyDescent="0.35"/>
    <row r="2830" hidden="1" x14ac:dyDescent="0.35"/>
    <row r="2831" hidden="1" x14ac:dyDescent="0.35"/>
    <row r="2832" hidden="1" x14ac:dyDescent="0.35"/>
    <row r="2833" hidden="1" x14ac:dyDescent="0.35"/>
    <row r="2834" hidden="1" x14ac:dyDescent="0.35"/>
    <row r="2835" hidden="1" x14ac:dyDescent="0.35"/>
    <row r="2836" hidden="1" x14ac:dyDescent="0.35"/>
    <row r="2837" hidden="1" x14ac:dyDescent="0.35"/>
    <row r="2838" hidden="1" x14ac:dyDescent="0.35"/>
    <row r="2839" hidden="1" x14ac:dyDescent="0.35"/>
    <row r="2840" hidden="1" x14ac:dyDescent="0.35"/>
    <row r="2841" hidden="1" x14ac:dyDescent="0.35"/>
    <row r="2842" hidden="1" x14ac:dyDescent="0.35"/>
    <row r="2843" hidden="1" x14ac:dyDescent="0.35"/>
    <row r="2844" hidden="1" x14ac:dyDescent="0.35"/>
    <row r="2845" hidden="1" x14ac:dyDescent="0.35"/>
    <row r="2846" hidden="1" x14ac:dyDescent="0.35"/>
    <row r="2847" hidden="1" x14ac:dyDescent="0.35"/>
    <row r="2848" hidden="1" x14ac:dyDescent="0.35"/>
    <row r="2849" hidden="1" x14ac:dyDescent="0.35"/>
    <row r="2850" hidden="1" x14ac:dyDescent="0.35"/>
    <row r="2851" hidden="1" x14ac:dyDescent="0.35"/>
    <row r="2852" hidden="1" x14ac:dyDescent="0.35"/>
    <row r="2853" hidden="1" x14ac:dyDescent="0.35"/>
    <row r="2854" hidden="1" x14ac:dyDescent="0.35"/>
    <row r="2855" hidden="1" x14ac:dyDescent="0.35"/>
    <row r="2856" hidden="1" x14ac:dyDescent="0.35"/>
    <row r="2857" hidden="1" x14ac:dyDescent="0.35"/>
    <row r="2858" hidden="1" x14ac:dyDescent="0.35"/>
    <row r="2859" hidden="1" x14ac:dyDescent="0.35"/>
    <row r="2860" hidden="1" x14ac:dyDescent="0.35"/>
    <row r="2861" hidden="1" x14ac:dyDescent="0.35"/>
    <row r="2862" hidden="1" x14ac:dyDescent="0.35"/>
    <row r="2863" hidden="1" x14ac:dyDescent="0.35"/>
    <row r="2864" hidden="1" x14ac:dyDescent="0.35"/>
    <row r="2865" hidden="1" x14ac:dyDescent="0.35"/>
    <row r="2866" hidden="1" x14ac:dyDescent="0.35"/>
    <row r="2867" hidden="1" x14ac:dyDescent="0.35"/>
    <row r="2868" hidden="1" x14ac:dyDescent="0.35"/>
    <row r="2869" hidden="1" x14ac:dyDescent="0.35"/>
    <row r="2870" hidden="1" x14ac:dyDescent="0.35"/>
    <row r="2871" hidden="1" x14ac:dyDescent="0.35"/>
    <row r="2872" hidden="1" x14ac:dyDescent="0.35"/>
    <row r="2873" hidden="1" x14ac:dyDescent="0.35"/>
    <row r="2874" hidden="1" x14ac:dyDescent="0.35"/>
    <row r="2875" hidden="1" x14ac:dyDescent="0.35"/>
    <row r="2876" hidden="1" x14ac:dyDescent="0.35"/>
    <row r="2877" hidden="1" x14ac:dyDescent="0.35"/>
    <row r="2878" hidden="1" x14ac:dyDescent="0.35"/>
    <row r="2879" hidden="1" x14ac:dyDescent="0.35"/>
    <row r="2880" hidden="1" x14ac:dyDescent="0.35"/>
    <row r="2881" hidden="1" x14ac:dyDescent="0.35"/>
    <row r="2882" hidden="1" x14ac:dyDescent="0.35"/>
    <row r="2883" hidden="1" x14ac:dyDescent="0.35"/>
    <row r="2884" hidden="1" x14ac:dyDescent="0.35"/>
    <row r="2885" hidden="1" x14ac:dyDescent="0.35"/>
    <row r="2886" hidden="1" x14ac:dyDescent="0.35"/>
    <row r="2887" hidden="1" x14ac:dyDescent="0.35"/>
    <row r="2888" hidden="1" x14ac:dyDescent="0.35"/>
    <row r="2889" hidden="1" x14ac:dyDescent="0.35"/>
    <row r="2890" hidden="1" x14ac:dyDescent="0.35"/>
    <row r="2891" hidden="1" x14ac:dyDescent="0.35"/>
    <row r="2892" hidden="1" x14ac:dyDescent="0.35"/>
    <row r="2893" hidden="1" x14ac:dyDescent="0.35"/>
    <row r="2894" hidden="1" x14ac:dyDescent="0.35"/>
    <row r="2895" hidden="1" x14ac:dyDescent="0.35"/>
    <row r="2896" hidden="1" x14ac:dyDescent="0.35"/>
    <row r="2897" hidden="1" x14ac:dyDescent="0.35"/>
    <row r="2898" hidden="1" x14ac:dyDescent="0.35"/>
    <row r="2899" hidden="1" x14ac:dyDescent="0.35"/>
    <row r="2900" hidden="1" x14ac:dyDescent="0.35"/>
    <row r="2901" hidden="1" x14ac:dyDescent="0.35"/>
    <row r="2902" hidden="1" x14ac:dyDescent="0.35"/>
    <row r="2903" hidden="1" x14ac:dyDescent="0.35"/>
    <row r="2904" hidden="1" x14ac:dyDescent="0.35"/>
    <row r="2905" hidden="1" x14ac:dyDescent="0.35"/>
    <row r="2906" hidden="1" x14ac:dyDescent="0.35"/>
    <row r="2907" hidden="1" x14ac:dyDescent="0.35"/>
    <row r="2908" hidden="1" x14ac:dyDescent="0.35"/>
    <row r="2909" hidden="1" x14ac:dyDescent="0.35"/>
    <row r="2910" hidden="1" x14ac:dyDescent="0.35"/>
    <row r="2911" hidden="1" x14ac:dyDescent="0.35"/>
    <row r="2912" hidden="1" x14ac:dyDescent="0.35"/>
    <row r="2913" hidden="1" x14ac:dyDescent="0.35"/>
    <row r="2914" hidden="1" x14ac:dyDescent="0.35"/>
    <row r="2915" hidden="1" x14ac:dyDescent="0.35"/>
    <row r="2916" hidden="1" x14ac:dyDescent="0.35"/>
    <row r="2917" hidden="1" x14ac:dyDescent="0.35"/>
    <row r="2918" hidden="1" x14ac:dyDescent="0.35"/>
    <row r="2919" hidden="1" x14ac:dyDescent="0.35"/>
    <row r="2920" hidden="1" x14ac:dyDescent="0.35"/>
    <row r="2921" hidden="1" x14ac:dyDescent="0.35"/>
    <row r="2922" hidden="1" x14ac:dyDescent="0.35"/>
    <row r="2923" hidden="1" x14ac:dyDescent="0.35"/>
    <row r="2924" hidden="1" x14ac:dyDescent="0.35"/>
    <row r="2925" hidden="1" x14ac:dyDescent="0.35"/>
    <row r="2926" hidden="1" x14ac:dyDescent="0.35"/>
    <row r="2927" hidden="1" x14ac:dyDescent="0.35"/>
    <row r="2928" hidden="1" x14ac:dyDescent="0.35"/>
    <row r="2929" hidden="1" x14ac:dyDescent="0.35"/>
    <row r="2930" hidden="1" x14ac:dyDescent="0.35"/>
    <row r="2931" hidden="1" x14ac:dyDescent="0.35"/>
    <row r="2932" hidden="1" x14ac:dyDescent="0.35"/>
    <row r="2933" hidden="1" x14ac:dyDescent="0.35"/>
    <row r="2934" hidden="1" x14ac:dyDescent="0.35"/>
    <row r="2935" hidden="1" x14ac:dyDescent="0.35"/>
    <row r="2936" hidden="1" x14ac:dyDescent="0.35"/>
    <row r="2937" hidden="1" x14ac:dyDescent="0.35"/>
    <row r="2938" hidden="1" x14ac:dyDescent="0.35"/>
    <row r="2939" hidden="1" x14ac:dyDescent="0.35"/>
    <row r="2940" hidden="1" x14ac:dyDescent="0.35"/>
    <row r="2941" hidden="1" x14ac:dyDescent="0.35"/>
    <row r="2942" hidden="1" x14ac:dyDescent="0.35"/>
    <row r="2943" hidden="1" x14ac:dyDescent="0.35"/>
    <row r="2944" hidden="1" x14ac:dyDescent="0.35"/>
    <row r="2945" hidden="1" x14ac:dyDescent="0.35"/>
    <row r="2946" hidden="1" x14ac:dyDescent="0.35"/>
    <row r="2947" hidden="1" x14ac:dyDescent="0.35"/>
    <row r="2948" hidden="1" x14ac:dyDescent="0.35"/>
    <row r="2949" hidden="1" x14ac:dyDescent="0.35"/>
    <row r="2950" hidden="1" x14ac:dyDescent="0.35"/>
    <row r="2951" hidden="1" x14ac:dyDescent="0.35"/>
    <row r="2952" hidden="1" x14ac:dyDescent="0.35"/>
    <row r="2953" hidden="1" x14ac:dyDescent="0.35"/>
    <row r="2954" hidden="1" x14ac:dyDescent="0.35"/>
    <row r="2955" hidden="1" x14ac:dyDescent="0.35"/>
    <row r="2956" hidden="1" x14ac:dyDescent="0.35"/>
    <row r="2957" hidden="1" x14ac:dyDescent="0.35"/>
    <row r="2958" hidden="1" x14ac:dyDescent="0.35"/>
    <row r="2959" hidden="1" x14ac:dyDescent="0.35"/>
    <row r="2960" hidden="1" x14ac:dyDescent="0.35"/>
    <row r="2961" hidden="1" x14ac:dyDescent="0.35"/>
    <row r="2962" hidden="1" x14ac:dyDescent="0.35"/>
    <row r="2963" hidden="1" x14ac:dyDescent="0.35"/>
    <row r="2964" hidden="1" x14ac:dyDescent="0.35"/>
    <row r="2965" hidden="1" x14ac:dyDescent="0.35"/>
    <row r="2966" hidden="1" x14ac:dyDescent="0.35"/>
    <row r="2967" hidden="1" x14ac:dyDescent="0.35"/>
    <row r="2968" hidden="1" x14ac:dyDescent="0.35"/>
    <row r="2969" hidden="1" x14ac:dyDescent="0.35"/>
    <row r="2970" hidden="1" x14ac:dyDescent="0.35"/>
    <row r="2971" hidden="1" x14ac:dyDescent="0.35"/>
    <row r="2972" hidden="1" x14ac:dyDescent="0.35"/>
    <row r="2973" hidden="1" x14ac:dyDescent="0.35"/>
    <row r="2974" hidden="1" x14ac:dyDescent="0.35"/>
    <row r="2975" hidden="1" x14ac:dyDescent="0.35"/>
    <row r="2976" hidden="1" x14ac:dyDescent="0.35"/>
    <row r="2977" hidden="1" x14ac:dyDescent="0.35"/>
    <row r="2978" hidden="1" x14ac:dyDescent="0.35"/>
    <row r="2979" hidden="1" x14ac:dyDescent="0.35"/>
    <row r="2980" hidden="1" x14ac:dyDescent="0.35"/>
    <row r="2981" hidden="1" x14ac:dyDescent="0.35"/>
    <row r="2982" hidden="1" x14ac:dyDescent="0.35"/>
    <row r="2983" hidden="1" x14ac:dyDescent="0.35"/>
    <row r="2984" hidden="1" x14ac:dyDescent="0.35"/>
    <row r="2985" hidden="1" x14ac:dyDescent="0.35"/>
    <row r="2986" hidden="1" x14ac:dyDescent="0.35"/>
    <row r="2987" hidden="1" x14ac:dyDescent="0.35"/>
    <row r="2988" hidden="1" x14ac:dyDescent="0.35"/>
    <row r="2989" hidden="1" x14ac:dyDescent="0.35"/>
    <row r="2990" hidden="1" x14ac:dyDescent="0.35"/>
    <row r="2991" hidden="1" x14ac:dyDescent="0.35"/>
    <row r="2992" hidden="1" x14ac:dyDescent="0.35"/>
    <row r="2993" hidden="1" x14ac:dyDescent="0.35"/>
    <row r="2994" hidden="1" x14ac:dyDescent="0.35"/>
    <row r="2995" hidden="1" x14ac:dyDescent="0.35"/>
    <row r="2996" hidden="1" x14ac:dyDescent="0.35"/>
    <row r="2997" hidden="1" x14ac:dyDescent="0.35"/>
    <row r="2998" hidden="1" x14ac:dyDescent="0.35"/>
    <row r="2999" hidden="1" x14ac:dyDescent="0.35"/>
    <row r="3000" hidden="1" x14ac:dyDescent="0.35"/>
    <row r="3001" hidden="1" x14ac:dyDescent="0.35"/>
    <row r="3002" hidden="1" x14ac:dyDescent="0.35"/>
    <row r="3003" hidden="1" x14ac:dyDescent="0.35"/>
    <row r="3004" hidden="1" x14ac:dyDescent="0.35"/>
    <row r="3005" hidden="1" x14ac:dyDescent="0.35"/>
    <row r="3006" hidden="1" x14ac:dyDescent="0.35"/>
    <row r="3007" hidden="1" x14ac:dyDescent="0.35"/>
    <row r="3008" hidden="1" x14ac:dyDescent="0.35"/>
    <row r="3009" hidden="1" x14ac:dyDescent="0.35"/>
    <row r="3010" hidden="1" x14ac:dyDescent="0.35"/>
    <row r="3011" hidden="1" x14ac:dyDescent="0.35"/>
    <row r="3012" hidden="1" x14ac:dyDescent="0.35"/>
    <row r="3013" hidden="1" x14ac:dyDescent="0.35"/>
    <row r="3014" hidden="1" x14ac:dyDescent="0.35"/>
    <row r="3015" hidden="1" x14ac:dyDescent="0.35"/>
    <row r="3016" hidden="1" x14ac:dyDescent="0.35"/>
    <row r="3017" hidden="1" x14ac:dyDescent="0.35"/>
    <row r="3018" hidden="1" x14ac:dyDescent="0.35"/>
    <row r="3019" hidden="1" x14ac:dyDescent="0.35"/>
    <row r="3020" hidden="1" x14ac:dyDescent="0.35"/>
    <row r="3021" hidden="1" x14ac:dyDescent="0.35"/>
    <row r="3022" hidden="1" x14ac:dyDescent="0.35"/>
    <row r="3023" hidden="1" x14ac:dyDescent="0.35"/>
    <row r="3024" hidden="1" x14ac:dyDescent="0.35"/>
    <row r="3025" hidden="1" x14ac:dyDescent="0.35"/>
    <row r="3026" hidden="1" x14ac:dyDescent="0.35"/>
    <row r="3027" hidden="1" x14ac:dyDescent="0.35"/>
    <row r="3028" hidden="1" x14ac:dyDescent="0.35"/>
    <row r="3029" hidden="1" x14ac:dyDescent="0.35"/>
    <row r="3030" hidden="1" x14ac:dyDescent="0.35"/>
    <row r="3031" hidden="1" x14ac:dyDescent="0.35"/>
    <row r="3032" hidden="1" x14ac:dyDescent="0.35"/>
    <row r="3033" hidden="1" x14ac:dyDescent="0.35"/>
    <row r="3034" hidden="1" x14ac:dyDescent="0.35"/>
    <row r="3035" hidden="1" x14ac:dyDescent="0.35"/>
    <row r="3036" hidden="1" x14ac:dyDescent="0.35"/>
    <row r="3037" hidden="1" x14ac:dyDescent="0.35"/>
    <row r="3038" hidden="1" x14ac:dyDescent="0.35"/>
    <row r="3039" hidden="1" x14ac:dyDescent="0.35"/>
    <row r="3040" hidden="1" x14ac:dyDescent="0.35"/>
    <row r="3041" hidden="1" x14ac:dyDescent="0.35"/>
    <row r="3042" hidden="1" x14ac:dyDescent="0.35"/>
    <row r="3043" hidden="1" x14ac:dyDescent="0.35"/>
    <row r="3044" hidden="1" x14ac:dyDescent="0.35"/>
    <row r="3045" hidden="1" x14ac:dyDescent="0.35"/>
    <row r="3046" hidden="1" x14ac:dyDescent="0.35"/>
    <row r="3047" hidden="1" x14ac:dyDescent="0.35"/>
    <row r="3048" hidden="1" x14ac:dyDescent="0.35"/>
    <row r="3049" hidden="1" x14ac:dyDescent="0.35"/>
    <row r="3050" hidden="1" x14ac:dyDescent="0.35"/>
    <row r="3051" hidden="1" x14ac:dyDescent="0.35"/>
    <row r="3052" hidden="1" x14ac:dyDescent="0.35"/>
    <row r="3053" hidden="1" x14ac:dyDescent="0.35"/>
    <row r="3054" hidden="1" x14ac:dyDescent="0.35"/>
    <row r="3055" hidden="1" x14ac:dyDescent="0.35"/>
    <row r="3056" hidden="1" x14ac:dyDescent="0.35"/>
    <row r="3057" hidden="1" x14ac:dyDescent="0.35"/>
    <row r="3058" hidden="1" x14ac:dyDescent="0.35"/>
    <row r="3059" hidden="1" x14ac:dyDescent="0.35"/>
    <row r="3060" hidden="1" x14ac:dyDescent="0.35"/>
    <row r="3061" hidden="1" x14ac:dyDescent="0.35"/>
    <row r="3062" hidden="1" x14ac:dyDescent="0.35"/>
    <row r="3063" hidden="1" x14ac:dyDescent="0.35"/>
    <row r="3064" hidden="1" x14ac:dyDescent="0.35"/>
    <row r="3065" hidden="1" x14ac:dyDescent="0.35"/>
    <row r="3066" hidden="1" x14ac:dyDescent="0.35"/>
    <row r="3067" hidden="1" x14ac:dyDescent="0.35"/>
    <row r="3068" hidden="1" x14ac:dyDescent="0.35"/>
    <row r="3069" hidden="1" x14ac:dyDescent="0.35"/>
    <row r="3070" hidden="1" x14ac:dyDescent="0.35"/>
    <row r="3071" hidden="1" x14ac:dyDescent="0.35"/>
    <row r="3072" hidden="1" x14ac:dyDescent="0.35"/>
    <row r="3073" hidden="1" x14ac:dyDescent="0.35"/>
    <row r="3074" hidden="1" x14ac:dyDescent="0.35"/>
    <row r="3075" hidden="1" x14ac:dyDescent="0.35"/>
    <row r="3076" hidden="1" x14ac:dyDescent="0.35"/>
    <row r="3077" hidden="1" x14ac:dyDescent="0.35"/>
    <row r="3078" hidden="1" x14ac:dyDescent="0.35"/>
    <row r="3079" hidden="1" x14ac:dyDescent="0.35"/>
    <row r="3080" hidden="1" x14ac:dyDescent="0.35"/>
    <row r="3081" hidden="1" x14ac:dyDescent="0.35"/>
    <row r="3082" hidden="1" x14ac:dyDescent="0.35"/>
    <row r="3083" hidden="1" x14ac:dyDescent="0.35"/>
    <row r="3084" hidden="1" x14ac:dyDescent="0.35"/>
    <row r="3085" hidden="1" x14ac:dyDescent="0.35"/>
    <row r="3086" hidden="1" x14ac:dyDescent="0.35"/>
    <row r="3087" hidden="1" x14ac:dyDescent="0.35"/>
    <row r="3088" hidden="1" x14ac:dyDescent="0.35"/>
    <row r="3089" hidden="1" x14ac:dyDescent="0.35"/>
    <row r="3090" hidden="1" x14ac:dyDescent="0.35"/>
    <row r="3091" hidden="1" x14ac:dyDescent="0.35"/>
    <row r="3092" hidden="1" x14ac:dyDescent="0.35"/>
    <row r="3093" hidden="1" x14ac:dyDescent="0.35"/>
    <row r="3094" hidden="1" x14ac:dyDescent="0.35"/>
    <row r="3095" hidden="1" x14ac:dyDescent="0.35"/>
    <row r="3096" hidden="1" x14ac:dyDescent="0.35"/>
    <row r="3097" hidden="1" x14ac:dyDescent="0.35"/>
    <row r="3098" hidden="1" x14ac:dyDescent="0.35"/>
    <row r="3099" hidden="1" x14ac:dyDescent="0.35"/>
    <row r="3100" hidden="1" x14ac:dyDescent="0.35"/>
    <row r="3101" hidden="1" x14ac:dyDescent="0.35"/>
    <row r="3102" hidden="1" x14ac:dyDescent="0.35"/>
    <row r="3103" hidden="1" x14ac:dyDescent="0.35"/>
    <row r="3104" hidden="1" x14ac:dyDescent="0.35"/>
    <row r="3105" hidden="1" x14ac:dyDescent="0.35"/>
    <row r="3106" hidden="1" x14ac:dyDescent="0.35"/>
    <row r="3107" hidden="1" x14ac:dyDescent="0.35"/>
    <row r="3108" hidden="1" x14ac:dyDescent="0.35"/>
    <row r="3109" hidden="1" x14ac:dyDescent="0.35"/>
    <row r="3110" hidden="1" x14ac:dyDescent="0.35"/>
    <row r="3111" hidden="1" x14ac:dyDescent="0.35"/>
    <row r="3112" hidden="1" x14ac:dyDescent="0.35"/>
    <row r="3113" hidden="1" x14ac:dyDescent="0.35"/>
    <row r="3114" hidden="1" x14ac:dyDescent="0.35"/>
    <row r="3115" hidden="1" x14ac:dyDescent="0.35"/>
    <row r="3116" hidden="1" x14ac:dyDescent="0.35"/>
    <row r="3117" hidden="1" x14ac:dyDescent="0.35"/>
    <row r="3118" hidden="1" x14ac:dyDescent="0.35"/>
    <row r="3119" hidden="1" x14ac:dyDescent="0.35"/>
    <row r="3120" hidden="1" x14ac:dyDescent="0.35"/>
    <row r="3121" hidden="1" x14ac:dyDescent="0.35"/>
    <row r="3122" hidden="1" x14ac:dyDescent="0.35"/>
    <row r="3123" hidden="1" x14ac:dyDescent="0.35"/>
    <row r="3124" hidden="1" x14ac:dyDescent="0.35"/>
    <row r="3125" hidden="1" x14ac:dyDescent="0.35"/>
    <row r="3126" hidden="1" x14ac:dyDescent="0.35"/>
    <row r="3127" hidden="1" x14ac:dyDescent="0.35"/>
    <row r="3128" hidden="1" x14ac:dyDescent="0.35"/>
    <row r="3129" hidden="1" x14ac:dyDescent="0.35"/>
    <row r="3130" hidden="1" x14ac:dyDescent="0.35"/>
    <row r="3131" hidden="1" x14ac:dyDescent="0.35"/>
    <row r="3132" hidden="1" x14ac:dyDescent="0.35"/>
    <row r="3133" hidden="1" x14ac:dyDescent="0.35"/>
    <row r="3134" hidden="1" x14ac:dyDescent="0.35"/>
    <row r="3135" hidden="1" x14ac:dyDescent="0.35"/>
    <row r="3136" hidden="1" x14ac:dyDescent="0.35"/>
    <row r="3137" hidden="1" x14ac:dyDescent="0.35"/>
    <row r="3138" hidden="1" x14ac:dyDescent="0.35"/>
    <row r="3139" hidden="1" x14ac:dyDescent="0.35"/>
    <row r="3140" hidden="1" x14ac:dyDescent="0.35"/>
    <row r="3141" hidden="1" x14ac:dyDescent="0.35"/>
    <row r="3142" hidden="1" x14ac:dyDescent="0.35"/>
    <row r="3143" hidden="1" x14ac:dyDescent="0.35"/>
    <row r="3144" hidden="1" x14ac:dyDescent="0.35"/>
    <row r="3145" hidden="1" x14ac:dyDescent="0.35"/>
    <row r="3146" hidden="1" x14ac:dyDescent="0.35"/>
    <row r="3147" hidden="1" x14ac:dyDescent="0.35"/>
    <row r="3148" hidden="1" x14ac:dyDescent="0.35"/>
    <row r="3149" hidden="1" x14ac:dyDescent="0.35"/>
    <row r="3150" hidden="1" x14ac:dyDescent="0.35"/>
    <row r="3151" hidden="1" x14ac:dyDescent="0.35"/>
    <row r="3152" hidden="1" x14ac:dyDescent="0.35"/>
    <row r="3153" hidden="1" x14ac:dyDescent="0.35"/>
    <row r="3154" hidden="1" x14ac:dyDescent="0.35"/>
    <row r="3155" hidden="1" x14ac:dyDescent="0.35"/>
    <row r="3156" hidden="1" x14ac:dyDescent="0.35"/>
    <row r="3157" hidden="1" x14ac:dyDescent="0.35"/>
    <row r="3158" hidden="1" x14ac:dyDescent="0.35"/>
    <row r="3159" hidden="1" x14ac:dyDescent="0.35"/>
    <row r="3160" hidden="1" x14ac:dyDescent="0.35"/>
    <row r="3161" hidden="1" x14ac:dyDescent="0.35"/>
    <row r="3162" hidden="1" x14ac:dyDescent="0.35"/>
    <row r="3163" hidden="1" x14ac:dyDescent="0.35"/>
    <row r="3164" hidden="1" x14ac:dyDescent="0.35"/>
    <row r="3165" hidden="1" x14ac:dyDescent="0.35"/>
    <row r="3166" hidden="1" x14ac:dyDescent="0.35"/>
    <row r="3167" hidden="1" x14ac:dyDescent="0.35"/>
    <row r="3168" hidden="1" x14ac:dyDescent="0.35"/>
    <row r="3169" hidden="1" x14ac:dyDescent="0.35"/>
    <row r="3170" hidden="1" x14ac:dyDescent="0.35"/>
    <row r="3171" hidden="1" x14ac:dyDescent="0.35"/>
    <row r="3172" hidden="1" x14ac:dyDescent="0.35"/>
    <row r="3173" hidden="1" x14ac:dyDescent="0.35"/>
    <row r="3174" hidden="1" x14ac:dyDescent="0.35"/>
    <row r="3175" hidden="1" x14ac:dyDescent="0.35"/>
    <row r="3176" hidden="1" x14ac:dyDescent="0.35"/>
    <row r="3177" hidden="1" x14ac:dyDescent="0.35"/>
    <row r="3178" hidden="1" x14ac:dyDescent="0.35"/>
    <row r="3179" hidden="1" x14ac:dyDescent="0.35"/>
    <row r="3180" hidden="1" x14ac:dyDescent="0.35"/>
    <row r="3181" hidden="1" x14ac:dyDescent="0.35"/>
    <row r="3182" hidden="1" x14ac:dyDescent="0.35"/>
    <row r="3183" hidden="1" x14ac:dyDescent="0.35"/>
    <row r="3184" hidden="1" x14ac:dyDescent="0.35"/>
    <row r="3185" hidden="1" x14ac:dyDescent="0.35"/>
    <row r="3186" hidden="1" x14ac:dyDescent="0.35"/>
    <row r="3187" hidden="1" x14ac:dyDescent="0.35"/>
    <row r="3188" hidden="1" x14ac:dyDescent="0.35"/>
    <row r="3189" hidden="1" x14ac:dyDescent="0.35"/>
    <row r="3190" hidden="1" x14ac:dyDescent="0.35"/>
    <row r="3191" hidden="1" x14ac:dyDescent="0.35"/>
    <row r="3192" hidden="1" x14ac:dyDescent="0.35"/>
    <row r="3193" hidden="1" x14ac:dyDescent="0.35"/>
    <row r="3194" hidden="1" x14ac:dyDescent="0.35"/>
    <row r="3195" hidden="1" x14ac:dyDescent="0.35"/>
    <row r="3196" hidden="1" x14ac:dyDescent="0.35"/>
    <row r="3197" hidden="1" x14ac:dyDescent="0.35"/>
    <row r="3198" hidden="1" x14ac:dyDescent="0.35"/>
    <row r="3199" hidden="1" x14ac:dyDescent="0.35"/>
    <row r="3200" hidden="1" x14ac:dyDescent="0.35"/>
    <row r="3201" hidden="1" x14ac:dyDescent="0.35"/>
    <row r="3202" hidden="1" x14ac:dyDescent="0.35"/>
    <row r="3203" hidden="1" x14ac:dyDescent="0.35"/>
    <row r="3204" hidden="1" x14ac:dyDescent="0.35"/>
    <row r="3205" hidden="1" x14ac:dyDescent="0.35"/>
    <row r="3206" hidden="1" x14ac:dyDescent="0.35"/>
    <row r="3207" hidden="1" x14ac:dyDescent="0.35"/>
    <row r="3208" hidden="1" x14ac:dyDescent="0.35"/>
    <row r="3209" hidden="1" x14ac:dyDescent="0.35"/>
    <row r="3210" hidden="1" x14ac:dyDescent="0.35"/>
    <row r="3211" hidden="1" x14ac:dyDescent="0.35"/>
    <row r="3212" hidden="1" x14ac:dyDescent="0.35"/>
    <row r="3213" hidden="1" x14ac:dyDescent="0.35"/>
    <row r="3214" hidden="1" x14ac:dyDescent="0.35"/>
    <row r="3215" hidden="1" x14ac:dyDescent="0.35"/>
    <row r="3216" hidden="1" x14ac:dyDescent="0.35"/>
    <row r="3217" hidden="1" x14ac:dyDescent="0.35"/>
    <row r="3218" hidden="1" x14ac:dyDescent="0.35"/>
    <row r="3219" hidden="1" x14ac:dyDescent="0.35"/>
    <row r="3220" hidden="1" x14ac:dyDescent="0.35"/>
    <row r="3221" hidden="1" x14ac:dyDescent="0.35"/>
    <row r="3222" hidden="1" x14ac:dyDescent="0.35"/>
    <row r="3223" hidden="1" x14ac:dyDescent="0.35"/>
    <row r="3224" hidden="1" x14ac:dyDescent="0.35"/>
    <row r="3225" hidden="1" x14ac:dyDescent="0.35"/>
    <row r="3226" hidden="1" x14ac:dyDescent="0.35"/>
    <row r="3227" hidden="1" x14ac:dyDescent="0.35"/>
    <row r="3228" hidden="1" x14ac:dyDescent="0.35"/>
    <row r="3229" hidden="1" x14ac:dyDescent="0.35"/>
    <row r="3230" hidden="1" x14ac:dyDescent="0.35"/>
    <row r="3231" hidden="1" x14ac:dyDescent="0.35"/>
    <row r="3232" hidden="1" x14ac:dyDescent="0.35"/>
    <row r="3233" hidden="1" x14ac:dyDescent="0.35"/>
    <row r="3234" hidden="1" x14ac:dyDescent="0.35"/>
    <row r="3235" hidden="1" x14ac:dyDescent="0.35"/>
    <row r="3236" hidden="1" x14ac:dyDescent="0.35"/>
    <row r="3237" hidden="1" x14ac:dyDescent="0.35"/>
    <row r="3238" hidden="1" x14ac:dyDescent="0.35"/>
    <row r="3239" hidden="1" x14ac:dyDescent="0.35"/>
    <row r="3240" hidden="1" x14ac:dyDescent="0.35"/>
    <row r="3241" hidden="1" x14ac:dyDescent="0.35"/>
    <row r="3242" hidden="1" x14ac:dyDescent="0.35"/>
    <row r="3243" hidden="1" x14ac:dyDescent="0.35"/>
    <row r="3244" hidden="1" x14ac:dyDescent="0.35"/>
    <row r="3245" hidden="1" x14ac:dyDescent="0.35"/>
    <row r="3246" hidden="1" x14ac:dyDescent="0.35"/>
    <row r="3247" hidden="1" x14ac:dyDescent="0.35"/>
    <row r="3248" hidden="1" x14ac:dyDescent="0.35"/>
    <row r="3249" hidden="1" x14ac:dyDescent="0.35"/>
    <row r="3250" hidden="1" x14ac:dyDescent="0.35"/>
    <row r="3251" hidden="1" x14ac:dyDescent="0.35"/>
    <row r="3252" hidden="1" x14ac:dyDescent="0.35"/>
    <row r="3253" hidden="1" x14ac:dyDescent="0.35"/>
    <row r="3254" hidden="1" x14ac:dyDescent="0.35"/>
    <row r="3255" hidden="1" x14ac:dyDescent="0.35"/>
    <row r="3256" hidden="1" x14ac:dyDescent="0.35"/>
    <row r="3257" hidden="1" x14ac:dyDescent="0.35"/>
    <row r="3258" hidden="1" x14ac:dyDescent="0.35"/>
    <row r="3259" hidden="1" x14ac:dyDescent="0.35"/>
    <row r="3260" hidden="1" x14ac:dyDescent="0.35"/>
    <row r="3261" hidden="1" x14ac:dyDescent="0.35"/>
    <row r="3262" hidden="1" x14ac:dyDescent="0.35"/>
    <row r="3263" hidden="1" x14ac:dyDescent="0.35"/>
    <row r="3264" hidden="1" x14ac:dyDescent="0.35"/>
    <row r="3265" hidden="1" x14ac:dyDescent="0.35"/>
    <row r="3266" hidden="1" x14ac:dyDescent="0.35"/>
    <row r="3267" hidden="1" x14ac:dyDescent="0.35"/>
    <row r="3268" hidden="1" x14ac:dyDescent="0.35"/>
    <row r="3269" hidden="1" x14ac:dyDescent="0.35"/>
    <row r="3270" hidden="1" x14ac:dyDescent="0.35"/>
    <row r="3271" hidden="1" x14ac:dyDescent="0.35"/>
    <row r="3272" hidden="1" x14ac:dyDescent="0.35"/>
    <row r="3273" hidden="1" x14ac:dyDescent="0.35"/>
    <row r="3274" hidden="1" x14ac:dyDescent="0.35"/>
    <row r="3275" hidden="1" x14ac:dyDescent="0.35"/>
    <row r="3276" hidden="1" x14ac:dyDescent="0.35"/>
    <row r="3277" hidden="1" x14ac:dyDescent="0.35"/>
    <row r="3278" hidden="1" x14ac:dyDescent="0.35"/>
    <row r="3279" hidden="1" x14ac:dyDescent="0.35"/>
    <row r="3280" hidden="1" x14ac:dyDescent="0.35"/>
    <row r="3281" hidden="1" x14ac:dyDescent="0.35"/>
    <row r="3282" hidden="1" x14ac:dyDescent="0.35"/>
    <row r="3283" hidden="1" x14ac:dyDescent="0.35"/>
    <row r="3284" hidden="1" x14ac:dyDescent="0.35"/>
    <row r="3285" hidden="1" x14ac:dyDescent="0.35"/>
    <row r="3286" hidden="1" x14ac:dyDescent="0.35"/>
    <row r="3287" hidden="1" x14ac:dyDescent="0.35"/>
    <row r="3288" hidden="1" x14ac:dyDescent="0.35"/>
    <row r="3289" hidden="1" x14ac:dyDescent="0.35"/>
    <row r="3290" hidden="1" x14ac:dyDescent="0.35"/>
    <row r="3291" hidden="1" x14ac:dyDescent="0.35"/>
    <row r="3292" hidden="1" x14ac:dyDescent="0.35"/>
    <row r="3293" hidden="1" x14ac:dyDescent="0.35"/>
    <row r="3294" hidden="1" x14ac:dyDescent="0.35"/>
    <row r="3295" hidden="1" x14ac:dyDescent="0.35"/>
    <row r="3296" hidden="1" x14ac:dyDescent="0.35"/>
    <row r="3297" hidden="1" x14ac:dyDescent="0.35"/>
    <row r="3298" hidden="1" x14ac:dyDescent="0.35"/>
    <row r="3299" hidden="1" x14ac:dyDescent="0.35"/>
    <row r="3300" hidden="1" x14ac:dyDescent="0.35"/>
    <row r="3301" hidden="1" x14ac:dyDescent="0.35"/>
    <row r="3302" hidden="1" x14ac:dyDescent="0.35"/>
    <row r="3303" hidden="1" x14ac:dyDescent="0.35"/>
    <row r="3304" hidden="1" x14ac:dyDescent="0.35"/>
    <row r="3305" hidden="1" x14ac:dyDescent="0.35"/>
    <row r="3306" hidden="1" x14ac:dyDescent="0.35"/>
    <row r="3307" hidden="1" x14ac:dyDescent="0.35"/>
    <row r="3308" hidden="1" x14ac:dyDescent="0.35"/>
    <row r="3309" hidden="1" x14ac:dyDescent="0.35"/>
    <row r="3310" hidden="1" x14ac:dyDescent="0.35"/>
    <row r="3311" hidden="1" x14ac:dyDescent="0.35"/>
    <row r="3312" hidden="1" x14ac:dyDescent="0.35"/>
    <row r="3313" hidden="1" x14ac:dyDescent="0.35"/>
    <row r="3314" hidden="1" x14ac:dyDescent="0.35"/>
    <row r="3315" hidden="1" x14ac:dyDescent="0.35"/>
    <row r="3316" hidden="1" x14ac:dyDescent="0.35"/>
    <row r="3317" hidden="1" x14ac:dyDescent="0.35"/>
    <row r="3318" hidden="1" x14ac:dyDescent="0.35"/>
    <row r="3319" hidden="1" x14ac:dyDescent="0.35"/>
    <row r="3320" hidden="1" x14ac:dyDescent="0.35"/>
    <row r="3321" hidden="1" x14ac:dyDescent="0.35"/>
    <row r="3322" hidden="1" x14ac:dyDescent="0.35"/>
    <row r="3323" hidden="1" x14ac:dyDescent="0.35"/>
    <row r="3324" hidden="1" x14ac:dyDescent="0.35"/>
    <row r="3325" hidden="1" x14ac:dyDescent="0.35"/>
    <row r="3326" hidden="1" x14ac:dyDescent="0.35"/>
    <row r="3327" hidden="1" x14ac:dyDescent="0.35"/>
    <row r="3328" hidden="1" x14ac:dyDescent="0.35"/>
    <row r="3329" hidden="1" x14ac:dyDescent="0.35"/>
    <row r="3330" hidden="1" x14ac:dyDescent="0.35"/>
    <row r="3331" hidden="1" x14ac:dyDescent="0.35"/>
    <row r="3332" hidden="1" x14ac:dyDescent="0.35"/>
    <row r="3333" hidden="1" x14ac:dyDescent="0.35"/>
    <row r="3334" hidden="1" x14ac:dyDescent="0.35"/>
    <row r="3335" hidden="1" x14ac:dyDescent="0.35"/>
    <row r="3336" hidden="1" x14ac:dyDescent="0.35"/>
    <row r="3337" hidden="1" x14ac:dyDescent="0.35"/>
    <row r="3338" hidden="1" x14ac:dyDescent="0.35"/>
    <row r="3339" hidden="1" x14ac:dyDescent="0.35"/>
    <row r="3340" hidden="1" x14ac:dyDescent="0.35"/>
    <row r="3341" hidden="1" x14ac:dyDescent="0.35"/>
    <row r="3342" hidden="1" x14ac:dyDescent="0.35"/>
    <row r="3343" hidden="1" x14ac:dyDescent="0.35"/>
    <row r="3344" hidden="1" x14ac:dyDescent="0.35"/>
    <row r="3345" hidden="1" x14ac:dyDescent="0.35"/>
    <row r="3346" hidden="1" x14ac:dyDescent="0.35"/>
    <row r="3347" hidden="1" x14ac:dyDescent="0.35"/>
    <row r="3348" hidden="1" x14ac:dyDescent="0.35"/>
    <row r="3349" hidden="1" x14ac:dyDescent="0.35"/>
    <row r="3350" hidden="1" x14ac:dyDescent="0.35"/>
    <row r="3351" hidden="1" x14ac:dyDescent="0.35"/>
    <row r="3352" hidden="1" x14ac:dyDescent="0.35"/>
    <row r="3353" hidden="1" x14ac:dyDescent="0.35"/>
    <row r="3354" hidden="1" x14ac:dyDescent="0.35"/>
    <row r="3355" hidden="1" x14ac:dyDescent="0.35"/>
    <row r="3356" hidden="1" x14ac:dyDescent="0.35"/>
    <row r="3357" hidden="1" x14ac:dyDescent="0.35"/>
    <row r="3358" hidden="1" x14ac:dyDescent="0.35"/>
    <row r="3359" hidden="1" x14ac:dyDescent="0.35"/>
    <row r="3360" hidden="1" x14ac:dyDescent="0.35"/>
    <row r="3361" hidden="1" x14ac:dyDescent="0.35"/>
    <row r="3362" hidden="1" x14ac:dyDescent="0.35"/>
    <row r="3363" hidden="1" x14ac:dyDescent="0.35"/>
    <row r="3364" hidden="1" x14ac:dyDescent="0.35"/>
    <row r="3365" hidden="1" x14ac:dyDescent="0.35"/>
    <row r="3366" hidden="1" x14ac:dyDescent="0.35"/>
    <row r="3367" hidden="1" x14ac:dyDescent="0.35"/>
    <row r="3368" hidden="1" x14ac:dyDescent="0.35"/>
    <row r="3369" hidden="1" x14ac:dyDescent="0.35"/>
    <row r="3370" hidden="1" x14ac:dyDescent="0.35"/>
    <row r="3371" hidden="1" x14ac:dyDescent="0.35"/>
    <row r="3372" hidden="1" x14ac:dyDescent="0.35"/>
    <row r="3373" hidden="1" x14ac:dyDescent="0.35"/>
    <row r="3374" hidden="1" x14ac:dyDescent="0.35"/>
    <row r="3375" hidden="1" x14ac:dyDescent="0.35"/>
    <row r="3376" hidden="1" x14ac:dyDescent="0.35"/>
    <row r="3377" hidden="1" x14ac:dyDescent="0.35"/>
    <row r="3378" hidden="1" x14ac:dyDescent="0.35"/>
    <row r="3379" hidden="1" x14ac:dyDescent="0.35"/>
    <row r="3380" hidden="1" x14ac:dyDescent="0.35"/>
    <row r="3381" hidden="1" x14ac:dyDescent="0.35"/>
    <row r="3382" hidden="1" x14ac:dyDescent="0.35"/>
    <row r="3383" hidden="1" x14ac:dyDescent="0.35"/>
    <row r="3384" hidden="1" x14ac:dyDescent="0.35"/>
    <row r="3385" hidden="1" x14ac:dyDescent="0.35"/>
    <row r="3386" hidden="1" x14ac:dyDescent="0.35"/>
    <row r="3387" hidden="1" x14ac:dyDescent="0.35"/>
    <row r="3388" hidden="1" x14ac:dyDescent="0.35"/>
    <row r="3389" hidden="1" x14ac:dyDescent="0.35"/>
    <row r="3390" hidden="1" x14ac:dyDescent="0.35"/>
    <row r="3391" hidden="1" x14ac:dyDescent="0.35"/>
    <row r="3392" hidden="1" x14ac:dyDescent="0.35"/>
    <row r="3393" hidden="1" x14ac:dyDescent="0.35"/>
    <row r="3394" hidden="1" x14ac:dyDescent="0.35"/>
    <row r="3395" hidden="1" x14ac:dyDescent="0.35"/>
    <row r="3396" hidden="1" x14ac:dyDescent="0.35"/>
    <row r="3397" hidden="1" x14ac:dyDescent="0.35"/>
    <row r="3398" hidden="1" x14ac:dyDescent="0.35"/>
    <row r="3399" hidden="1" x14ac:dyDescent="0.35"/>
    <row r="3400" hidden="1" x14ac:dyDescent="0.35"/>
    <row r="3401" hidden="1" x14ac:dyDescent="0.35"/>
    <row r="3402" hidden="1" x14ac:dyDescent="0.35"/>
    <row r="3403" hidden="1" x14ac:dyDescent="0.35"/>
    <row r="3404" hidden="1" x14ac:dyDescent="0.35"/>
    <row r="3405" hidden="1" x14ac:dyDescent="0.35"/>
    <row r="3406" hidden="1" x14ac:dyDescent="0.35"/>
    <row r="3407" hidden="1" x14ac:dyDescent="0.35"/>
    <row r="3408" hidden="1" x14ac:dyDescent="0.35"/>
    <row r="3409" hidden="1" x14ac:dyDescent="0.35"/>
    <row r="3410" hidden="1" x14ac:dyDescent="0.35"/>
    <row r="3411" hidden="1" x14ac:dyDescent="0.35"/>
    <row r="3412" hidden="1" x14ac:dyDescent="0.35"/>
    <row r="3413" hidden="1" x14ac:dyDescent="0.35"/>
    <row r="3414" hidden="1" x14ac:dyDescent="0.35"/>
    <row r="3415" hidden="1" x14ac:dyDescent="0.35"/>
    <row r="3416" hidden="1" x14ac:dyDescent="0.35"/>
    <row r="3417" hidden="1" x14ac:dyDescent="0.35"/>
    <row r="3418" hidden="1" x14ac:dyDescent="0.35"/>
    <row r="3419" hidden="1" x14ac:dyDescent="0.35"/>
    <row r="3420" hidden="1" x14ac:dyDescent="0.35"/>
    <row r="3421" hidden="1" x14ac:dyDescent="0.35"/>
    <row r="3422" hidden="1" x14ac:dyDescent="0.35"/>
    <row r="3423" hidden="1" x14ac:dyDescent="0.35"/>
    <row r="3424" hidden="1" x14ac:dyDescent="0.35"/>
    <row r="3425" hidden="1" x14ac:dyDescent="0.35"/>
    <row r="3426" hidden="1" x14ac:dyDescent="0.35"/>
    <row r="3427" hidden="1" x14ac:dyDescent="0.35"/>
    <row r="3428" hidden="1" x14ac:dyDescent="0.35"/>
    <row r="3429" hidden="1" x14ac:dyDescent="0.35"/>
    <row r="3430" hidden="1" x14ac:dyDescent="0.35"/>
    <row r="3431" hidden="1" x14ac:dyDescent="0.35"/>
    <row r="3432" hidden="1" x14ac:dyDescent="0.35"/>
    <row r="3433" hidden="1" x14ac:dyDescent="0.35"/>
    <row r="3434" hidden="1" x14ac:dyDescent="0.35"/>
    <row r="3435" hidden="1" x14ac:dyDescent="0.35"/>
    <row r="3436" hidden="1" x14ac:dyDescent="0.35"/>
    <row r="3437" hidden="1" x14ac:dyDescent="0.35"/>
    <row r="3438" hidden="1" x14ac:dyDescent="0.35"/>
    <row r="3439" hidden="1" x14ac:dyDescent="0.35"/>
    <row r="3440" hidden="1" x14ac:dyDescent="0.35"/>
    <row r="3441" hidden="1" x14ac:dyDescent="0.35"/>
    <row r="3442" hidden="1" x14ac:dyDescent="0.35"/>
    <row r="3443" hidden="1" x14ac:dyDescent="0.35"/>
    <row r="3444" hidden="1" x14ac:dyDescent="0.35"/>
    <row r="3445" hidden="1" x14ac:dyDescent="0.35"/>
    <row r="3446" hidden="1" x14ac:dyDescent="0.35"/>
    <row r="3447" hidden="1" x14ac:dyDescent="0.35"/>
    <row r="3448" hidden="1" x14ac:dyDescent="0.35"/>
    <row r="3449" hidden="1" x14ac:dyDescent="0.35"/>
    <row r="3450" hidden="1" x14ac:dyDescent="0.35"/>
    <row r="3451" hidden="1" x14ac:dyDescent="0.35"/>
    <row r="3452" hidden="1" x14ac:dyDescent="0.35"/>
    <row r="3453" hidden="1" x14ac:dyDescent="0.35"/>
    <row r="3454" hidden="1" x14ac:dyDescent="0.35"/>
    <row r="3455" hidden="1" x14ac:dyDescent="0.35"/>
    <row r="3456" hidden="1" x14ac:dyDescent="0.35"/>
    <row r="3457" hidden="1" x14ac:dyDescent="0.35"/>
    <row r="3458" hidden="1" x14ac:dyDescent="0.35"/>
    <row r="3459" hidden="1" x14ac:dyDescent="0.35"/>
    <row r="3460" hidden="1" x14ac:dyDescent="0.35"/>
    <row r="3461" hidden="1" x14ac:dyDescent="0.35"/>
    <row r="3462" hidden="1" x14ac:dyDescent="0.35"/>
    <row r="3463" hidden="1" x14ac:dyDescent="0.35"/>
    <row r="3464" hidden="1" x14ac:dyDescent="0.35"/>
    <row r="3465" hidden="1" x14ac:dyDescent="0.35"/>
    <row r="3466" hidden="1" x14ac:dyDescent="0.35"/>
    <row r="3467" hidden="1" x14ac:dyDescent="0.35"/>
    <row r="3468" hidden="1" x14ac:dyDescent="0.35"/>
    <row r="3469" hidden="1" x14ac:dyDescent="0.35"/>
    <row r="3470" hidden="1" x14ac:dyDescent="0.35"/>
    <row r="3471" hidden="1" x14ac:dyDescent="0.35"/>
    <row r="3472" hidden="1" x14ac:dyDescent="0.35"/>
    <row r="3473" hidden="1" x14ac:dyDescent="0.35"/>
    <row r="3474" hidden="1" x14ac:dyDescent="0.35"/>
    <row r="3475" hidden="1" x14ac:dyDescent="0.35"/>
    <row r="3476" hidden="1" x14ac:dyDescent="0.35"/>
    <row r="3477" hidden="1" x14ac:dyDescent="0.35"/>
    <row r="3478" hidden="1" x14ac:dyDescent="0.35"/>
    <row r="3479" hidden="1" x14ac:dyDescent="0.35"/>
    <row r="3480" hidden="1" x14ac:dyDescent="0.35"/>
    <row r="3481" hidden="1" x14ac:dyDescent="0.35"/>
    <row r="3482" hidden="1" x14ac:dyDescent="0.35"/>
    <row r="3483" hidden="1" x14ac:dyDescent="0.35"/>
    <row r="3484" hidden="1" x14ac:dyDescent="0.35"/>
    <row r="3485" hidden="1" x14ac:dyDescent="0.35"/>
    <row r="3486" hidden="1" x14ac:dyDescent="0.35"/>
    <row r="3487" hidden="1" x14ac:dyDescent="0.35"/>
    <row r="3488" hidden="1" x14ac:dyDescent="0.35"/>
    <row r="3489" hidden="1" x14ac:dyDescent="0.35"/>
    <row r="3490" hidden="1" x14ac:dyDescent="0.35"/>
    <row r="3491" hidden="1" x14ac:dyDescent="0.35"/>
    <row r="3492" hidden="1" x14ac:dyDescent="0.35"/>
    <row r="3493" hidden="1" x14ac:dyDescent="0.35"/>
    <row r="3494" hidden="1" x14ac:dyDescent="0.35"/>
    <row r="3495" hidden="1" x14ac:dyDescent="0.35"/>
    <row r="3496" hidden="1" x14ac:dyDescent="0.35"/>
    <row r="3497" hidden="1" x14ac:dyDescent="0.35"/>
    <row r="3498" hidden="1" x14ac:dyDescent="0.35"/>
    <row r="3499" hidden="1" x14ac:dyDescent="0.35"/>
    <row r="3500" hidden="1" x14ac:dyDescent="0.35"/>
    <row r="3501" hidden="1" x14ac:dyDescent="0.35"/>
    <row r="3502" x14ac:dyDescent="0.35"/>
  </sheetData>
  <sheetProtection algorithmName="SHA-512" hashValue="+QAQ6tZKlQIuQ9sW0SLN41isMyRuEbFuCIvX4fRb9CMH49rUXV5u9veQYqt/+Fp6Xk4M9m+x+ON9UPAbmWxmeA==" saltValue="gBZOAQnhD1H10SmM/2bncQ==" spinCount="100000" sheet="1" selectLockedCells="1"/>
  <dataConsolidate/>
  <mergeCells count="18">
    <mergeCell ref="I135:J135"/>
    <mergeCell ref="I1:I2"/>
    <mergeCell ref="A1:H1"/>
    <mergeCell ref="A47:H47"/>
    <mergeCell ref="A101:H101"/>
    <mergeCell ref="A116:H116"/>
    <mergeCell ref="A125:H125"/>
    <mergeCell ref="A135:H135"/>
    <mergeCell ref="B3:H3"/>
    <mergeCell ref="B4:H4"/>
    <mergeCell ref="E2:H2"/>
    <mergeCell ref="C2:D2"/>
    <mergeCell ref="A165:H165"/>
    <mergeCell ref="A46:H46"/>
    <mergeCell ref="A115:F115"/>
    <mergeCell ref="A16:F16"/>
    <mergeCell ref="A5:F5"/>
    <mergeCell ref="A17:H17"/>
  </mergeCells>
  <conditionalFormatting sqref="A33:A42">
    <cfRule type="expression" dxfId="468" priority="44">
      <formula>MOD(A33,1)&gt;0</formula>
    </cfRule>
  </conditionalFormatting>
  <conditionalFormatting sqref="A20:B29">
    <cfRule type="expression" dxfId="467" priority="18">
      <formula>LEN(I20)&gt;0</formula>
    </cfRule>
  </conditionalFormatting>
  <conditionalFormatting sqref="D20:D29">
    <cfRule type="expression" dxfId="466" priority="17">
      <formula>D20&gt;Max_project_duration</formula>
    </cfRule>
  </conditionalFormatting>
  <conditionalFormatting sqref="H20:H29">
    <cfRule type="cellIs" dxfId="465" priority="14" operator="equal">
      <formula>0</formula>
    </cfRule>
  </conditionalFormatting>
  <conditionalFormatting sqref="C2:D2">
    <cfRule type="expression" dxfId="464" priority="3">
      <formula>AND(Total_NWO_funding&gt;0,Main_applicant="")</formula>
    </cfRule>
  </conditionalFormatting>
  <conditionalFormatting sqref="C168:C182">
    <cfRule type="expression" dxfId="463" priority="1">
      <formula>$B168="Personnel"</formula>
    </cfRule>
  </conditionalFormatting>
  <dataValidations count="13">
    <dataValidation type="list" allowBlank="1" showInputMessage="1" showErrorMessage="1" sqref="F138:F147 F128:F132 F118:F122 F67:F76 F80:F89 F93:F97 F103:F112 F151:F160 F49:F63 F20:F29">
      <formula1>list_ac_other_combined</formula1>
    </dataValidation>
    <dataValidation type="list" allowBlank="1" showInputMessage="1" showErrorMessage="1" sqref="F168:F182 F186:F195">
      <formula1>list_kind_cash_cofunding</formula1>
    </dataValidation>
    <dataValidation type="date" allowBlank="1" showInputMessage="1" showErrorMessage="1" errorTitle="Invalid entry" error="Please provide a valid date (dd/mm/yy)" sqref="B2">
      <formula1>43831</formula1>
      <formula2>73415</formula2>
    </dataValidation>
    <dataValidation type="decimal" allowBlank="1" showInputMessage="1" showErrorMessage="1" errorTitle="Invalid entry" error="Provide a numerical value." sqref="H103:H112 H118:H122 H151:H160 H186:H195 D168:E182 H49:H63 H80:H89 H93:H97 H128:H132 E138:E147">
      <formula1>0</formula1>
      <formula2>999999999</formula2>
    </dataValidation>
    <dataValidation allowBlank="1" showInputMessage="1" showErrorMessage="1" errorTitle="Invalid entry" error="Provide a numerical value." sqref="H67:H76"/>
    <dataValidation type="decimal" allowBlank="1" showInputMessage="1" showErrorMessage="1" errorTitle="Invalid entry" error="Please provide a valid, decimal, number, max 1 FTE" sqref="C20:C29">
      <formula1>0</formula1>
      <formula2>1</formula2>
    </dataValidation>
    <dataValidation type="list" allowBlank="1" showInputMessage="1" showErrorMessage="1" sqref="A20:A29">
      <formula1>INDIRECT("salaries_academic[category]")</formula1>
    </dataValidation>
    <dataValidation errorStyle="warning" allowBlank="1" showInputMessage="1" showErrorMessage="1" sqref="A33:A42"/>
    <dataValidation type="whole" allowBlank="1" showInputMessage="1" showErrorMessage="1" errorTitle="Invalid entry" error="Please enter nr of benchfee (max 1 per position)" sqref="D33:D42">
      <formula1>0</formula1>
      <formula2>1</formula2>
    </dataValidation>
    <dataValidation allowBlank="1" showInputMessage="1" showErrorMessage="1" errorTitle="Invalid entry" error="Please enter the requested number of positions for which a bench fee is requested (round number &gt;0)" sqref="E33:F42"/>
    <dataValidation type="decimal" allowBlank="1" showInputMessage="1" showErrorMessage="1" errorTitle="Invalid value FTE" error="Provide a numeric value." sqref="B138:B147">
      <formula1>0</formula1>
      <formula2>100</formula2>
    </dataValidation>
    <dataValidation type="whole" allowBlank="1" showInputMessage="1" showErrorMessage="1" errorTitle="Invalid Months" error="Provide a numeric value, rounded at full months (max 96)." sqref="C138:C147">
      <formula1>0</formula1>
      <formula2>96</formula2>
    </dataValidation>
    <dataValidation type="list" allowBlank="1" showInputMessage="1" showErrorMessage="1" errorTitle="Invalid entry" error="Select item from the list." sqref="C168:C182">
      <formula1>"Junior,Senior"</formula1>
    </dataValidation>
  </dataValidations>
  <printOptions headings="1"/>
  <pageMargins left="0.19685039370078741" right="0.19685039370078741" top="0.19685039370078741" bottom="0.19685039370078741" header="0.19685039370078741" footer="0.19685039370078741"/>
  <pageSetup paperSize="9" scale="50" fitToHeight="0"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792E026-6219-40E6-B7B9-302E9AFD7C5A}">
            <xm:f>parameters!#REF!="issue"</xm:f>
            <x14:dxf>
              <font>
                <b val="0"/>
                <i val="0"/>
                <strike val="0"/>
                <color rgb="FFFF0000"/>
              </font>
            </x14:dxf>
          </x14:cfRule>
          <xm:sqref>A20:B29</xm:sqref>
        </x14:conditionalFormatting>
        <x14:conditionalFormatting xmlns:xm="http://schemas.microsoft.com/office/excel/2006/main">
          <x14:cfRule type="expression" priority="63" id="{D137BD43-E2FB-4023-9FCF-CF69E09D0726}">
            <xm:f>VLOOKUP(A20,parameters!$A$88:$D$100,3,FALSE)=0</xm:f>
            <x14:dxf>
              <fill>
                <patternFill>
                  <bgColor rgb="FFCBDEDF"/>
                </patternFill>
              </fill>
            </x14:dxf>
          </x14:cfRule>
          <xm:sqref>E20:E29 E138:E147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parameters!$C$136:$C$300</xm:f>
          </x14:formula1>
          <xm:sqref>D138:D147</xm:sqref>
        </x14:dataValidation>
        <x14:dataValidation type="list" allowBlank="1" showInputMessage="1" showErrorMessage="1">
          <x14:formula1>
            <xm:f>parameters!$A$88:$A$100</xm:f>
          </x14:formula1>
          <xm:sqref>A138:A147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outlinePr summaryBelow="0"/>
  </sheetPr>
  <dimension ref="A2:DB548"/>
  <sheetViews>
    <sheetView topLeftCell="A52" zoomScale="85" zoomScaleNormal="85" workbookViewId="0">
      <selection activeCell="B74" sqref="B74"/>
    </sheetView>
  </sheetViews>
  <sheetFormatPr defaultColWidth="9.1796875" defaultRowHeight="14.5" outlineLevelRow="1" x14ac:dyDescent="0.35"/>
  <cols>
    <col min="1" max="1" width="46.1796875" style="26" customWidth="1"/>
    <col min="2" max="2" width="16.453125" style="26" customWidth="1"/>
    <col min="3" max="3" width="37.7265625" style="26" customWidth="1"/>
    <col min="4" max="4" width="12.453125" style="26" customWidth="1"/>
    <col min="5" max="5" width="36.81640625" style="26" customWidth="1"/>
    <col min="6" max="6" width="16.453125" style="26" customWidth="1"/>
    <col min="7" max="7" width="19" style="26" customWidth="1"/>
    <col min="8" max="8" width="14.81640625" style="26" customWidth="1"/>
    <col min="9" max="9" width="12.453125" style="26" customWidth="1"/>
    <col min="10" max="10" width="13.54296875" style="26" customWidth="1"/>
    <col min="11" max="11" width="13" style="26" customWidth="1"/>
    <col min="12" max="14" width="13.54296875" style="26" customWidth="1"/>
    <col min="15" max="15" width="13.26953125" style="26" customWidth="1"/>
    <col min="16" max="16" width="13.54296875" style="26" customWidth="1"/>
    <col min="17" max="17" width="13.26953125" style="26" customWidth="1"/>
    <col min="18" max="19" width="13.54296875" style="26" customWidth="1"/>
    <col min="20" max="20" width="14" style="26" customWidth="1"/>
    <col min="21" max="21" width="13.54296875" style="26" customWidth="1"/>
    <col min="22" max="24" width="14" style="26" customWidth="1"/>
    <col min="25" max="25" width="13.7265625" style="26" customWidth="1"/>
    <col min="26" max="26" width="14" style="26" customWidth="1"/>
    <col min="27" max="27" width="13.7265625" style="26" customWidth="1"/>
    <col min="28" max="30" width="14" style="26" customWidth="1"/>
    <col min="31" max="31" width="13.54296875" style="26" customWidth="1"/>
    <col min="32" max="34" width="14" style="26" customWidth="1"/>
    <col min="35" max="35" width="13.7265625" style="26" customWidth="1"/>
    <col min="36" max="36" width="14" style="26" customWidth="1"/>
    <col min="37" max="37" width="13.7265625" style="26" customWidth="1"/>
    <col min="38" max="40" width="14" style="26" customWidth="1"/>
    <col min="41" max="41" width="13.54296875" style="26" customWidth="1"/>
    <col min="42" max="44" width="14" style="26" customWidth="1"/>
    <col min="45" max="45" width="13.7265625" style="26" customWidth="1"/>
    <col min="46" max="46" width="14" style="26" customWidth="1"/>
    <col min="47" max="47" width="13.7265625" style="26" customWidth="1"/>
    <col min="48" max="49" width="14" style="26" customWidth="1"/>
    <col min="50" max="50" width="13.7265625" style="26" customWidth="1"/>
    <col min="51" max="51" width="13.26953125" style="26" customWidth="1"/>
    <col min="52" max="54" width="13.7265625" style="26" customWidth="1"/>
    <col min="55" max="55" width="13.54296875" style="26" customWidth="1"/>
    <col min="56" max="56" width="13.7265625" style="26" customWidth="1"/>
    <col min="57" max="57" width="13.54296875" style="26" customWidth="1"/>
    <col min="58" max="59" width="13.7265625" style="26" customWidth="1"/>
    <col min="60" max="60" width="14" style="26" customWidth="1"/>
    <col min="61" max="61" width="13.54296875" style="26" customWidth="1"/>
    <col min="62" max="64" width="14" style="26" customWidth="1"/>
    <col min="65" max="65" width="13.7265625" style="26" customWidth="1"/>
    <col min="66" max="66" width="14" style="26" customWidth="1"/>
    <col min="67" max="67" width="13.7265625" style="26" customWidth="1"/>
    <col min="68" max="69" width="14" style="26" customWidth="1"/>
    <col min="70" max="70" width="13.7265625" style="26" customWidth="1"/>
    <col min="71" max="71" width="13.26953125" style="26" customWidth="1"/>
    <col min="72" max="74" width="13.7265625" style="26" customWidth="1"/>
    <col min="75" max="75" width="13.54296875" style="26" customWidth="1"/>
    <col min="76" max="76" width="13.7265625" style="26" customWidth="1"/>
    <col min="77" max="77" width="13.54296875" style="26" customWidth="1"/>
    <col min="78" max="79" width="13.7265625" style="26" customWidth="1"/>
    <col min="80" max="80" width="14" style="26" customWidth="1"/>
    <col min="81" max="81" width="13.54296875" style="26" customWidth="1"/>
    <col min="82" max="84" width="14" style="26" customWidth="1"/>
    <col min="85" max="85" width="13.7265625" style="26" customWidth="1"/>
    <col min="86" max="86" width="14" style="26" customWidth="1"/>
    <col min="87" max="87" width="13.7265625" style="26" customWidth="1"/>
    <col min="88" max="90" width="14" style="26" customWidth="1"/>
    <col min="91" max="91" width="13.54296875" style="26" customWidth="1"/>
    <col min="92" max="94" width="14" style="26" customWidth="1"/>
    <col min="95" max="95" width="13.7265625" style="26" customWidth="1"/>
    <col min="96" max="96" width="14" style="26" customWidth="1"/>
    <col min="97" max="97" width="13.7265625" style="26" customWidth="1"/>
    <col min="98" max="16384" width="9.1796875" style="26"/>
  </cols>
  <sheetData>
    <row r="2" spans="1:3" ht="18.5" x14ac:dyDescent="0.35">
      <c r="A2" s="89" t="s">
        <v>189</v>
      </c>
    </row>
    <row r="3" spans="1:3" x14ac:dyDescent="0.35">
      <c r="A3" s="26" t="s">
        <v>195</v>
      </c>
      <c r="B3" s="387">
        <v>45160.641701388886</v>
      </c>
    </row>
    <row r="4" spans="1:3" x14ac:dyDescent="0.35">
      <c r="A4" s="26" t="s">
        <v>635</v>
      </c>
      <c r="B4" s="48">
        <v>0</v>
      </c>
    </row>
    <row r="5" spans="1:3" x14ac:dyDescent="0.35">
      <c r="A5" s="26" t="s">
        <v>836</v>
      </c>
      <c r="B5" s="48">
        <v>150000</v>
      </c>
    </row>
    <row r="6" spans="1:3" x14ac:dyDescent="0.35">
      <c r="A6" s="26" t="s">
        <v>837</v>
      </c>
      <c r="B6" s="48">
        <v>900000</v>
      </c>
    </row>
    <row r="7" spans="1:3" x14ac:dyDescent="0.35">
      <c r="A7" s="26" t="s">
        <v>838</v>
      </c>
      <c r="B7" s="48">
        <v>1000000</v>
      </c>
    </row>
    <row r="8" spans="1:3" x14ac:dyDescent="0.35">
      <c r="A8" s="26" t="s">
        <v>175</v>
      </c>
      <c r="B8" s="48">
        <f>IF(Total_investments&gt;threshold_inv_nature,max_NWO_funding_with_inv_nature,max_NWO_funding_wo_inv_nature)</f>
        <v>900000</v>
      </c>
    </row>
    <row r="9" spans="1:3" x14ac:dyDescent="0.35">
      <c r="A9" s="26" t="s">
        <v>192</v>
      </c>
      <c r="B9" s="97">
        <v>72</v>
      </c>
    </row>
    <row r="10" spans="1:3" x14ac:dyDescent="0.35">
      <c r="A10" s="26" t="s">
        <v>683</v>
      </c>
      <c r="B10" s="97" t="s">
        <v>639</v>
      </c>
      <c r="C10" s="26" t="s">
        <v>821</v>
      </c>
    </row>
    <row r="11" spans="1:3" x14ac:dyDescent="0.35">
      <c r="A11" s="26" t="s">
        <v>759</v>
      </c>
      <c r="B11" s="97" t="s">
        <v>202</v>
      </c>
      <c r="C11" s="26" t="s">
        <v>822</v>
      </c>
    </row>
    <row r="12" spans="1:3" x14ac:dyDescent="0.35">
      <c r="A12" s="26" t="s">
        <v>802</v>
      </c>
      <c r="B12" s="97" t="s">
        <v>202</v>
      </c>
      <c r="C12" s="26" t="s">
        <v>803</v>
      </c>
    </row>
    <row r="13" spans="1:3" x14ac:dyDescent="0.35">
      <c r="B13" s="97"/>
    </row>
    <row r="14" spans="1:3" ht="18.5" x14ac:dyDescent="0.35">
      <c r="A14" s="89" t="s">
        <v>196</v>
      </c>
      <c r="B14" s="97"/>
    </row>
    <row r="15" spans="1:3" x14ac:dyDescent="0.35">
      <c r="A15" s="26" t="s">
        <v>197</v>
      </c>
      <c r="B15" s="111">
        <v>45108</v>
      </c>
    </row>
    <row r="16" spans="1:3" x14ac:dyDescent="0.35">
      <c r="A16" s="26" t="s">
        <v>198</v>
      </c>
      <c r="B16" s="111">
        <v>45231</v>
      </c>
    </row>
    <row r="17" spans="1:3" x14ac:dyDescent="0.35">
      <c r="A17" s="26" t="s">
        <v>713</v>
      </c>
      <c r="B17" s="112">
        <v>48</v>
      </c>
      <c r="C17" s="26" t="s">
        <v>685</v>
      </c>
    </row>
    <row r="18" spans="1:3" x14ac:dyDescent="0.35">
      <c r="A18" s="26" t="s">
        <v>832</v>
      </c>
      <c r="B18" s="112">
        <v>48</v>
      </c>
      <c r="C18" s="26" t="s">
        <v>685</v>
      </c>
    </row>
    <row r="19" spans="1:3" x14ac:dyDescent="0.35">
      <c r="A19" s="26" t="s">
        <v>714</v>
      </c>
      <c r="B19" s="112">
        <v>36</v>
      </c>
      <c r="C19" s="26" t="s">
        <v>685</v>
      </c>
    </row>
    <row r="20" spans="1:3" x14ac:dyDescent="0.35">
      <c r="A20" s="26" t="s">
        <v>717</v>
      </c>
      <c r="B20" s="112">
        <v>24</v>
      </c>
      <c r="C20" s="26" t="s">
        <v>685</v>
      </c>
    </row>
    <row r="21" spans="1:3" x14ac:dyDescent="0.35">
      <c r="A21" s="26" t="s">
        <v>715</v>
      </c>
      <c r="B21" s="112">
        <v>6</v>
      </c>
      <c r="C21" s="26" t="s">
        <v>685</v>
      </c>
    </row>
    <row r="22" spans="1:3" x14ac:dyDescent="0.35">
      <c r="A22" s="26" t="s">
        <v>716</v>
      </c>
      <c r="B22" s="262">
        <v>48</v>
      </c>
      <c r="C22" s="26" t="s">
        <v>685</v>
      </c>
    </row>
    <row r="23" spans="1:3" x14ac:dyDescent="0.35">
      <c r="A23" s="26" t="s">
        <v>701</v>
      </c>
      <c r="B23" s="48">
        <v>200000</v>
      </c>
    </row>
    <row r="24" spans="1:3" x14ac:dyDescent="0.35">
      <c r="A24" s="26" t="s">
        <v>712</v>
      </c>
      <c r="B24" s="97">
        <v>6</v>
      </c>
      <c r="C24" s="26" t="s">
        <v>685</v>
      </c>
    </row>
    <row r="25" spans="1:3" x14ac:dyDescent="0.35">
      <c r="A25" s="26" t="s">
        <v>709</v>
      </c>
      <c r="B25" s="97">
        <v>48</v>
      </c>
      <c r="C25" s="26" t="s">
        <v>685</v>
      </c>
    </row>
    <row r="26" spans="1:3" x14ac:dyDescent="0.35">
      <c r="A26" s="26" t="s">
        <v>200</v>
      </c>
      <c r="B26" s="48">
        <v>100000</v>
      </c>
    </row>
    <row r="27" spans="1:3" x14ac:dyDescent="0.35">
      <c r="A27" s="26" t="s">
        <v>710</v>
      </c>
      <c r="B27" s="97">
        <v>6</v>
      </c>
      <c r="C27" s="26" t="s">
        <v>685</v>
      </c>
    </row>
    <row r="28" spans="1:3" x14ac:dyDescent="0.35">
      <c r="A28" s="26" t="s">
        <v>711</v>
      </c>
      <c r="B28" s="97">
        <v>48</v>
      </c>
      <c r="C28" s="26" t="s">
        <v>685</v>
      </c>
    </row>
    <row r="29" spans="1:3" x14ac:dyDescent="0.35">
      <c r="A29" s="26" t="s">
        <v>686</v>
      </c>
      <c r="B29" s="113">
        <v>1</v>
      </c>
    </row>
    <row r="30" spans="1:3" x14ac:dyDescent="0.35">
      <c r="A30" s="26" t="s">
        <v>687</v>
      </c>
      <c r="B30" s="112">
        <v>5</v>
      </c>
      <c r="C30" s="26" t="s">
        <v>685</v>
      </c>
    </row>
    <row r="31" spans="1:3" x14ac:dyDescent="0.35">
      <c r="A31" s="26" t="s">
        <v>178</v>
      </c>
      <c r="B31" s="48">
        <v>5000</v>
      </c>
      <c r="C31" s="26" t="s">
        <v>765</v>
      </c>
    </row>
    <row r="32" spans="1:3" x14ac:dyDescent="0.35">
      <c r="A32" s="26" t="s">
        <v>199</v>
      </c>
      <c r="B32" s="112">
        <v>2023</v>
      </c>
    </row>
    <row r="33" spans="1:2" x14ac:dyDescent="0.35">
      <c r="A33" s="26" t="s">
        <v>216</v>
      </c>
      <c r="B33" s="112" t="s">
        <v>217</v>
      </c>
    </row>
    <row r="34" spans="1:2" x14ac:dyDescent="0.35">
      <c r="A34" s="26" t="s">
        <v>180</v>
      </c>
      <c r="B34" s="48" t="s">
        <v>181</v>
      </c>
    </row>
    <row r="35" spans="1:2" x14ac:dyDescent="0.35">
      <c r="A35" s="26" t="s">
        <v>609</v>
      </c>
      <c r="B35" s="112">
        <v>1410</v>
      </c>
    </row>
    <row r="36" spans="1:2" x14ac:dyDescent="0.35">
      <c r="B36" s="48"/>
    </row>
    <row r="37" spans="1:2" ht="18.5" x14ac:dyDescent="0.35">
      <c r="A37" s="89" t="s">
        <v>215</v>
      </c>
      <c r="B37" s="48"/>
    </row>
    <row r="38" spans="1:2" ht="31.5" customHeight="1" x14ac:dyDescent="0.35">
      <c r="A38" s="149" t="s">
        <v>767</v>
      </c>
      <c r="B38" s="125">
        <v>30000</v>
      </c>
    </row>
    <row r="39" spans="1:2" ht="31.5" customHeight="1" x14ac:dyDescent="0.35">
      <c r="A39" s="149" t="s">
        <v>608</v>
      </c>
      <c r="B39" s="328">
        <v>12</v>
      </c>
    </row>
    <row r="40" spans="1:2" ht="33" customHeight="1" x14ac:dyDescent="0.35">
      <c r="A40" s="149" t="s">
        <v>607</v>
      </c>
      <c r="B40" s="150">
        <v>0.2</v>
      </c>
    </row>
    <row r="41" spans="1:2" ht="45.75" customHeight="1" x14ac:dyDescent="0.35">
      <c r="A41" s="149" t="s">
        <v>606</v>
      </c>
      <c r="B41" s="125">
        <v>30000</v>
      </c>
    </row>
    <row r="42" spans="1:2" ht="15" customHeight="1" x14ac:dyDescent="0.35">
      <c r="A42" s="151" t="s">
        <v>218</v>
      </c>
      <c r="B42" s="125">
        <v>0</v>
      </c>
    </row>
    <row r="43" spans="1:2" ht="15" customHeight="1" x14ac:dyDescent="0.35">
      <c r="A43" s="151" t="s">
        <v>725</v>
      </c>
      <c r="B43" s="125">
        <v>10000</v>
      </c>
    </row>
    <row r="44" spans="1:2" ht="15" customHeight="1" x14ac:dyDescent="0.35">
      <c r="A44" s="151" t="s">
        <v>726</v>
      </c>
      <c r="B44" s="125">
        <v>150000</v>
      </c>
    </row>
    <row r="45" spans="1:2" ht="15" customHeight="1" x14ac:dyDescent="0.35">
      <c r="A45" s="89"/>
      <c r="B45" s="48"/>
    </row>
    <row r="46" spans="1:2" ht="18.5" x14ac:dyDescent="0.35">
      <c r="A46" s="89" t="s">
        <v>16</v>
      </c>
      <c r="B46" s="48"/>
    </row>
    <row r="47" spans="1:2" x14ac:dyDescent="0.35">
      <c r="A47" s="26" t="s">
        <v>201</v>
      </c>
      <c r="B47" s="48" t="s">
        <v>639</v>
      </c>
    </row>
    <row r="48" spans="1:2" x14ac:dyDescent="0.35">
      <c r="A48" s="26" t="s">
        <v>203</v>
      </c>
      <c r="B48" s="48">
        <v>500000</v>
      </c>
    </row>
    <row r="49" spans="1:2" x14ac:dyDescent="0.35">
      <c r="A49" s="26" t="s">
        <v>204</v>
      </c>
      <c r="B49" s="113">
        <v>0.25</v>
      </c>
    </row>
    <row r="50" spans="1:2" x14ac:dyDescent="0.35">
      <c r="A50" s="26" t="s">
        <v>205</v>
      </c>
      <c r="B50" s="48">
        <v>0</v>
      </c>
    </row>
    <row r="51" spans="1:2" x14ac:dyDescent="0.35">
      <c r="A51" s="26" t="s">
        <v>206</v>
      </c>
      <c r="B51" s="48">
        <v>500000</v>
      </c>
    </row>
    <row r="52" spans="1:2" x14ac:dyDescent="0.35">
      <c r="B52" s="48"/>
    </row>
    <row r="53" spans="1:2" ht="18.5" x14ac:dyDescent="0.35">
      <c r="A53" s="89" t="s">
        <v>219</v>
      </c>
      <c r="B53" s="48"/>
    </row>
    <row r="54" spans="1:2" x14ac:dyDescent="0.35">
      <c r="A54" s="26" t="s">
        <v>220</v>
      </c>
      <c r="B54" s="113">
        <v>0</v>
      </c>
    </row>
    <row r="55" spans="1:2" x14ac:dyDescent="0.35">
      <c r="A55" s="26" t="s">
        <v>221</v>
      </c>
      <c r="B55" s="48">
        <v>900000</v>
      </c>
    </row>
    <row r="56" spans="1:2" x14ac:dyDescent="0.35">
      <c r="A56" s="26" t="s">
        <v>768</v>
      </c>
      <c r="B56" s="48">
        <v>25000</v>
      </c>
    </row>
    <row r="57" spans="1:2" x14ac:dyDescent="0.35">
      <c r="A57" s="26" t="s">
        <v>688</v>
      </c>
      <c r="B57" s="113">
        <v>0</v>
      </c>
    </row>
    <row r="58" spans="1:2" x14ac:dyDescent="0.35">
      <c r="A58" s="26" t="s">
        <v>689</v>
      </c>
      <c r="B58" s="113">
        <v>1</v>
      </c>
    </row>
    <row r="60" spans="1:2" ht="18.5" x14ac:dyDescent="0.35">
      <c r="A60" s="89" t="s">
        <v>19</v>
      </c>
    </row>
    <row r="61" spans="1:2" x14ac:dyDescent="0.35">
      <c r="A61" s="26" t="s">
        <v>222</v>
      </c>
      <c r="B61" s="48">
        <v>99999999</v>
      </c>
    </row>
    <row r="62" spans="1:2" x14ac:dyDescent="0.35">
      <c r="A62" s="26" t="s">
        <v>655</v>
      </c>
      <c r="B62" s="113">
        <v>1</v>
      </c>
    </row>
    <row r="63" spans="1:2" x14ac:dyDescent="0.35">
      <c r="A63" s="26" t="s">
        <v>648</v>
      </c>
      <c r="B63" s="48">
        <v>25000</v>
      </c>
    </row>
    <row r="64" spans="1:2" x14ac:dyDescent="0.35">
      <c r="A64" s="26" t="s">
        <v>649</v>
      </c>
      <c r="B64" s="113">
        <v>1</v>
      </c>
    </row>
    <row r="65" spans="1:2" x14ac:dyDescent="0.35">
      <c r="A65" s="26" t="s">
        <v>652</v>
      </c>
      <c r="B65" s="48">
        <v>900000</v>
      </c>
    </row>
    <row r="66" spans="1:2" x14ac:dyDescent="0.35">
      <c r="A66" s="26" t="s">
        <v>223</v>
      </c>
      <c r="B66" s="113">
        <v>0.5</v>
      </c>
    </row>
    <row r="67" spans="1:2" x14ac:dyDescent="0.35">
      <c r="B67" s="113"/>
    </row>
    <row r="68" spans="1:2" ht="18.5" x14ac:dyDescent="0.35">
      <c r="A68" s="89" t="s">
        <v>63</v>
      </c>
      <c r="B68" s="113"/>
    </row>
    <row r="69" spans="1:2" x14ac:dyDescent="0.35">
      <c r="A69" s="26" t="s">
        <v>224</v>
      </c>
      <c r="B69" s="113">
        <v>0.25</v>
      </c>
    </row>
    <row r="70" spans="1:2" ht="29" x14ac:dyDescent="0.35">
      <c r="A70" s="124" t="s">
        <v>722</v>
      </c>
      <c r="B70" s="125">
        <v>30000</v>
      </c>
    </row>
    <row r="71" spans="1:2" x14ac:dyDescent="0.35">
      <c r="A71" s="124"/>
      <c r="B71" s="125"/>
    </row>
    <row r="72" spans="1:2" ht="18.5" x14ac:dyDescent="0.35">
      <c r="A72" s="126" t="s">
        <v>21</v>
      </c>
      <c r="B72" s="125"/>
    </row>
    <row r="73" spans="1:2" x14ac:dyDescent="0.35">
      <c r="A73" s="124" t="s">
        <v>632</v>
      </c>
      <c r="B73" s="125">
        <v>650000</v>
      </c>
    </row>
    <row r="74" spans="1:2" x14ac:dyDescent="0.35">
      <c r="A74" s="124" t="s">
        <v>225</v>
      </c>
      <c r="B74" s="113">
        <v>0.25</v>
      </c>
    </row>
    <row r="75" spans="1:2" x14ac:dyDescent="0.35">
      <c r="A75" s="124" t="s">
        <v>226</v>
      </c>
      <c r="B75" s="113">
        <v>0.49</v>
      </c>
    </row>
    <row r="76" spans="1:2" x14ac:dyDescent="0.35">
      <c r="A76" s="124" t="s">
        <v>227</v>
      </c>
      <c r="B76" s="113">
        <v>0</v>
      </c>
    </row>
    <row r="77" spans="1:2" x14ac:dyDescent="0.35">
      <c r="A77" s="124" t="s">
        <v>645</v>
      </c>
      <c r="B77" s="113" t="s">
        <v>670</v>
      </c>
    </row>
    <row r="78" spans="1:2" x14ac:dyDescent="0.35">
      <c r="A78" s="124" t="s">
        <v>813</v>
      </c>
      <c r="B78" s="113" t="s">
        <v>639</v>
      </c>
    </row>
    <row r="79" spans="1:2" x14ac:dyDescent="0.35">
      <c r="A79" s="124" t="s">
        <v>805</v>
      </c>
      <c r="B79" s="370" t="s">
        <v>670</v>
      </c>
    </row>
    <row r="80" spans="1:2" x14ac:dyDescent="0.35">
      <c r="A80" s="124" t="s">
        <v>806</v>
      </c>
      <c r="B80" s="370" t="s">
        <v>670</v>
      </c>
    </row>
    <row r="81" spans="1:98" x14ac:dyDescent="0.35">
      <c r="A81" s="124" t="s">
        <v>228</v>
      </c>
      <c r="B81" s="113" t="s">
        <v>625</v>
      </c>
    </row>
    <row r="82" spans="1:98" x14ac:dyDescent="0.35">
      <c r="A82" s="124"/>
      <c r="B82" s="125"/>
    </row>
    <row r="85" spans="1:98" ht="18.5" x14ac:dyDescent="0.35">
      <c r="A85" s="89" t="s">
        <v>210</v>
      </c>
    </row>
    <row r="87" spans="1:98" outlineLevel="1" x14ac:dyDescent="0.35">
      <c r="A87" s="174" t="s">
        <v>173</v>
      </c>
      <c r="B87" s="364" t="s">
        <v>213</v>
      </c>
      <c r="C87" s="175" t="s">
        <v>77</v>
      </c>
      <c r="D87" s="175" t="s">
        <v>78</v>
      </c>
      <c r="E87" s="175" t="s">
        <v>79</v>
      </c>
      <c r="F87" s="175" t="s">
        <v>80</v>
      </c>
      <c r="G87" s="175" t="s">
        <v>81</v>
      </c>
      <c r="H87" s="175" t="s">
        <v>82</v>
      </c>
      <c r="I87" s="175" t="s">
        <v>83</v>
      </c>
      <c r="J87" s="175" t="s">
        <v>84</v>
      </c>
      <c r="K87" s="175" t="s">
        <v>85</v>
      </c>
      <c r="L87" s="175" t="s">
        <v>86</v>
      </c>
      <c r="M87" s="175" t="s">
        <v>87</v>
      </c>
      <c r="N87" s="175" t="s">
        <v>88</v>
      </c>
      <c r="O87" s="175" t="s">
        <v>89</v>
      </c>
      <c r="P87" s="175" t="s">
        <v>90</v>
      </c>
      <c r="Q87" s="175" t="s">
        <v>91</v>
      </c>
      <c r="R87" s="175" t="s">
        <v>92</v>
      </c>
      <c r="S87" s="175" t="s">
        <v>93</v>
      </c>
      <c r="T87" s="175" t="s">
        <v>94</v>
      </c>
      <c r="U87" s="175" t="s">
        <v>95</v>
      </c>
      <c r="V87" s="175" t="s">
        <v>96</v>
      </c>
      <c r="W87" s="175" t="s">
        <v>97</v>
      </c>
      <c r="X87" s="175" t="s">
        <v>98</v>
      </c>
      <c r="Y87" s="175" t="s">
        <v>99</v>
      </c>
      <c r="Z87" s="175" t="s">
        <v>100</v>
      </c>
      <c r="AA87" s="175" t="s">
        <v>101</v>
      </c>
      <c r="AB87" s="175" t="s">
        <v>102</v>
      </c>
      <c r="AC87" s="175" t="s">
        <v>103</v>
      </c>
      <c r="AD87" s="175" t="s">
        <v>104</v>
      </c>
      <c r="AE87" s="175" t="s">
        <v>105</v>
      </c>
      <c r="AF87" s="175" t="s">
        <v>106</v>
      </c>
      <c r="AG87" s="175" t="s">
        <v>107</v>
      </c>
      <c r="AH87" s="175" t="s">
        <v>108</v>
      </c>
      <c r="AI87" s="175" t="s">
        <v>109</v>
      </c>
      <c r="AJ87" s="175" t="s">
        <v>110</v>
      </c>
      <c r="AK87" s="175" t="s">
        <v>111</v>
      </c>
      <c r="AL87" s="175" t="s">
        <v>112</v>
      </c>
      <c r="AM87" s="175" t="s">
        <v>113</v>
      </c>
      <c r="AN87" s="175" t="s">
        <v>114</v>
      </c>
      <c r="AO87" s="175" t="s">
        <v>115</v>
      </c>
      <c r="AP87" s="175" t="s">
        <v>116</v>
      </c>
      <c r="AQ87" s="175" t="s">
        <v>117</v>
      </c>
      <c r="AR87" s="175" t="s">
        <v>118</v>
      </c>
      <c r="AS87" s="175" t="s">
        <v>119</v>
      </c>
      <c r="AT87" s="175" t="s">
        <v>120</v>
      </c>
      <c r="AU87" s="175" t="s">
        <v>121</v>
      </c>
      <c r="AV87" s="175" t="s">
        <v>122</v>
      </c>
      <c r="AW87" s="175" t="s">
        <v>123</v>
      </c>
      <c r="AX87" s="175" t="s">
        <v>124</v>
      </c>
      <c r="AY87" s="175" t="s">
        <v>125</v>
      </c>
      <c r="AZ87" s="175" t="s">
        <v>126</v>
      </c>
      <c r="BA87" s="175" t="s">
        <v>127</v>
      </c>
      <c r="BB87" s="175" t="s">
        <v>128</v>
      </c>
      <c r="BC87" s="175" t="s">
        <v>129</v>
      </c>
      <c r="BD87" s="175" t="s">
        <v>130</v>
      </c>
      <c r="BE87" s="175" t="s">
        <v>131</v>
      </c>
      <c r="BF87" s="175" t="s">
        <v>132</v>
      </c>
      <c r="BG87" s="175" t="s">
        <v>133</v>
      </c>
      <c r="BH87" s="175" t="s">
        <v>134</v>
      </c>
      <c r="BI87" s="175" t="s">
        <v>135</v>
      </c>
      <c r="BJ87" s="175" t="s">
        <v>136</v>
      </c>
      <c r="BK87" s="175" t="s">
        <v>137</v>
      </c>
      <c r="BL87" s="175" t="s">
        <v>138</v>
      </c>
      <c r="BM87" s="175" t="s">
        <v>139</v>
      </c>
      <c r="BN87" s="175" t="s">
        <v>140</v>
      </c>
      <c r="BO87" s="175" t="s">
        <v>141</v>
      </c>
      <c r="BP87" s="175" t="s">
        <v>142</v>
      </c>
      <c r="BQ87" s="175" t="s">
        <v>143</v>
      </c>
      <c r="BR87" s="175" t="s">
        <v>144</v>
      </c>
      <c r="BS87" s="175" t="s">
        <v>145</v>
      </c>
      <c r="BT87" s="175" t="s">
        <v>146</v>
      </c>
      <c r="BU87" s="175" t="s">
        <v>147</v>
      </c>
      <c r="BV87" s="175" t="s">
        <v>148</v>
      </c>
      <c r="BW87" s="175" t="s">
        <v>149</v>
      </c>
      <c r="BX87" s="175" t="s">
        <v>150</v>
      </c>
      <c r="BY87" s="175" t="s">
        <v>151</v>
      </c>
      <c r="BZ87" s="175" t="s">
        <v>152</v>
      </c>
      <c r="CA87" s="175" t="s">
        <v>153</v>
      </c>
      <c r="CB87" s="175" t="s">
        <v>154</v>
      </c>
      <c r="CC87" s="175" t="s">
        <v>155</v>
      </c>
      <c r="CD87" s="175" t="s">
        <v>156</v>
      </c>
      <c r="CE87" s="175" t="s">
        <v>157</v>
      </c>
      <c r="CF87" s="175" t="s">
        <v>158</v>
      </c>
      <c r="CG87" s="175" t="s">
        <v>159</v>
      </c>
      <c r="CH87" s="175" t="s">
        <v>160</v>
      </c>
      <c r="CI87" s="175" t="s">
        <v>161</v>
      </c>
      <c r="CJ87" s="175" t="s">
        <v>162</v>
      </c>
      <c r="CK87" s="175" t="s">
        <v>163</v>
      </c>
      <c r="CL87" s="175" t="s">
        <v>164</v>
      </c>
      <c r="CM87" s="175" t="s">
        <v>165</v>
      </c>
      <c r="CN87" s="175" t="s">
        <v>166</v>
      </c>
      <c r="CO87" s="175" t="s">
        <v>167</v>
      </c>
      <c r="CP87" s="175" t="s">
        <v>168</v>
      </c>
      <c r="CQ87" s="175" t="s">
        <v>169</v>
      </c>
      <c r="CR87" s="175" t="s">
        <v>170</v>
      </c>
      <c r="CS87" s="175" t="s">
        <v>171</v>
      </c>
      <c r="CT87" s="175" t="s">
        <v>172</v>
      </c>
    </row>
    <row r="88" spans="1:98" s="73" customFormat="1" ht="13" outlineLevel="1" x14ac:dyDescent="0.35">
      <c r="A88" s="363" t="s">
        <v>851</v>
      </c>
      <c r="B88" s="171" t="s">
        <v>22</v>
      </c>
      <c r="C88" s="358">
        <v>4417</v>
      </c>
      <c r="D88" s="356">
        <v>8833</v>
      </c>
      <c r="E88" s="356">
        <v>13250</v>
      </c>
      <c r="F88" s="356">
        <v>17667</v>
      </c>
      <c r="G88" s="356">
        <v>22083</v>
      </c>
      <c r="H88" s="356">
        <v>26500</v>
      </c>
      <c r="I88" s="356">
        <v>30917</v>
      </c>
      <c r="J88" s="356">
        <v>35333</v>
      </c>
      <c r="K88" s="356">
        <v>39750</v>
      </c>
      <c r="L88" s="356">
        <v>44167</v>
      </c>
      <c r="M88" s="356">
        <v>48583</v>
      </c>
      <c r="N88" s="356">
        <v>57417</v>
      </c>
      <c r="O88" s="358">
        <v>63277</v>
      </c>
      <c r="P88" s="356">
        <v>69137</v>
      </c>
      <c r="Q88" s="356">
        <v>74996</v>
      </c>
      <c r="R88" s="356">
        <v>80856</v>
      </c>
      <c r="S88" s="356">
        <v>86716</v>
      </c>
      <c r="T88" s="356">
        <v>92576</v>
      </c>
      <c r="U88" s="356">
        <v>98435</v>
      </c>
      <c r="V88" s="356">
        <v>104295</v>
      </c>
      <c r="W88" s="356">
        <v>110155</v>
      </c>
      <c r="X88" s="356">
        <v>116015</v>
      </c>
      <c r="Y88" s="356">
        <v>121874</v>
      </c>
      <c r="Z88" s="356">
        <v>127734</v>
      </c>
      <c r="AA88" s="358">
        <v>134093</v>
      </c>
      <c r="AB88" s="356">
        <v>140453</v>
      </c>
      <c r="AC88" s="356">
        <v>146812</v>
      </c>
      <c r="AD88" s="356">
        <v>153172</v>
      </c>
      <c r="AE88" s="356">
        <v>159531</v>
      </c>
      <c r="AF88" s="356">
        <v>165891</v>
      </c>
      <c r="AG88" s="356">
        <v>172250</v>
      </c>
      <c r="AH88" s="356">
        <v>178609</v>
      </c>
      <c r="AI88" s="356">
        <v>184969</v>
      </c>
      <c r="AJ88" s="356">
        <v>191328</v>
      </c>
      <c r="AK88" s="356">
        <v>197688</v>
      </c>
      <c r="AL88" s="356">
        <v>204047</v>
      </c>
      <c r="AM88" s="358">
        <v>211007</v>
      </c>
      <c r="AN88" s="356">
        <v>217967</v>
      </c>
      <c r="AO88" s="356">
        <v>224927</v>
      </c>
      <c r="AP88" s="356">
        <v>231886</v>
      </c>
      <c r="AQ88" s="356">
        <v>238846</v>
      </c>
      <c r="AR88" s="356">
        <v>245806</v>
      </c>
      <c r="AS88" s="356">
        <v>252766</v>
      </c>
      <c r="AT88" s="356">
        <v>259726</v>
      </c>
      <c r="AU88" s="356">
        <v>266686</v>
      </c>
      <c r="AV88" s="356">
        <v>273645</v>
      </c>
      <c r="AW88" s="356">
        <v>280605</v>
      </c>
      <c r="AX88" s="356">
        <v>287565</v>
      </c>
      <c r="AY88" s="356">
        <v>294736</v>
      </c>
      <c r="AZ88" s="356">
        <v>301906</v>
      </c>
      <c r="BA88" s="356">
        <v>309077</v>
      </c>
      <c r="BB88" s="356">
        <v>316247</v>
      </c>
      <c r="BC88" s="356">
        <v>323418</v>
      </c>
      <c r="BD88" s="356">
        <v>330589</v>
      </c>
      <c r="BE88" s="356">
        <v>337759</v>
      </c>
      <c r="BF88" s="356">
        <v>344930</v>
      </c>
      <c r="BG88" s="356">
        <v>352100</v>
      </c>
      <c r="BH88" s="356">
        <v>359271</v>
      </c>
      <c r="BI88" s="356">
        <v>366441</v>
      </c>
      <c r="BJ88" s="356">
        <v>373612</v>
      </c>
      <c r="BK88" s="356">
        <v>381074</v>
      </c>
      <c r="BL88" s="356">
        <v>388537</v>
      </c>
      <c r="BM88" s="356">
        <v>395999</v>
      </c>
      <c r="BN88" s="356">
        <v>403461</v>
      </c>
      <c r="BO88" s="356">
        <v>410923</v>
      </c>
      <c r="BP88" s="356">
        <v>418386</v>
      </c>
      <c r="BQ88" s="356">
        <v>425848</v>
      </c>
      <c r="BR88" s="356">
        <v>433310</v>
      </c>
      <c r="BS88" s="356">
        <v>440772</v>
      </c>
      <c r="BT88" s="356">
        <v>448235</v>
      </c>
      <c r="BU88" s="356">
        <v>455697</v>
      </c>
      <c r="BV88" s="356">
        <v>463159</v>
      </c>
      <c r="BW88" s="356">
        <v>470925</v>
      </c>
      <c r="BX88" s="356">
        <v>478691</v>
      </c>
      <c r="BY88" s="356">
        <v>486456</v>
      </c>
      <c r="BZ88" s="356">
        <v>494222</v>
      </c>
      <c r="CA88" s="356">
        <v>501988</v>
      </c>
      <c r="CB88" s="356">
        <v>509754</v>
      </c>
      <c r="CC88" s="356">
        <v>517519</v>
      </c>
      <c r="CD88" s="356">
        <v>525285</v>
      </c>
      <c r="CE88" s="356">
        <v>533051</v>
      </c>
      <c r="CF88" s="356">
        <v>540817</v>
      </c>
      <c r="CG88" s="356">
        <v>548582</v>
      </c>
      <c r="CH88" s="356">
        <v>556348</v>
      </c>
      <c r="CI88" s="356">
        <v>564430</v>
      </c>
      <c r="CJ88" s="356">
        <v>572511</v>
      </c>
      <c r="CK88" s="356">
        <v>580593</v>
      </c>
      <c r="CL88" s="356">
        <v>588674</v>
      </c>
      <c r="CM88" s="356">
        <v>596756</v>
      </c>
      <c r="CN88" s="356">
        <v>604837</v>
      </c>
      <c r="CO88" s="356">
        <v>612919</v>
      </c>
      <c r="CP88" s="356">
        <v>621000</v>
      </c>
      <c r="CQ88" s="356">
        <v>629082</v>
      </c>
      <c r="CR88" s="356">
        <v>637163</v>
      </c>
      <c r="CS88" s="356">
        <v>645245</v>
      </c>
      <c r="CT88" s="356">
        <v>653326</v>
      </c>
    </row>
    <row r="89" spans="1:98" s="73" customFormat="1" ht="13" outlineLevel="1" x14ac:dyDescent="0.3">
      <c r="A89" s="349" t="s">
        <v>852</v>
      </c>
      <c r="B89" s="350" t="s">
        <v>22</v>
      </c>
      <c r="C89" s="359">
        <v>4417</v>
      </c>
      <c r="D89" s="360">
        <v>8833</v>
      </c>
      <c r="E89" s="360">
        <v>13250</v>
      </c>
      <c r="F89" s="360">
        <v>17667</v>
      </c>
      <c r="G89" s="360">
        <v>22083</v>
      </c>
      <c r="H89" s="360">
        <v>26500</v>
      </c>
      <c r="I89" s="360">
        <v>30917</v>
      </c>
      <c r="J89" s="360">
        <v>35333</v>
      </c>
      <c r="K89" s="360">
        <v>39750</v>
      </c>
      <c r="L89" s="360">
        <v>44167</v>
      </c>
      <c r="M89" s="360">
        <v>48583</v>
      </c>
      <c r="N89" s="360">
        <v>57417</v>
      </c>
      <c r="O89" s="361">
        <v>63277</v>
      </c>
      <c r="P89" s="360">
        <v>69137</v>
      </c>
      <c r="Q89" s="360">
        <v>74996</v>
      </c>
      <c r="R89" s="360">
        <v>80856</v>
      </c>
      <c r="S89" s="360">
        <v>86716</v>
      </c>
      <c r="T89" s="360">
        <v>92576</v>
      </c>
      <c r="U89" s="360">
        <v>98435</v>
      </c>
      <c r="V89" s="360">
        <v>104295</v>
      </c>
      <c r="W89" s="360">
        <v>110155</v>
      </c>
      <c r="X89" s="360">
        <v>116015</v>
      </c>
      <c r="Y89" s="360">
        <v>121874</v>
      </c>
      <c r="Z89" s="360">
        <v>127734</v>
      </c>
      <c r="AA89" s="359">
        <v>134093</v>
      </c>
      <c r="AB89" s="360">
        <v>140453</v>
      </c>
      <c r="AC89" s="360">
        <v>146812</v>
      </c>
      <c r="AD89" s="360">
        <v>153172</v>
      </c>
      <c r="AE89" s="360">
        <v>159531</v>
      </c>
      <c r="AF89" s="360">
        <v>165891</v>
      </c>
      <c r="AG89" s="360">
        <v>172250</v>
      </c>
      <c r="AH89" s="360">
        <v>178609</v>
      </c>
      <c r="AI89" s="360">
        <v>184969</v>
      </c>
      <c r="AJ89" s="360">
        <v>191328</v>
      </c>
      <c r="AK89" s="360">
        <v>197688</v>
      </c>
      <c r="AL89" s="360">
        <v>204047</v>
      </c>
      <c r="AM89" s="359">
        <v>211007</v>
      </c>
      <c r="AN89" s="360">
        <v>217967</v>
      </c>
      <c r="AO89" s="360">
        <v>224927</v>
      </c>
      <c r="AP89" s="360">
        <v>231886</v>
      </c>
      <c r="AQ89" s="360">
        <v>238846</v>
      </c>
      <c r="AR89" s="360">
        <v>245806</v>
      </c>
      <c r="AS89" s="360">
        <v>252766</v>
      </c>
      <c r="AT89" s="360">
        <v>259726</v>
      </c>
      <c r="AU89" s="360">
        <v>266686</v>
      </c>
      <c r="AV89" s="360">
        <v>273645</v>
      </c>
      <c r="AW89" s="360">
        <v>280605</v>
      </c>
      <c r="AX89" s="360">
        <v>287565</v>
      </c>
      <c r="AY89" s="360">
        <v>294736</v>
      </c>
      <c r="AZ89" s="360">
        <v>301906</v>
      </c>
      <c r="BA89" s="360">
        <v>309077</v>
      </c>
      <c r="BB89" s="360">
        <v>316247</v>
      </c>
      <c r="BC89" s="360">
        <v>323418</v>
      </c>
      <c r="BD89" s="360">
        <v>330589</v>
      </c>
      <c r="BE89" s="360">
        <v>337759</v>
      </c>
      <c r="BF89" s="360">
        <v>344930</v>
      </c>
      <c r="BG89" s="360">
        <v>352100</v>
      </c>
      <c r="BH89" s="360">
        <v>359271</v>
      </c>
      <c r="BI89" s="360">
        <v>366441</v>
      </c>
      <c r="BJ89" s="360">
        <v>373612</v>
      </c>
      <c r="BK89" s="360">
        <v>381074</v>
      </c>
      <c r="BL89" s="360">
        <v>388537</v>
      </c>
      <c r="BM89" s="360">
        <v>395999</v>
      </c>
      <c r="BN89" s="360">
        <v>403461</v>
      </c>
      <c r="BO89" s="360">
        <v>410923</v>
      </c>
      <c r="BP89" s="360">
        <v>418386</v>
      </c>
      <c r="BQ89" s="360">
        <v>425848</v>
      </c>
      <c r="BR89" s="360">
        <v>433310</v>
      </c>
      <c r="BS89" s="360">
        <v>440772</v>
      </c>
      <c r="BT89" s="360">
        <v>448235</v>
      </c>
      <c r="BU89" s="360">
        <v>455697</v>
      </c>
      <c r="BV89" s="360">
        <v>463159</v>
      </c>
      <c r="BW89" s="362">
        <v>470925</v>
      </c>
      <c r="BX89" s="362">
        <v>478691</v>
      </c>
      <c r="BY89" s="362">
        <v>486456</v>
      </c>
      <c r="BZ89" s="362">
        <v>494222</v>
      </c>
      <c r="CA89" s="362">
        <v>501988</v>
      </c>
      <c r="CB89" s="362">
        <v>509754</v>
      </c>
      <c r="CC89" s="362">
        <v>517519</v>
      </c>
      <c r="CD89" s="362">
        <v>525285</v>
      </c>
      <c r="CE89" s="362">
        <v>533051</v>
      </c>
      <c r="CF89" s="362">
        <v>540817</v>
      </c>
      <c r="CG89" s="362">
        <v>548582</v>
      </c>
      <c r="CH89" s="362">
        <v>556348</v>
      </c>
      <c r="CI89" s="362">
        <v>564430</v>
      </c>
      <c r="CJ89" s="362">
        <v>572511</v>
      </c>
      <c r="CK89" s="362">
        <v>580593</v>
      </c>
      <c r="CL89" s="362">
        <v>588674</v>
      </c>
      <c r="CM89" s="362">
        <v>596756</v>
      </c>
      <c r="CN89" s="362">
        <v>604837</v>
      </c>
      <c r="CO89" s="362">
        <v>612919</v>
      </c>
      <c r="CP89" s="362">
        <v>621000</v>
      </c>
      <c r="CQ89" s="362">
        <v>629082</v>
      </c>
      <c r="CR89" s="362">
        <v>637163</v>
      </c>
      <c r="CS89" s="362">
        <v>645245</v>
      </c>
      <c r="CT89" s="362">
        <v>653326</v>
      </c>
    </row>
    <row r="90" spans="1:98" s="73" customFormat="1" ht="13" outlineLevel="1" x14ac:dyDescent="0.35">
      <c r="A90" s="351" t="s">
        <v>193</v>
      </c>
      <c r="B90" s="171" t="s">
        <v>22</v>
      </c>
      <c r="C90" s="352">
        <v>4703</v>
      </c>
      <c r="D90" s="353">
        <v>9406</v>
      </c>
      <c r="E90" s="353">
        <v>14110</v>
      </c>
      <c r="F90" s="353">
        <v>18813</v>
      </c>
      <c r="G90" s="353">
        <v>23516</v>
      </c>
      <c r="H90" s="353">
        <v>28219</v>
      </c>
      <c r="I90" s="353">
        <v>32922</v>
      </c>
      <c r="J90" s="353">
        <v>37625</v>
      </c>
      <c r="K90" s="353">
        <v>42329</v>
      </c>
      <c r="L90" s="353">
        <v>47032</v>
      </c>
      <c r="M90" s="353">
        <v>51735</v>
      </c>
      <c r="N90" s="353">
        <v>61141</v>
      </c>
      <c r="O90" s="353">
        <v>67279</v>
      </c>
      <c r="P90" s="353">
        <v>73417</v>
      </c>
      <c r="Q90" s="353">
        <v>79555</v>
      </c>
      <c r="R90" s="353">
        <v>85693</v>
      </c>
      <c r="S90" s="353">
        <v>91831</v>
      </c>
      <c r="T90" s="353">
        <v>97969</v>
      </c>
      <c r="U90" s="353">
        <v>104107</v>
      </c>
      <c r="V90" s="353">
        <v>110245</v>
      </c>
      <c r="W90" s="353">
        <v>116383</v>
      </c>
      <c r="X90" s="353">
        <v>122521</v>
      </c>
      <c r="Y90" s="353">
        <v>128659</v>
      </c>
      <c r="Z90" s="353">
        <v>134797</v>
      </c>
      <c r="AA90" s="353">
        <v>141387</v>
      </c>
      <c r="AB90" s="353">
        <v>147977</v>
      </c>
      <c r="AC90" s="353">
        <v>154567</v>
      </c>
      <c r="AD90" s="353">
        <v>161156</v>
      </c>
      <c r="AE90" s="353">
        <v>167746</v>
      </c>
      <c r="AF90" s="353">
        <v>174336</v>
      </c>
      <c r="AG90" s="353">
        <v>180926</v>
      </c>
      <c r="AH90" s="353">
        <v>187516</v>
      </c>
      <c r="AI90" s="353">
        <v>194106</v>
      </c>
      <c r="AJ90" s="353">
        <v>200695</v>
      </c>
      <c r="AK90" s="353">
        <v>207285</v>
      </c>
      <c r="AL90" s="353">
        <v>213875</v>
      </c>
      <c r="AM90" s="353">
        <v>221000</v>
      </c>
      <c r="AN90" s="353">
        <v>228126</v>
      </c>
      <c r="AO90" s="353">
        <v>235251</v>
      </c>
      <c r="AP90" s="353">
        <v>242376</v>
      </c>
      <c r="AQ90" s="353">
        <v>249501</v>
      </c>
      <c r="AR90" s="353">
        <v>256627</v>
      </c>
      <c r="AS90" s="353">
        <v>263752</v>
      </c>
      <c r="AT90" s="353">
        <v>270877</v>
      </c>
      <c r="AU90" s="353">
        <v>278002</v>
      </c>
      <c r="AV90" s="353">
        <v>285128</v>
      </c>
      <c r="AW90" s="353">
        <v>292253</v>
      </c>
      <c r="AX90" s="353">
        <v>299378</v>
      </c>
      <c r="AY90" s="353">
        <v>306645</v>
      </c>
      <c r="AZ90" s="353">
        <v>313911</v>
      </c>
      <c r="BA90" s="353">
        <v>321178</v>
      </c>
      <c r="BB90" s="353">
        <v>328445</v>
      </c>
      <c r="BC90" s="353">
        <v>335711</v>
      </c>
      <c r="BD90" s="353">
        <v>342978</v>
      </c>
      <c r="BE90" s="353">
        <v>350245</v>
      </c>
      <c r="BF90" s="353">
        <v>357511</v>
      </c>
      <c r="BG90" s="353">
        <v>364778</v>
      </c>
      <c r="BH90" s="353">
        <v>372045</v>
      </c>
      <c r="BI90" s="353">
        <v>379311</v>
      </c>
      <c r="BJ90" s="353">
        <v>386578</v>
      </c>
      <c r="BK90" s="353">
        <v>394062</v>
      </c>
      <c r="BL90" s="353">
        <v>401546</v>
      </c>
      <c r="BM90" s="353">
        <v>409030</v>
      </c>
      <c r="BN90" s="353">
        <v>416514</v>
      </c>
      <c r="BO90" s="353">
        <v>423998</v>
      </c>
      <c r="BP90" s="353">
        <v>431483</v>
      </c>
      <c r="BQ90" s="353">
        <v>438967</v>
      </c>
      <c r="BR90" s="353">
        <v>446451</v>
      </c>
      <c r="BS90" s="353">
        <v>453935</v>
      </c>
      <c r="BT90" s="353">
        <v>461419</v>
      </c>
      <c r="BU90" s="353">
        <v>468903</v>
      </c>
      <c r="BV90" s="353">
        <v>476387</v>
      </c>
      <c r="BW90" s="353">
        <v>484095</v>
      </c>
      <c r="BX90" s="353">
        <v>491803</v>
      </c>
      <c r="BY90" s="353">
        <v>499511</v>
      </c>
      <c r="BZ90" s="353">
        <v>507219</v>
      </c>
      <c r="CA90" s="353">
        <v>514927</v>
      </c>
      <c r="CB90" s="353">
        <v>522635</v>
      </c>
      <c r="CC90" s="353">
        <v>530343</v>
      </c>
      <c r="CD90" s="353">
        <v>538051</v>
      </c>
      <c r="CE90" s="353">
        <v>545759</v>
      </c>
      <c r="CF90" s="353">
        <v>553467</v>
      </c>
      <c r="CG90" s="353">
        <v>561175</v>
      </c>
      <c r="CH90" s="353">
        <v>568883</v>
      </c>
      <c r="CI90" s="353">
        <v>576822</v>
      </c>
      <c r="CJ90" s="353">
        <v>584760</v>
      </c>
      <c r="CK90" s="353">
        <v>592699</v>
      </c>
      <c r="CL90" s="353">
        <v>600637</v>
      </c>
      <c r="CM90" s="353">
        <v>608576</v>
      </c>
      <c r="CN90" s="353">
        <v>616514</v>
      </c>
      <c r="CO90" s="353">
        <v>624453</v>
      </c>
      <c r="CP90" s="353">
        <v>632391</v>
      </c>
      <c r="CQ90" s="353">
        <v>640330</v>
      </c>
      <c r="CR90" s="353">
        <v>648268</v>
      </c>
      <c r="CS90" s="353">
        <v>656207</v>
      </c>
      <c r="CT90" s="354">
        <v>664145</v>
      </c>
    </row>
    <row r="91" spans="1:98" s="73" customFormat="1" ht="13" outlineLevel="1" x14ac:dyDescent="0.35">
      <c r="A91" s="351" t="s">
        <v>194</v>
      </c>
      <c r="B91" s="355" t="s">
        <v>22</v>
      </c>
      <c r="C91" s="353">
        <v>4703</v>
      </c>
      <c r="D91" s="353">
        <v>9406</v>
      </c>
      <c r="E91" s="353">
        <v>14110</v>
      </c>
      <c r="F91" s="353">
        <v>18813</v>
      </c>
      <c r="G91" s="353">
        <v>23516</v>
      </c>
      <c r="H91" s="353">
        <v>28219</v>
      </c>
      <c r="I91" s="353">
        <v>32922</v>
      </c>
      <c r="J91" s="353">
        <v>37625</v>
      </c>
      <c r="K91" s="353">
        <v>42329</v>
      </c>
      <c r="L91" s="353">
        <v>47032</v>
      </c>
      <c r="M91" s="353">
        <v>51735</v>
      </c>
      <c r="N91" s="353">
        <v>61141</v>
      </c>
      <c r="O91" s="353">
        <v>67279</v>
      </c>
      <c r="P91" s="353">
        <v>73417</v>
      </c>
      <c r="Q91" s="353">
        <v>79555</v>
      </c>
      <c r="R91" s="353">
        <v>85693</v>
      </c>
      <c r="S91" s="353">
        <v>91831</v>
      </c>
      <c r="T91" s="353">
        <v>97969</v>
      </c>
      <c r="U91" s="353">
        <v>104107</v>
      </c>
      <c r="V91" s="353">
        <v>110245</v>
      </c>
      <c r="W91" s="353">
        <v>116383</v>
      </c>
      <c r="X91" s="353">
        <v>122521</v>
      </c>
      <c r="Y91" s="353">
        <v>128659</v>
      </c>
      <c r="Z91" s="353">
        <v>134797</v>
      </c>
      <c r="AA91" s="353">
        <v>141387</v>
      </c>
      <c r="AB91" s="353">
        <v>147977</v>
      </c>
      <c r="AC91" s="353">
        <v>154567</v>
      </c>
      <c r="AD91" s="353">
        <v>161156</v>
      </c>
      <c r="AE91" s="353">
        <v>167746</v>
      </c>
      <c r="AF91" s="353">
        <v>174336</v>
      </c>
      <c r="AG91" s="353">
        <v>180926</v>
      </c>
      <c r="AH91" s="353">
        <v>187516</v>
      </c>
      <c r="AI91" s="353">
        <v>194106</v>
      </c>
      <c r="AJ91" s="353">
        <v>200695</v>
      </c>
      <c r="AK91" s="353">
        <v>207285</v>
      </c>
      <c r="AL91" s="353">
        <v>213875</v>
      </c>
      <c r="AM91" s="353">
        <v>221000</v>
      </c>
      <c r="AN91" s="353">
        <v>228126</v>
      </c>
      <c r="AO91" s="353">
        <v>235251</v>
      </c>
      <c r="AP91" s="353">
        <v>242376</v>
      </c>
      <c r="AQ91" s="353">
        <v>249501</v>
      </c>
      <c r="AR91" s="353">
        <v>256627</v>
      </c>
      <c r="AS91" s="353">
        <v>263752</v>
      </c>
      <c r="AT91" s="353">
        <v>270877</v>
      </c>
      <c r="AU91" s="353">
        <v>278002</v>
      </c>
      <c r="AV91" s="353">
        <v>285128</v>
      </c>
      <c r="AW91" s="353">
        <v>292253</v>
      </c>
      <c r="AX91" s="353">
        <v>299378</v>
      </c>
      <c r="AY91" s="353">
        <v>306645</v>
      </c>
      <c r="AZ91" s="353">
        <v>313911</v>
      </c>
      <c r="BA91" s="353">
        <v>321178</v>
      </c>
      <c r="BB91" s="353">
        <v>328445</v>
      </c>
      <c r="BC91" s="353">
        <v>335711</v>
      </c>
      <c r="BD91" s="353">
        <v>342978</v>
      </c>
      <c r="BE91" s="353">
        <v>350245</v>
      </c>
      <c r="BF91" s="353">
        <v>357511</v>
      </c>
      <c r="BG91" s="353">
        <v>364778</v>
      </c>
      <c r="BH91" s="353">
        <v>372045</v>
      </c>
      <c r="BI91" s="353">
        <v>379311</v>
      </c>
      <c r="BJ91" s="353">
        <v>386578</v>
      </c>
      <c r="BK91" s="353">
        <v>394062</v>
      </c>
      <c r="BL91" s="353">
        <v>401546</v>
      </c>
      <c r="BM91" s="353">
        <v>409030</v>
      </c>
      <c r="BN91" s="353">
        <v>416514</v>
      </c>
      <c r="BO91" s="353">
        <v>423998</v>
      </c>
      <c r="BP91" s="353">
        <v>431483</v>
      </c>
      <c r="BQ91" s="353">
        <v>438967</v>
      </c>
      <c r="BR91" s="353">
        <v>446451</v>
      </c>
      <c r="BS91" s="353">
        <v>453935</v>
      </c>
      <c r="BT91" s="353">
        <v>461419</v>
      </c>
      <c r="BU91" s="353">
        <v>468903</v>
      </c>
      <c r="BV91" s="353">
        <v>476387</v>
      </c>
      <c r="BW91" s="353">
        <v>484095</v>
      </c>
      <c r="BX91" s="353">
        <v>491803</v>
      </c>
      <c r="BY91" s="353">
        <v>499511</v>
      </c>
      <c r="BZ91" s="353">
        <v>507219</v>
      </c>
      <c r="CA91" s="353">
        <v>514927</v>
      </c>
      <c r="CB91" s="353">
        <v>522635</v>
      </c>
      <c r="CC91" s="353">
        <v>530343</v>
      </c>
      <c r="CD91" s="353">
        <v>538051</v>
      </c>
      <c r="CE91" s="353">
        <v>545759</v>
      </c>
      <c r="CF91" s="353">
        <v>553467</v>
      </c>
      <c r="CG91" s="353">
        <v>561175</v>
      </c>
      <c r="CH91" s="353">
        <v>568883</v>
      </c>
      <c r="CI91" s="353">
        <v>576822</v>
      </c>
      <c r="CJ91" s="353">
        <v>584760</v>
      </c>
      <c r="CK91" s="353">
        <v>592699</v>
      </c>
      <c r="CL91" s="353">
        <v>600637</v>
      </c>
      <c r="CM91" s="353">
        <v>608576</v>
      </c>
      <c r="CN91" s="353">
        <v>616514</v>
      </c>
      <c r="CO91" s="353">
        <v>624453</v>
      </c>
      <c r="CP91" s="353">
        <v>632391</v>
      </c>
      <c r="CQ91" s="353">
        <v>640330</v>
      </c>
      <c r="CR91" s="353">
        <v>648268</v>
      </c>
      <c r="CS91" s="353">
        <v>656207</v>
      </c>
      <c r="CT91" s="354">
        <v>664145</v>
      </c>
    </row>
    <row r="92" spans="1:98" s="73" customFormat="1" ht="13" outlineLevel="1" x14ac:dyDescent="0.35">
      <c r="A92" s="351" t="s">
        <v>853</v>
      </c>
      <c r="B92" s="171" t="s">
        <v>22</v>
      </c>
      <c r="C92" s="353">
        <v>6907</v>
      </c>
      <c r="D92" s="353">
        <v>13815</v>
      </c>
      <c r="E92" s="353">
        <v>20722</v>
      </c>
      <c r="F92" s="353">
        <v>27629</v>
      </c>
      <c r="G92" s="353">
        <v>34536</v>
      </c>
      <c r="H92" s="353">
        <v>41444</v>
      </c>
      <c r="I92" s="353">
        <v>48351</v>
      </c>
      <c r="J92" s="353">
        <v>55258</v>
      </c>
      <c r="K92" s="353">
        <v>62165</v>
      </c>
      <c r="L92" s="353">
        <v>69073</v>
      </c>
      <c r="M92" s="353">
        <v>75980</v>
      </c>
      <c r="N92" s="353">
        <v>89794</v>
      </c>
      <c r="O92" s="353">
        <v>97582</v>
      </c>
      <c r="P92" s="353">
        <v>105369</v>
      </c>
      <c r="Q92" s="353">
        <v>113157</v>
      </c>
      <c r="R92" s="353">
        <v>120944</v>
      </c>
      <c r="S92" s="353">
        <v>128732</v>
      </c>
      <c r="T92" s="353">
        <v>136519</v>
      </c>
      <c r="U92" s="353">
        <v>144307</v>
      </c>
      <c r="V92" s="353">
        <v>152094</v>
      </c>
      <c r="W92" s="353">
        <v>159882</v>
      </c>
      <c r="X92" s="353">
        <v>167669</v>
      </c>
      <c r="Y92" s="353">
        <v>175457</v>
      </c>
      <c r="Z92" s="353">
        <v>183244</v>
      </c>
      <c r="AA92" s="353">
        <v>191348</v>
      </c>
      <c r="AB92" s="353">
        <v>199453</v>
      </c>
      <c r="AC92" s="353">
        <v>207557</v>
      </c>
      <c r="AD92" s="353">
        <v>215662</v>
      </c>
      <c r="AE92" s="353">
        <v>223766</v>
      </c>
      <c r="AF92" s="353">
        <v>231871</v>
      </c>
      <c r="AG92" s="353">
        <v>239975</v>
      </c>
      <c r="AH92" s="353">
        <v>248079</v>
      </c>
      <c r="AI92" s="353">
        <v>256184</v>
      </c>
      <c r="AJ92" s="353">
        <v>264288</v>
      </c>
      <c r="AK92" s="353">
        <v>272393</v>
      </c>
      <c r="AL92" s="353">
        <v>280497</v>
      </c>
      <c r="AM92" s="353">
        <v>288931</v>
      </c>
      <c r="AN92" s="353">
        <v>297365</v>
      </c>
      <c r="AO92" s="353">
        <v>305800</v>
      </c>
      <c r="AP92" s="353">
        <v>314234</v>
      </c>
      <c r="AQ92" s="353">
        <v>322668</v>
      </c>
      <c r="AR92" s="353">
        <v>331102</v>
      </c>
      <c r="AS92" s="353">
        <v>339536</v>
      </c>
      <c r="AT92" s="353">
        <v>347970</v>
      </c>
      <c r="AU92" s="353">
        <v>356405</v>
      </c>
      <c r="AV92" s="353">
        <v>364839</v>
      </c>
      <c r="AW92" s="353">
        <v>373273</v>
      </c>
      <c r="AX92" s="353">
        <v>381707</v>
      </c>
      <c r="AY92" s="353">
        <v>390484</v>
      </c>
      <c r="AZ92" s="353">
        <v>399262</v>
      </c>
      <c r="BA92" s="353">
        <v>408039</v>
      </c>
      <c r="BB92" s="353">
        <v>416816</v>
      </c>
      <c r="BC92" s="353">
        <v>425594</v>
      </c>
      <c r="BD92" s="353">
        <v>434371</v>
      </c>
      <c r="BE92" s="353">
        <v>443148</v>
      </c>
      <c r="BF92" s="353">
        <v>451926</v>
      </c>
      <c r="BG92" s="353">
        <v>460703</v>
      </c>
      <c r="BH92" s="353">
        <v>469480</v>
      </c>
      <c r="BI92" s="353">
        <v>478258</v>
      </c>
      <c r="BJ92" s="353">
        <v>487035</v>
      </c>
      <c r="BK92" s="353">
        <v>496169</v>
      </c>
      <c r="BL92" s="353">
        <v>505304</v>
      </c>
      <c r="BM92" s="353">
        <v>514438</v>
      </c>
      <c r="BN92" s="353">
        <v>523572</v>
      </c>
      <c r="BO92" s="353">
        <v>532707</v>
      </c>
      <c r="BP92" s="353">
        <v>541841</v>
      </c>
      <c r="BQ92" s="353">
        <v>550975</v>
      </c>
      <c r="BR92" s="353">
        <v>560110</v>
      </c>
      <c r="BS92" s="353">
        <v>569244</v>
      </c>
      <c r="BT92" s="353">
        <v>578378</v>
      </c>
      <c r="BU92" s="353">
        <v>587513</v>
      </c>
      <c r="BV92" s="353">
        <v>596647</v>
      </c>
      <c r="BW92" s="353">
        <v>606153</v>
      </c>
      <c r="BX92" s="353">
        <v>615659</v>
      </c>
      <c r="BY92" s="353">
        <v>625165</v>
      </c>
      <c r="BZ92" s="353">
        <v>634670</v>
      </c>
      <c r="CA92" s="353">
        <v>644176</v>
      </c>
      <c r="CB92" s="353">
        <v>653682</v>
      </c>
      <c r="CC92" s="353">
        <v>663188</v>
      </c>
      <c r="CD92" s="353">
        <v>672694</v>
      </c>
      <c r="CE92" s="353">
        <v>682200</v>
      </c>
      <c r="CF92" s="353">
        <v>691705</v>
      </c>
      <c r="CG92" s="353">
        <v>701211</v>
      </c>
      <c r="CH92" s="353">
        <v>710717</v>
      </c>
      <c r="CI92" s="353">
        <v>720609</v>
      </c>
      <c r="CJ92" s="353">
        <v>730502</v>
      </c>
      <c r="CK92" s="353">
        <v>740394</v>
      </c>
      <c r="CL92" s="353">
        <v>750286</v>
      </c>
      <c r="CM92" s="353">
        <v>760179</v>
      </c>
      <c r="CN92" s="353">
        <v>770071</v>
      </c>
      <c r="CO92" s="353">
        <v>779963</v>
      </c>
      <c r="CP92" s="353">
        <v>789856</v>
      </c>
      <c r="CQ92" s="353">
        <v>799748</v>
      </c>
      <c r="CR92" s="353">
        <v>809640</v>
      </c>
      <c r="CS92" s="353">
        <v>819533</v>
      </c>
      <c r="CT92" s="354">
        <v>829425</v>
      </c>
    </row>
    <row r="93" spans="1:98" s="73" customFormat="1" ht="13" outlineLevel="1" x14ac:dyDescent="0.35">
      <c r="A93" s="349" t="s">
        <v>44</v>
      </c>
      <c r="B93" s="171" t="s">
        <v>22</v>
      </c>
      <c r="C93" s="353">
        <v>7809</v>
      </c>
      <c r="D93" s="353">
        <v>15619</v>
      </c>
      <c r="E93" s="353">
        <v>23428</v>
      </c>
      <c r="F93" s="353">
        <v>31238</v>
      </c>
      <c r="G93" s="353">
        <v>39047</v>
      </c>
      <c r="H93" s="353">
        <v>46857</v>
      </c>
      <c r="I93" s="353">
        <v>54666</v>
      </c>
      <c r="J93" s="353">
        <v>62475</v>
      </c>
      <c r="K93" s="353">
        <v>70285</v>
      </c>
      <c r="L93" s="353">
        <v>78094</v>
      </c>
      <c r="M93" s="353">
        <v>85904</v>
      </c>
      <c r="N93" s="353">
        <v>101522</v>
      </c>
      <c r="O93" s="353">
        <v>110236</v>
      </c>
      <c r="P93" s="353">
        <v>118949</v>
      </c>
      <c r="Q93" s="353">
        <v>127663</v>
      </c>
      <c r="R93" s="353">
        <v>136376</v>
      </c>
      <c r="S93" s="353">
        <v>145090</v>
      </c>
      <c r="T93" s="353">
        <v>153803</v>
      </c>
      <c r="U93" s="353">
        <v>162517</v>
      </c>
      <c r="V93" s="353">
        <v>171230</v>
      </c>
      <c r="W93" s="353">
        <v>179944</v>
      </c>
      <c r="X93" s="353">
        <v>188657</v>
      </c>
      <c r="Y93" s="353">
        <v>197371</v>
      </c>
      <c r="Z93" s="353">
        <v>206084</v>
      </c>
      <c r="AA93" s="353">
        <v>215058</v>
      </c>
      <c r="AB93" s="353">
        <v>224033</v>
      </c>
      <c r="AC93" s="353">
        <v>233007</v>
      </c>
      <c r="AD93" s="353">
        <v>241981</v>
      </c>
      <c r="AE93" s="353">
        <v>250956</v>
      </c>
      <c r="AF93" s="353">
        <v>259930</v>
      </c>
      <c r="AG93" s="353">
        <v>268904</v>
      </c>
      <c r="AH93" s="353">
        <v>277879</v>
      </c>
      <c r="AI93" s="353">
        <v>286853</v>
      </c>
      <c r="AJ93" s="353">
        <v>295827</v>
      </c>
      <c r="AK93" s="353">
        <v>304802</v>
      </c>
      <c r="AL93" s="353">
        <v>313776</v>
      </c>
      <c r="AM93" s="353">
        <v>323019</v>
      </c>
      <c r="AN93" s="353">
        <v>332262</v>
      </c>
      <c r="AO93" s="353">
        <v>341505</v>
      </c>
      <c r="AP93" s="353">
        <v>350748</v>
      </c>
      <c r="AQ93" s="353">
        <v>359991</v>
      </c>
      <c r="AR93" s="353">
        <v>369234</v>
      </c>
      <c r="AS93" s="353">
        <v>378476</v>
      </c>
      <c r="AT93" s="353">
        <v>387719</v>
      </c>
      <c r="AU93" s="353">
        <v>396962</v>
      </c>
      <c r="AV93" s="353">
        <v>406205</v>
      </c>
      <c r="AW93" s="353">
        <v>415448</v>
      </c>
      <c r="AX93" s="353">
        <v>424691</v>
      </c>
      <c r="AY93" s="353">
        <v>434211</v>
      </c>
      <c r="AZ93" s="353">
        <v>443730</v>
      </c>
      <c r="BA93" s="353">
        <v>453250</v>
      </c>
      <c r="BB93" s="353">
        <v>462769</v>
      </c>
      <c r="BC93" s="353">
        <v>472289</v>
      </c>
      <c r="BD93" s="353">
        <v>481809</v>
      </c>
      <c r="BE93" s="353">
        <v>491328</v>
      </c>
      <c r="BF93" s="353">
        <v>500848</v>
      </c>
      <c r="BG93" s="353">
        <v>510367</v>
      </c>
      <c r="BH93" s="353">
        <v>519887</v>
      </c>
      <c r="BI93" s="353">
        <v>529406</v>
      </c>
      <c r="BJ93" s="353">
        <v>538926</v>
      </c>
      <c r="BK93" s="353">
        <v>548730</v>
      </c>
      <c r="BL93" s="353">
        <v>558535</v>
      </c>
      <c r="BM93" s="353">
        <v>568339</v>
      </c>
      <c r="BN93" s="353">
        <v>578143</v>
      </c>
      <c r="BO93" s="353">
        <v>587948</v>
      </c>
      <c r="BP93" s="353">
        <v>597752</v>
      </c>
      <c r="BQ93" s="353">
        <v>607556</v>
      </c>
      <c r="BR93" s="353">
        <v>617361</v>
      </c>
      <c r="BS93" s="353">
        <v>627165</v>
      </c>
      <c r="BT93" s="353">
        <v>636969</v>
      </c>
      <c r="BU93" s="353">
        <v>646774</v>
      </c>
      <c r="BV93" s="353">
        <v>656578</v>
      </c>
      <c r="BW93" s="353">
        <v>666676</v>
      </c>
      <c r="BX93" s="353">
        <v>676773</v>
      </c>
      <c r="BY93" s="353">
        <v>686871</v>
      </c>
      <c r="BZ93" s="353">
        <v>696969</v>
      </c>
      <c r="CA93" s="353">
        <v>707066</v>
      </c>
      <c r="CB93" s="353">
        <v>717164</v>
      </c>
      <c r="CC93" s="353">
        <v>727262</v>
      </c>
      <c r="CD93" s="353">
        <v>737359</v>
      </c>
      <c r="CE93" s="353">
        <v>747457</v>
      </c>
      <c r="CF93" s="353">
        <v>757555</v>
      </c>
      <c r="CG93" s="353">
        <v>767652</v>
      </c>
      <c r="CH93" s="353">
        <v>777750</v>
      </c>
      <c r="CI93" s="353">
        <v>788150</v>
      </c>
      <c r="CJ93" s="353">
        <v>798549</v>
      </c>
      <c r="CK93" s="353">
        <v>808949</v>
      </c>
      <c r="CL93" s="353">
        <v>819349</v>
      </c>
      <c r="CM93" s="353">
        <v>829748</v>
      </c>
      <c r="CN93" s="353">
        <v>840148</v>
      </c>
      <c r="CO93" s="353">
        <v>850548</v>
      </c>
      <c r="CP93" s="353">
        <v>860947</v>
      </c>
      <c r="CQ93" s="353">
        <v>871347</v>
      </c>
      <c r="CR93" s="353">
        <v>881747</v>
      </c>
      <c r="CS93" s="353">
        <v>892146</v>
      </c>
      <c r="CT93" s="354">
        <v>902546</v>
      </c>
    </row>
    <row r="94" spans="1:98" s="73" customFormat="1" ht="13" outlineLevel="1" x14ac:dyDescent="0.35">
      <c r="A94" s="351" t="s">
        <v>854</v>
      </c>
      <c r="B94" s="171" t="s">
        <v>22</v>
      </c>
      <c r="C94" s="353">
        <v>5144</v>
      </c>
      <c r="D94" s="353">
        <v>10288</v>
      </c>
      <c r="E94" s="353">
        <v>15431</v>
      </c>
      <c r="F94" s="353">
        <v>20575</v>
      </c>
      <c r="G94" s="353">
        <v>25719</v>
      </c>
      <c r="H94" s="353">
        <v>30863</v>
      </c>
      <c r="I94" s="353">
        <v>36006</v>
      </c>
      <c r="J94" s="353">
        <v>41150</v>
      </c>
      <c r="K94" s="353">
        <v>46294</v>
      </c>
      <c r="L94" s="353">
        <v>51438</v>
      </c>
      <c r="M94" s="353">
        <v>56581</v>
      </c>
      <c r="N94" s="353">
        <v>66869</v>
      </c>
      <c r="O94" s="353">
        <v>72668</v>
      </c>
      <c r="P94" s="353">
        <v>78467</v>
      </c>
      <c r="Q94" s="353">
        <v>84267</v>
      </c>
      <c r="R94" s="353">
        <v>90066</v>
      </c>
      <c r="S94" s="353">
        <v>95865</v>
      </c>
      <c r="T94" s="353">
        <v>101664</v>
      </c>
      <c r="U94" s="353">
        <v>107463</v>
      </c>
      <c r="V94" s="353">
        <v>113262</v>
      </c>
      <c r="W94" s="353">
        <v>119062</v>
      </c>
      <c r="X94" s="353">
        <v>124861</v>
      </c>
      <c r="Y94" s="353">
        <v>130660</v>
      </c>
      <c r="Z94" s="353">
        <v>136459</v>
      </c>
      <c r="AA94" s="353">
        <v>142494</v>
      </c>
      <c r="AB94" s="353">
        <v>148530</v>
      </c>
      <c r="AC94" s="353">
        <v>154565</v>
      </c>
      <c r="AD94" s="353">
        <v>160600</v>
      </c>
      <c r="AE94" s="353">
        <v>166636</v>
      </c>
      <c r="AF94" s="353">
        <v>172671</v>
      </c>
      <c r="AG94" s="353">
        <v>178706</v>
      </c>
      <c r="AH94" s="353">
        <v>184742</v>
      </c>
      <c r="AI94" s="353">
        <v>190777</v>
      </c>
      <c r="AJ94" s="353">
        <v>196812</v>
      </c>
      <c r="AK94" s="353">
        <v>202848</v>
      </c>
      <c r="AL94" s="353">
        <v>208883</v>
      </c>
      <c r="AM94" s="353">
        <v>215164</v>
      </c>
      <c r="AN94" s="353">
        <v>221445</v>
      </c>
      <c r="AO94" s="353">
        <v>227726</v>
      </c>
      <c r="AP94" s="353">
        <v>234007</v>
      </c>
      <c r="AQ94" s="353">
        <v>240288</v>
      </c>
      <c r="AR94" s="353">
        <v>246569</v>
      </c>
      <c r="AS94" s="353">
        <v>252849</v>
      </c>
      <c r="AT94" s="353">
        <v>259130</v>
      </c>
      <c r="AU94" s="353">
        <v>265411</v>
      </c>
      <c r="AV94" s="353">
        <v>271692</v>
      </c>
      <c r="AW94" s="353">
        <v>277973</v>
      </c>
      <c r="AX94" s="353">
        <v>284254</v>
      </c>
      <c r="AY94" s="353">
        <v>290790</v>
      </c>
      <c r="AZ94" s="353">
        <v>297327</v>
      </c>
      <c r="BA94" s="353">
        <v>303863</v>
      </c>
      <c r="BB94" s="353">
        <v>310399</v>
      </c>
      <c r="BC94" s="353">
        <v>316936</v>
      </c>
      <c r="BD94" s="353">
        <v>323472</v>
      </c>
      <c r="BE94" s="353">
        <v>330008</v>
      </c>
      <c r="BF94" s="353">
        <v>336545</v>
      </c>
      <c r="BG94" s="353">
        <v>343081</v>
      </c>
      <c r="BH94" s="353">
        <v>349617</v>
      </c>
      <c r="BI94" s="353">
        <v>356154</v>
      </c>
      <c r="BJ94" s="353">
        <v>362690</v>
      </c>
      <c r="BK94" s="353">
        <v>369492</v>
      </c>
      <c r="BL94" s="353">
        <v>376295</v>
      </c>
      <c r="BM94" s="353">
        <v>383097</v>
      </c>
      <c r="BN94" s="353">
        <v>389899</v>
      </c>
      <c r="BO94" s="353">
        <v>396701</v>
      </c>
      <c r="BP94" s="353">
        <v>403504</v>
      </c>
      <c r="BQ94" s="353">
        <v>410306</v>
      </c>
      <c r="BR94" s="353">
        <v>417108</v>
      </c>
      <c r="BS94" s="353">
        <v>423910</v>
      </c>
      <c r="BT94" s="353">
        <v>430713</v>
      </c>
      <c r="BU94" s="353">
        <v>437515</v>
      </c>
      <c r="BV94" s="353">
        <v>444317</v>
      </c>
      <c r="BW94" s="353">
        <v>451396</v>
      </c>
      <c r="BX94" s="353">
        <v>458475</v>
      </c>
      <c r="BY94" s="353">
        <v>465554</v>
      </c>
      <c r="BZ94" s="353">
        <v>472632</v>
      </c>
      <c r="CA94" s="353">
        <v>479711</v>
      </c>
      <c r="CB94" s="353">
        <v>486790</v>
      </c>
      <c r="CC94" s="353">
        <v>493869</v>
      </c>
      <c r="CD94" s="353">
        <v>500948</v>
      </c>
      <c r="CE94" s="353">
        <v>508027</v>
      </c>
      <c r="CF94" s="353">
        <v>515105</v>
      </c>
      <c r="CG94" s="353">
        <v>522184</v>
      </c>
      <c r="CH94" s="353">
        <v>529263</v>
      </c>
      <c r="CI94" s="353">
        <v>536630</v>
      </c>
      <c r="CJ94" s="353">
        <v>543997</v>
      </c>
      <c r="CK94" s="353">
        <v>551363</v>
      </c>
      <c r="CL94" s="353">
        <v>558730</v>
      </c>
      <c r="CM94" s="353">
        <v>566097</v>
      </c>
      <c r="CN94" s="353">
        <v>573464</v>
      </c>
      <c r="CO94" s="353">
        <v>580830</v>
      </c>
      <c r="CP94" s="353">
        <v>588197</v>
      </c>
      <c r="CQ94" s="353">
        <v>595564</v>
      </c>
      <c r="CR94" s="353">
        <v>602931</v>
      </c>
      <c r="CS94" s="353">
        <v>610297</v>
      </c>
      <c r="CT94" s="354">
        <v>617664</v>
      </c>
    </row>
    <row r="95" spans="1:98" s="73" customFormat="1" ht="13" outlineLevel="1" x14ac:dyDescent="0.35">
      <c r="A95" s="351" t="s">
        <v>855</v>
      </c>
      <c r="B95" s="355" t="s">
        <v>22</v>
      </c>
      <c r="C95" s="353">
        <v>6182</v>
      </c>
      <c r="D95" s="353">
        <v>12364</v>
      </c>
      <c r="E95" s="353">
        <v>18545</v>
      </c>
      <c r="F95" s="353">
        <v>24727</v>
      </c>
      <c r="G95" s="353">
        <v>30909</v>
      </c>
      <c r="H95" s="353">
        <v>37091</v>
      </c>
      <c r="I95" s="353">
        <v>43272</v>
      </c>
      <c r="J95" s="353">
        <v>49454</v>
      </c>
      <c r="K95" s="353">
        <v>55636</v>
      </c>
      <c r="L95" s="353">
        <v>61818</v>
      </c>
      <c r="M95" s="353">
        <v>67999</v>
      </c>
      <c r="N95" s="353">
        <v>80363</v>
      </c>
      <c r="O95" s="353">
        <v>87333</v>
      </c>
      <c r="P95" s="353">
        <v>94302</v>
      </c>
      <c r="Q95" s="353">
        <v>101272</v>
      </c>
      <c r="R95" s="353">
        <v>108241</v>
      </c>
      <c r="S95" s="353">
        <v>115211</v>
      </c>
      <c r="T95" s="353">
        <v>122180</v>
      </c>
      <c r="U95" s="353">
        <v>129150</v>
      </c>
      <c r="V95" s="353">
        <v>136119</v>
      </c>
      <c r="W95" s="353">
        <v>143089</v>
      </c>
      <c r="X95" s="353">
        <v>150058</v>
      </c>
      <c r="Y95" s="353">
        <v>157028</v>
      </c>
      <c r="Z95" s="353">
        <v>163997</v>
      </c>
      <c r="AA95" s="353">
        <v>171250</v>
      </c>
      <c r="AB95" s="353">
        <v>178503</v>
      </c>
      <c r="AC95" s="353">
        <v>185757</v>
      </c>
      <c r="AD95" s="353">
        <v>193010</v>
      </c>
      <c r="AE95" s="353">
        <v>200263</v>
      </c>
      <c r="AF95" s="353">
        <v>207516</v>
      </c>
      <c r="AG95" s="353">
        <v>214769</v>
      </c>
      <c r="AH95" s="353">
        <v>222022</v>
      </c>
      <c r="AI95" s="353">
        <v>229276</v>
      </c>
      <c r="AJ95" s="353">
        <v>236529</v>
      </c>
      <c r="AK95" s="353">
        <v>243782</v>
      </c>
      <c r="AL95" s="353">
        <v>251035</v>
      </c>
      <c r="AM95" s="353">
        <v>258583</v>
      </c>
      <c r="AN95" s="353">
        <v>266132</v>
      </c>
      <c r="AO95" s="353">
        <v>273680</v>
      </c>
      <c r="AP95" s="353">
        <v>281228</v>
      </c>
      <c r="AQ95" s="353">
        <v>288776</v>
      </c>
      <c r="AR95" s="353">
        <v>296325</v>
      </c>
      <c r="AS95" s="353">
        <v>303873</v>
      </c>
      <c r="AT95" s="353">
        <v>311421</v>
      </c>
      <c r="AU95" s="353">
        <v>318969</v>
      </c>
      <c r="AV95" s="353">
        <v>326518</v>
      </c>
      <c r="AW95" s="353">
        <v>334066</v>
      </c>
      <c r="AX95" s="353">
        <v>341614</v>
      </c>
      <c r="AY95" s="353">
        <v>349469</v>
      </c>
      <c r="AZ95" s="353">
        <v>357325</v>
      </c>
      <c r="BA95" s="353">
        <v>365180</v>
      </c>
      <c r="BB95" s="353">
        <v>373036</v>
      </c>
      <c r="BC95" s="353">
        <v>380891</v>
      </c>
      <c r="BD95" s="353">
        <v>388747</v>
      </c>
      <c r="BE95" s="353">
        <v>396602</v>
      </c>
      <c r="BF95" s="353">
        <v>404457</v>
      </c>
      <c r="BG95" s="353">
        <v>412313</v>
      </c>
      <c r="BH95" s="353">
        <v>420168</v>
      </c>
      <c r="BI95" s="353">
        <v>428024</v>
      </c>
      <c r="BJ95" s="353">
        <v>435879</v>
      </c>
      <c r="BK95" s="353">
        <v>444054</v>
      </c>
      <c r="BL95" s="353">
        <v>452229</v>
      </c>
      <c r="BM95" s="353">
        <v>460404</v>
      </c>
      <c r="BN95" s="353">
        <v>468579</v>
      </c>
      <c r="BO95" s="353">
        <v>476754</v>
      </c>
      <c r="BP95" s="353">
        <v>484929</v>
      </c>
      <c r="BQ95" s="353">
        <v>493103</v>
      </c>
      <c r="BR95" s="353">
        <v>501278</v>
      </c>
      <c r="BS95" s="353">
        <v>509453</v>
      </c>
      <c r="BT95" s="353">
        <v>517628</v>
      </c>
      <c r="BU95" s="353">
        <v>525803</v>
      </c>
      <c r="BV95" s="353">
        <v>533978</v>
      </c>
      <c r="BW95" s="353">
        <v>542485</v>
      </c>
      <c r="BX95" s="353">
        <v>550993</v>
      </c>
      <c r="BY95" s="353">
        <v>559500</v>
      </c>
      <c r="BZ95" s="353">
        <v>568008</v>
      </c>
      <c r="CA95" s="353">
        <v>576515</v>
      </c>
      <c r="CB95" s="353">
        <v>585023</v>
      </c>
      <c r="CC95" s="353">
        <v>593530</v>
      </c>
      <c r="CD95" s="353">
        <v>602037</v>
      </c>
      <c r="CE95" s="353">
        <v>610545</v>
      </c>
      <c r="CF95" s="353">
        <v>619052</v>
      </c>
      <c r="CG95" s="353">
        <v>627560</v>
      </c>
      <c r="CH95" s="353">
        <v>636067</v>
      </c>
      <c r="CI95" s="353">
        <v>644920</v>
      </c>
      <c r="CJ95" s="353">
        <v>653774</v>
      </c>
      <c r="CK95" s="353">
        <v>662627</v>
      </c>
      <c r="CL95" s="353">
        <v>671480</v>
      </c>
      <c r="CM95" s="353">
        <v>680334</v>
      </c>
      <c r="CN95" s="353">
        <v>689187</v>
      </c>
      <c r="CO95" s="353">
        <v>698040</v>
      </c>
      <c r="CP95" s="353">
        <v>706894</v>
      </c>
      <c r="CQ95" s="353">
        <v>715747</v>
      </c>
      <c r="CR95" s="353">
        <v>724600</v>
      </c>
      <c r="CS95" s="353">
        <v>733454</v>
      </c>
      <c r="CT95" s="354">
        <v>742307</v>
      </c>
    </row>
    <row r="96" spans="1:98" s="73" customFormat="1" ht="13" outlineLevel="1" x14ac:dyDescent="0.35">
      <c r="A96" s="351" t="s">
        <v>856</v>
      </c>
      <c r="B96" s="171" t="s">
        <v>22</v>
      </c>
      <c r="C96" s="353">
        <v>7398</v>
      </c>
      <c r="D96" s="353">
        <v>14797</v>
      </c>
      <c r="E96" s="353">
        <v>22195</v>
      </c>
      <c r="F96" s="353">
        <v>29593</v>
      </c>
      <c r="G96" s="353">
        <v>36992</v>
      </c>
      <c r="H96" s="353">
        <v>44390</v>
      </c>
      <c r="I96" s="353">
        <v>51788</v>
      </c>
      <c r="J96" s="353">
        <v>59187</v>
      </c>
      <c r="K96" s="353">
        <v>66585</v>
      </c>
      <c r="L96" s="353">
        <v>73983</v>
      </c>
      <c r="M96" s="353">
        <v>81382</v>
      </c>
      <c r="N96" s="353">
        <v>96178</v>
      </c>
      <c r="O96" s="353">
        <v>104519</v>
      </c>
      <c r="P96" s="353">
        <v>112860</v>
      </c>
      <c r="Q96" s="353">
        <v>121202</v>
      </c>
      <c r="R96" s="353">
        <v>129543</v>
      </c>
      <c r="S96" s="353">
        <v>137884</v>
      </c>
      <c r="T96" s="353">
        <v>146225</v>
      </c>
      <c r="U96" s="353">
        <v>154566</v>
      </c>
      <c r="V96" s="353">
        <v>162907</v>
      </c>
      <c r="W96" s="353">
        <v>171249</v>
      </c>
      <c r="X96" s="353">
        <v>179590</v>
      </c>
      <c r="Y96" s="353">
        <v>187931</v>
      </c>
      <c r="Z96" s="353">
        <v>196272</v>
      </c>
      <c r="AA96" s="353">
        <v>204953</v>
      </c>
      <c r="AB96" s="353">
        <v>213633</v>
      </c>
      <c r="AC96" s="353">
        <v>222314</v>
      </c>
      <c r="AD96" s="353">
        <v>230995</v>
      </c>
      <c r="AE96" s="353">
        <v>239675</v>
      </c>
      <c r="AF96" s="353">
        <v>248356</v>
      </c>
      <c r="AG96" s="353">
        <v>257037</v>
      </c>
      <c r="AH96" s="353">
        <v>265717</v>
      </c>
      <c r="AI96" s="353">
        <v>274398</v>
      </c>
      <c r="AJ96" s="353">
        <v>283079</v>
      </c>
      <c r="AK96" s="353">
        <v>291759</v>
      </c>
      <c r="AL96" s="353">
        <v>300440</v>
      </c>
      <c r="AM96" s="353">
        <v>309474</v>
      </c>
      <c r="AN96" s="353">
        <v>318508</v>
      </c>
      <c r="AO96" s="353">
        <v>327542</v>
      </c>
      <c r="AP96" s="353">
        <v>336575</v>
      </c>
      <c r="AQ96" s="353">
        <v>345609</v>
      </c>
      <c r="AR96" s="353">
        <v>354643</v>
      </c>
      <c r="AS96" s="353">
        <v>363677</v>
      </c>
      <c r="AT96" s="353">
        <v>372711</v>
      </c>
      <c r="AU96" s="353">
        <v>381745</v>
      </c>
      <c r="AV96" s="353">
        <v>390778</v>
      </c>
      <c r="AW96" s="353">
        <v>399812</v>
      </c>
      <c r="AX96" s="353">
        <v>408846</v>
      </c>
      <c r="AY96" s="353">
        <v>418247</v>
      </c>
      <c r="AZ96" s="353">
        <v>427649</v>
      </c>
      <c r="BA96" s="353">
        <v>437050</v>
      </c>
      <c r="BB96" s="353">
        <v>446451</v>
      </c>
      <c r="BC96" s="353">
        <v>455853</v>
      </c>
      <c r="BD96" s="353">
        <v>465254</v>
      </c>
      <c r="BE96" s="353">
        <v>474655</v>
      </c>
      <c r="BF96" s="353">
        <v>484057</v>
      </c>
      <c r="BG96" s="353">
        <v>493458</v>
      </c>
      <c r="BH96" s="353">
        <v>502859</v>
      </c>
      <c r="BI96" s="353">
        <v>512261</v>
      </c>
      <c r="BJ96" s="353">
        <v>521662</v>
      </c>
      <c r="BK96" s="353">
        <v>531446</v>
      </c>
      <c r="BL96" s="353">
        <v>541230</v>
      </c>
      <c r="BM96" s="353">
        <v>551014</v>
      </c>
      <c r="BN96" s="353">
        <v>560797</v>
      </c>
      <c r="BO96" s="353">
        <v>570581</v>
      </c>
      <c r="BP96" s="353">
        <v>580365</v>
      </c>
      <c r="BQ96" s="353">
        <v>590149</v>
      </c>
      <c r="BR96" s="353">
        <v>599933</v>
      </c>
      <c r="BS96" s="353">
        <v>609717</v>
      </c>
      <c r="BT96" s="353">
        <v>619500</v>
      </c>
      <c r="BU96" s="353">
        <v>629284</v>
      </c>
      <c r="BV96" s="353">
        <v>639068</v>
      </c>
      <c r="BW96" s="353">
        <v>649250</v>
      </c>
      <c r="BX96" s="353">
        <v>659431</v>
      </c>
      <c r="BY96" s="353">
        <v>669613</v>
      </c>
      <c r="BZ96" s="353">
        <v>679795</v>
      </c>
      <c r="CA96" s="353">
        <v>689976</v>
      </c>
      <c r="CB96" s="353">
        <v>700158</v>
      </c>
      <c r="CC96" s="353">
        <v>710340</v>
      </c>
      <c r="CD96" s="353">
        <v>720521</v>
      </c>
      <c r="CE96" s="353">
        <v>730703</v>
      </c>
      <c r="CF96" s="353">
        <v>740885</v>
      </c>
      <c r="CG96" s="353">
        <v>751066</v>
      </c>
      <c r="CH96" s="353">
        <v>761248</v>
      </c>
      <c r="CI96" s="353">
        <v>771844</v>
      </c>
      <c r="CJ96" s="353">
        <v>782439</v>
      </c>
      <c r="CK96" s="353">
        <v>793035</v>
      </c>
      <c r="CL96" s="353">
        <v>803630</v>
      </c>
      <c r="CM96" s="353">
        <v>814226</v>
      </c>
      <c r="CN96" s="353">
        <v>824822</v>
      </c>
      <c r="CO96" s="353">
        <v>835417</v>
      </c>
      <c r="CP96" s="353">
        <v>846013</v>
      </c>
      <c r="CQ96" s="353">
        <v>856608</v>
      </c>
      <c r="CR96" s="353">
        <v>867204</v>
      </c>
      <c r="CS96" s="353">
        <v>877799</v>
      </c>
      <c r="CT96" s="354">
        <v>888395</v>
      </c>
    </row>
    <row r="97" spans="1:98" s="73" customFormat="1" ht="13" outlineLevel="1" x14ac:dyDescent="0.35">
      <c r="A97" s="351" t="s">
        <v>45</v>
      </c>
      <c r="B97" s="171" t="s">
        <v>22</v>
      </c>
      <c r="C97" s="353">
        <v>5446</v>
      </c>
      <c r="D97" s="353">
        <v>10891</v>
      </c>
      <c r="E97" s="353">
        <v>16337</v>
      </c>
      <c r="F97" s="353">
        <v>21783</v>
      </c>
      <c r="G97" s="353">
        <v>27228</v>
      </c>
      <c r="H97" s="353">
        <v>32674</v>
      </c>
      <c r="I97" s="353">
        <v>38120</v>
      </c>
      <c r="J97" s="353">
        <v>43565</v>
      </c>
      <c r="K97" s="353">
        <v>49011</v>
      </c>
      <c r="L97" s="353">
        <v>54457</v>
      </c>
      <c r="M97" s="353">
        <v>59902</v>
      </c>
      <c r="N97" s="353">
        <v>70794</v>
      </c>
      <c r="O97" s="353">
        <v>76870</v>
      </c>
      <c r="P97" s="353">
        <v>82946</v>
      </c>
      <c r="Q97" s="353">
        <v>89022</v>
      </c>
      <c r="R97" s="353">
        <v>95098</v>
      </c>
      <c r="S97" s="353">
        <v>101174</v>
      </c>
      <c r="T97" s="353">
        <v>107251</v>
      </c>
      <c r="U97" s="353">
        <v>113327</v>
      </c>
      <c r="V97" s="353">
        <v>119403</v>
      </c>
      <c r="W97" s="353">
        <v>125479</v>
      </c>
      <c r="X97" s="353">
        <v>131555</v>
      </c>
      <c r="Y97" s="353">
        <v>137631</v>
      </c>
      <c r="Z97" s="353">
        <v>143707</v>
      </c>
      <c r="AA97" s="353">
        <v>149965</v>
      </c>
      <c r="AB97" s="353">
        <v>156223</v>
      </c>
      <c r="AC97" s="353">
        <v>162481</v>
      </c>
      <c r="AD97" s="353">
        <v>168739</v>
      </c>
      <c r="AE97" s="353">
        <v>174997</v>
      </c>
      <c r="AF97" s="353">
        <v>181255</v>
      </c>
      <c r="AG97" s="353">
        <v>187513</v>
      </c>
      <c r="AH97" s="353">
        <v>193771</v>
      </c>
      <c r="AI97" s="353">
        <v>200029</v>
      </c>
      <c r="AJ97" s="353">
        <v>206287</v>
      </c>
      <c r="AK97" s="353">
        <v>212545</v>
      </c>
      <c r="AL97" s="353">
        <v>218803</v>
      </c>
      <c r="AM97" s="353">
        <v>225248</v>
      </c>
      <c r="AN97" s="353">
        <v>231694</v>
      </c>
      <c r="AO97" s="353">
        <v>238139</v>
      </c>
      <c r="AP97" s="353">
        <v>244584</v>
      </c>
      <c r="AQ97" s="353">
        <v>251029</v>
      </c>
      <c r="AR97" s="353">
        <v>257475</v>
      </c>
      <c r="AS97" s="353">
        <v>263920</v>
      </c>
      <c r="AT97" s="353">
        <v>270365</v>
      </c>
      <c r="AU97" s="353">
        <v>276810</v>
      </c>
      <c r="AV97" s="353">
        <v>283256</v>
      </c>
      <c r="AW97" s="353">
        <v>289701</v>
      </c>
      <c r="AX97" s="353">
        <v>296146</v>
      </c>
      <c r="AY97" s="353">
        <v>302784</v>
      </c>
      <c r="AZ97" s="353">
        <v>309422</v>
      </c>
      <c r="BA97" s="353">
        <v>316061</v>
      </c>
      <c r="BB97" s="353">
        <v>322699</v>
      </c>
      <c r="BC97" s="353">
        <v>329337</v>
      </c>
      <c r="BD97" s="353">
        <v>335975</v>
      </c>
      <c r="BE97" s="353">
        <v>342613</v>
      </c>
      <c r="BF97" s="353">
        <v>349251</v>
      </c>
      <c r="BG97" s="353">
        <v>355890</v>
      </c>
      <c r="BH97" s="353">
        <v>362528</v>
      </c>
      <c r="BI97" s="353">
        <v>369166</v>
      </c>
      <c r="BJ97" s="353">
        <v>375804</v>
      </c>
      <c r="BK97" s="353">
        <v>382641</v>
      </c>
      <c r="BL97" s="353">
        <v>389478</v>
      </c>
      <c r="BM97" s="353">
        <v>396314</v>
      </c>
      <c r="BN97" s="353">
        <v>403151</v>
      </c>
      <c r="BO97" s="353">
        <v>409988</v>
      </c>
      <c r="BP97" s="353">
        <v>416825</v>
      </c>
      <c r="BQ97" s="353">
        <v>423661</v>
      </c>
      <c r="BR97" s="353">
        <v>430498</v>
      </c>
      <c r="BS97" s="353">
        <v>437335</v>
      </c>
      <c r="BT97" s="353">
        <v>444172</v>
      </c>
      <c r="BU97" s="353">
        <v>451008</v>
      </c>
      <c r="BV97" s="353">
        <v>457845</v>
      </c>
      <c r="BW97" s="353">
        <v>464886</v>
      </c>
      <c r="BX97" s="353">
        <v>471928</v>
      </c>
      <c r="BY97" s="353">
        <v>478969</v>
      </c>
      <c r="BZ97" s="353">
        <v>486010</v>
      </c>
      <c r="CA97" s="353">
        <v>493052</v>
      </c>
      <c r="CB97" s="353">
        <v>500093</v>
      </c>
      <c r="CC97" s="353">
        <v>507134</v>
      </c>
      <c r="CD97" s="353">
        <v>514176</v>
      </c>
      <c r="CE97" s="353">
        <v>521217</v>
      </c>
      <c r="CF97" s="353">
        <v>528258</v>
      </c>
      <c r="CG97" s="353">
        <v>535300</v>
      </c>
      <c r="CH97" s="353">
        <v>542341</v>
      </c>
      <c r="CI97" s="353">
        <v>549593</v>
      </c>
      <c r="CJ97" s="353">
        <v>556845</v>
      </c>
      <c r="CK97" s="353">
        <v>564097</v>
      </c>
      <c r="CL97" s="353">
        <v>571349</v>
      </c>
      <c r="CM97" s="353">
        <v>578601</v>
      </c>
      <c r="CN97" s="353">
        <v>585853</v>
      </c>
      <c r="CO97" s="353">
        <v>593104</v>
      </c>
      <c r="CP97" s="353">
        <v>600356</v>
      </c>
      <c r="CQ97" s="353">
        <v>607608</v>
      </c>
      <c r="CR97" s="353">
        <v>614860</v>
      </c>
      <c r="CS97" s="353">
        <v>622112</v>
      </c>
      <c r="CT97" s="354">
        <v>629364</v>
      </c>
    </row>
    <row r="98" spans="1:98" s="73" customFormat="1" ht="13" outlineLevel="1" x14ac:dyDescent="0.35">
      <c r="A98" s="351" t="s">
        <v>46</v>
      </c>
      <c r="B98" s="171" t="s">
        <v>22</v>
      </c>
      <c r="C98" s="353">
        <v>6527</v>
      </c>
      <c r="D98" s="353">
        <v>13054</v>
      </c>
      <c r="E98" s="353">
        <v>19581</v>
      </c>
      <c r="F98" s="353">
        <v>26108</v>
      </c>
      <c r="G98" s="353">
        <v>32635</v>
      </c>
      <c r="H98" s="353">
        <v>39162</v>
      </c>
      <c r="I98" s="353">
        <v>45689</v>
      </c>
      <c r="J98" s="353">
        <v>52216</v>
      </c>
      <c r="K98" s="353">
        <v>58743</v>
      </c>
      <c r="L98" s="353">
        <v>65270</v>
      </c>
      <c r="M98" s="353">
        <v>71797</v>
      </c>
      <c r="N98" s="353">
        <v>84851</v>
      </c>
      <c r="O98" s="353">
        <v>92134</v>
      </c>
      <c r="P98" s="353">
        <v>99416</v>
      </c>
      <c r="Q98" s="353">
        <v>106699</v>
      </c>
      <c r="R98" s="353">
        <v>113981</v>
      </c>
      <c r="S98" s="353">
        <v>121264</v>
      </c>
      <c r="T98" s="353">
        <v>128547</v>
      </c>
      <c r="U98" s="353">
        <v>135829</v>
      </c>
      <c r="V98" s="353">
        <v>143112</v>
      </c>
      <c r="W98" s="353">
        <v>150394</v>
      </c>
      <c r="X98" s="353">
        <v>157677</v>
      </c>
      <c r="Y98" s="353">
        <v>164959</v>
      </c>
      <c r="Z98" s="353">
        <v>172242</v>
      </c>
      <c r="AA98" s="353">
        <v>179743</v>
      </c>
      <c r="AB98" s="353">
        <v>187243</v>
      </c>
      <c r="AC98" s="353">
        <v>194744</v>
      </c>
      <c r="AD98" s="353">
        <v>202244</v>
      </c>
      <c r="AE98" s="353">
        <v>209745</v>
      </c>
      <c r="AF98" s="353">
        <v>217246</v>
      </c>
      <c r="AG98" s="353">
        <v>224746</v>
      </c>
      <c r="AH98" s="353">
        <v>232247</v>
      </c>
      <c r="AI98" s="353">
        <v>239747</v>
      </c>
      <c r="AJ98" s="353">
        <v>247248</v>
      </c>
      <c r="AK98" s="353">
        <v>254748</v>
      </c>
      <c r="AL98" s="353">
        <v>262249</v>
      </c>
      <c r="AM98" s="353">
        <v>269974</v>
      </c>
      <c r="AN98" s="353">
        <v>277699</v>
      </c>
      <c r="AO98" s="353">
        <v>285425</v>
      </c>
      <c r="AP98" s="353">
        <v>293150</v>
      </c>
      <c r="AQ98" s="353">
        <v>300875</v>
      </c>
      <c r="AR98" s="353">
        <v>308600</v>
      </c>
      <c r="AS98" s="353">
        <v>316325</v>
      </c>
      <c r="AT98" s="353">
        <v>324050</v>
      </c>
      <c r="AU98" s="353">
        <v>331776</v>
      </c>
      <c r="AV98" s="353">
        <v>339501</v>
      </c>
      <c r="AW98" s="353">
        <v>347226</v>
      </c>
      <c r="AX98" s="353">
        <v>354951</v>
      </c>
      <c r="AY98" s="353">
        <v>362907</v>
      </c>
      <c r="AZ98" s="353">
        <v>370864</v>
      </c>
      <c r="BA98" s="353">
        <v>378820</v>
      </c>
      <c r="BB98" s="353">
        <v>386776</v>
      </c>
      <c r="BC98" s="353">
        <v>394732</v>
      </c>
      <c r="BD98" s="353">
        <v>402689</v>
      </c>
      <c r="BE98" s="353">
        <v>410645</v>
      </c>
      <c r="BF98" s="353">
        <v>418601</v>
      </c>
      <c r="BG98" s="353">
        <v>426557</v>
      </c>
      <c r="BH98" s="353">
        <v>434514</v>
      </c>
      <c r="BI98" s="353">
        <v>442470</v>
      </c>
      <c r="BJ98" s="353">
        <v>450426</v>
      </c>
      <c r="BK98" s="353">
        <v>458620</v>
      </c>
      <c r="BL98" s="353">
        <v>466815</v>
      </c>
      <c r="BM98" s="353">
        <v>475009</v>
      </c>
      <c r="BN98" s="353">
        <v>483203</v>
      </c>
      <c r="BO98" s="353">
        <v>491398</v>
      </c>
      <c r="BP98" s="353">
        <v>499592</v>
      </c>
      <c r="BQ98" s="353">
        <v>507786</v>
      </c>
      <c r="BR98" s="353">
        <v>515981</v>
      </c>
      <c r="BS98" s="353">
        <v>524175</v>
      </c>
      <c r="BT98" s="353">
        <v>532369</v>
      </c>
      <c r="BU98" s="353">
        <v>540564</v>
      </c>
      <c r="BV98" s="353">
        <v>548758</v>
      </c>
      <c r="BW98" s="353">
        <v>557198</v>
      </c>
      <c r="BX98" s="353">
        <v>565637</v>
      </c>
      <c r="BY98" s="353">
        <v>574077</v>
      </c>
      <c r="BZ98" s="353">
        <v>582516</v>
      </c>
      <c r="CA98" s="353">
        <v>590956</v>
      </c>
      <c r="CB98" s="353">
        <v>599395</v>
      </c>
      <c r="CC98" s="353">
        <v>607835</v>
      </c>
      <c r="CD98" s="353">
        <v>616274</v>
      </c>
      <c r="CE98" s="353">
        <v>624714</v>
      </c>
      <c r="CF98" s="353">
        <v>633153</v>
      </c>
      <c r="CG98" s="353">
        <v>641593</v>
      </c>
      <c r="CH98" s="353">
        <v>650032</v>
      </c>
      <c r="CI98" s="353">
        <v>658724</v>
      </c>
      <c r="CJ98" s="353">
        <v>667416</v>
      </c>
      <c r="CK98" s="353">
        <v>676108</v>
      </c>
      <c r="CL98" s="353">
        <v>684800</v>
      </c>
      <c r="CM98" s="353">
        <v>693492</v>
      </c>
      <c r="CN98" s="353">
        <v>702184</v>
      </c>
      <c r="CO98" s="353">
        <v>710875</v>
      </c>
      <c r="CP98" s="353">
        <v>719567</v>
      </c>
      <c r="CQ98" s="353">
        <v>728259</v>
      </c>
      <c r="CR98" s="353">
        <v>736951</v>
      </c>
      <c r="CS98" s="353">
        <v>745643</v>
      </c>
      <c r="CT98" s="354">
        <v>754335</v>
      </c>
    </row>
    <row r="99" spans="1:98" s="73" customFormat="1" ht="13" outlineLevel="1" x14ac:dyDescent="0.35">
      <c r="A99" s="351" t="s">
        <v>47</v>
      </c>
      <c r="B99" s="171" t="s">
        <v>22</v>
      </c>
      <c r="C99" s="353">
        <v>7809</v>
      </c>
      <c r="D99" s="353">
        <v>15619</v>
      </c>
      <c r="E99" s="353">
        <v>23428</v>
      </c>
      <c r="F99" s="353">
        <v>31238</v>
      </c>
      <c r="G99" s="353">
        <v>39047</v>
      </c>
      <c r="H99" s="353">
        <v>46857</v>
      </c>
      <c r="I99" s="353">
        <v>54666</v>
      </c>
      <c r="J99" s="353">
        <v>62475</v>
      </c>
      <c r="K99" s="353">
        <v>70285</v>
      </c>
      <c r="L99" s="353">
        <v>78094</v>
      </c>
      <c r="M99" s="353">
        <v>85904</v>
      </c>
      <c r="N99" s="353">
        <v>101522</v>
      </c>
      <c r="O99" s="353">
        <v>110236</v>
      </c>
      <c r="P99" s="353">
        <v>118949</v>
      </c>
      <c r="Q99" s="353">
        <v>127663</v>
      </c>
      <c r="R99" s="353">
        <v>136376</v>
      </c>
      <c r="S99" s="353">
        <v>145090</v>
      </c>
      <c r="T99" s="353">
        <v>153803</v>
      </c>
      <c r="U99" s="353">
        <v>162517</v>
      </c>
      <c r="V99" s="353">
        <v>171230</v>
      </c>
      <c r="W99" s="353">
        <v>179944</v>
      </c>
      <c r="X99" s="353">
        <v>188657</v>
      </c>
      <c r="Y99" s="353">
        <v>197371</v>
      </c>
      <c r="Z99" s="353">
        <v>206084</v>
      </c>
      <c r="AA99" s="353">
        <v>215058</v>
      </c>
      <c r="AB99" s="353">
        <v>224033</v>
      </c>
      <c r="AC99" s="353">
        <v>233007</v>
      </c>
      <c r="AD99" s="353">
        <v>241981</v>
      </c>
      <c r="AE99" s="353">
        <v>250956</v>
      </c>
      <c r="AF99" s="353">
        <v>259930</v>
      </c>
      <c r="AG99" s="353">
        <v>268904</v>
      </c>
      <c r="AH99" s="353">
        <v>277879</v>
      </c>
      <c r="AI99" s="353">
        <v>286853</v>
      </c>
      <c r="AJ99" s="353">
        <v>295827</v>
      </c>
      <c r="AK99" s="353">
        <v>304802</v>
      </c>
      <c r="AL99" s="353">
        <v>313776</v>
      </c>
      <c r="AM99" s="353">
        <v>323019</v>
      </c>
      <c r="AN99" s="353">
        <v>332262</v>
      </c>
      <c r="AO99" s="353">
        <v>341505</v>
      </c>
      <c r="AP99" s="353">
        <v>350748</v>
      </c>
      <c r="AQ99" s="353">
        <v>359991</v>
      </c>
      <c r="AR99" s="353">
        <v>369234</v>
      </c>
      <c r="AS99" s="353">
        <v>378476</v>
      </c>
      <c r="AT99" s="353">
        <v>387719</v>
      </c>
      <c r="AU99" s="353">
        <v>396962</v>
      </c>
      <c r="AV99" s="353">
        <v>406205</v>
      </c>
      <c r="AW99" s="353">
        <v>415448</v>
      </c>
      <c r="AX99" s="353">
        <v>424691</v>
      </c>
      <c r="AY99" s="353">
        <v>434211</v>
      </c>
      <c r="AZ99" s="353">
        <v>443730</v>
      </c>
      <c r="BA99" s="353">
        <v>453250</v>
      </c>
      <c r="BB99" s="353">
        <v>462769</v>
      </c>
      <c r="BC99" s="353">
        <v>472289</v>
      </c>
      <c r="BD99" s="353">
        <v>481809</v>
      </c>
      <c r="BE99" s="353">
        <v>491328</v>
      </c>
      <c r="BF99" s="353">
        <v>500848</v>
      </c>
      <c r="BG99" s="353">
        <v>510367</v>
      </c>
      <c r="BH99" s="353">
        <v>519887</v>
      </c>
      <c r="BI99" s="353">
        <v>529406</v>
      </c>
      <c r="BJ99" s="353">
        <v>538926</v>
      </c>
      <c r="BK99" s="353">
        <v>548730</v>
      </c>
      <c r="BL99" s="353">
        <v>558535</v>
      </c>
      <c r="BM99" s="353">
        <v>568339</v>
      </c>
      <c r="BN99" s="353">
        <v>578143</v>
      </c>
      <c r="BO99" s="353">
        <v>587948</v>
      </c>
      <c r="BP99" s="353">
        <v>597752</v>
      </c>
      <c r="BQ99" s="353">
        <v>607556</v>
      </c>
      <c r="BR99" s="353">
        <v>617361</v>
      </c>
      <c r="BS99" s="353">
        <v>627165</v>
      </c>
      <c r="BT99" s="353">
        <v>636969</v>
      </c>
      <c r="BU99" s="353">
        <v>646774</v>
      </c>
      <c r="BV99" s="353">
        <v>656578</v>
      </c>
      <c r="BW99" s="353">
        <v>666676</v>
      </c>
      <c r="BX99" s="353">
        <v>676773</v>
      </c>
      <c r="BY99" s="353">
        <v>686871</v>
      </c>
      <c r="BZ99" s="353">
        <v>696969</v>
      </c>
      <c r="CA99" s="353">
        <v>707066</v>
      </c>
      <c r="CB99" s="353">
        <v>717164</v>
      </c>
      <c r="CC99" s="353">
        <v>727262</v>
      </c>
      <c r="CD99" s="353">
        <v>737359</v>
      </c>
      <c r="CE99" s="353">
        <v>747457</v>
      </c>
      <c r="CF99" s="353">
        <v>757555</v>
      </c>
      <c r="CG99" s="353">
        <v>767652</v>
      </c>
      <c r="CH99" s="353">
        <v>777750</v>
      </c>
      <c r="CI99" s="353">
        <v>788150</v>
      </c>
      <c r="CJ99" s="353">
        <v>798549</v>
      </c>
      <c r="CK99" s="353">
        <v>808949</v>
      </c>
      <c r="CL99" s="353">
        <v>819349</v>
      </c>
      <c r="CM99" s="353">
        <v>829748</v>
      </c>
      <c r="CN99" s="353">
        <v>840148</v>
      </c>
      <c r="CO99" s="353">
        <v>850548</v>
      </c>
      <c r="CP99" s="353">
        <v>860947</v>
      </c>
      <c r="CQ99" s="353">
        <v>871347</v>
      </c>
      <c r="CR99" s="353">
        <v>881747</v>
      </c>
      <c r="CS99" s="353">
        <v>892146</v>
      </c>
      <c r="CT99" s="354">
        <v>902546</v>
      </c>
    </row>
    <row r="100" spans="1:98" s="73" customFormat="1" ht="13" outlineLevel="1" x14ac:dyDescent="0.35">
      <c r="A100" s="351" t="s">
        <v>857</v>
      </c>
      <c r="B100" s="171" t="s">
        <v>858</v>
      </c>
      <c r="C100" s="353"/>
      <c r="D100" s="353"/>
      <c r="E100" s="353"/>
      <c r="F100" s="353"/>
      <c r="G100" s="353"/>
      <c r="H100" s="353"/>
      <c r="I100" s="353"/>
      <c r="J100" s="353"/>
      <c r="K100" s="353"/>
      <c r="L100" s="353"/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  <c r="BP100" s="353"/>
      <c r="BQ100" s="353"/>
      <c r="BR100" s="353"/>
      <c r="BS100" s="353"/>
      <c r="BT100" s="353"/>
      <c r="BU100" s="353"/>
      <c r="BV100" s="353"/>
      <c r="BW100" s="353"/>
      <c r="BX100" s="353"/>
      <c r="BY100" s="353"/>
      <c r="BZ100" s="353"/>
      <c r="CA100" s="353"/>
      <c r="CB100" s="353"/>
      <c r="CC100" s="353"/>
      <c r="CD100" s="353"/>
      <c r="CE100" s="353"/>
      <c r="CF100" s="353"/>
      <c r="CG100" s="353"/>
      <c r="CH100" s="353"/>
      <c r="CI100" s="353"/>
      <c r="CJ100" s="353"/>
      <c r="CK100" s="353"/>
      <c r="CL100" s="353"/>
      <c r="CM100" s="353"/>
      <c r="CN100" s="353"/>
      <c r="CO100" s="353"/>
      <c r="CP100" s="353"/>
      <c r="CQ100" s="353"/>
      <c r="CR100" s="353"/>
      <c r="CS100" s="353"/>
      <c r="CT100" s="354"/>
    </row>
    <row r="101" spans="1:98" s="73" customFormat="1" outlineLevel="1" x14ac:dyDescent="0.35">
      <c r="A101" s="179"/>
      <c r="B101" s="177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76"/>
      <c r="BE101" s="176"/>
      <c r="BF101" s="176"/>
      <c r="BG101" s="176"/>
      <c r="BH101" s="176"/>
      <c r="BI101" s="176"/>
      <c r="BJ101" s="176"/>
      <c r="BK101" s="176"/>
      <c r="BL101" s="176"/>
      <c r="BM101" s="176"/>
      <c r="BN101" s="176"/>
      <c r="BO101" s="176"/>
      <c r="BP101" s="176"/>
      <c r="BQ101" s="176"/>
      <c r="BR101" s="176"/>
      <c r="BS101" s="176"/>
      <c r="BT101" s="176"/>
      <c r="BU101" s="176"/>
      <c r="BV101" s="176"/>
      <c r="BW101" s="176"/>
      <c r="BX101" s="176"/>
      <c r="BY101" s="176"/>
      <c r="BZ101" s="176"/>
      <c r="CA101" s="176"/>
      <c r="CB101" s="176"/>
      <c r="CC101" s="176"/>
      <c r="CD101" s="176"/>
      <c r="CE101" s="176"/>
      <c r="CF101" s="176"/>
      <c r="CG101" s="176"/>
      <c r="CH101" s="176"/>
      <c r="CI101" s="176"/>
      <c r="CJ101" s="176"/>
      <c r="CK101" s="176"/>
      <c r="CL101" s="176"/>
      <c r="CM101" s="176"/>
      <c r="CN101" s="176"/>
      <c r="CO101" s="176"/>
      <c r="CP101" s="176"/>
      <c r="CQ101" s="176"/>
      <c r="CR101" s="176"/>
      <c r="CS101" s="176"/>
      <c r="CT101" s="176"/>
    </row>
    <row r="102" spans="1:98" s="73" customFormat="1" outlineLevel="1" x14ac:dyDescent="0.35">
      <c r="A102" s="179"/>
      <c r="B102" s="177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76"/>
      <c r="BE102" s="176"/>
      <c r="BF102" s="176"/>
      <c r="BG102" s="176"/>
      <c r="BH102" s="176"/>
      <c r="BI102" s="176"/>
      <c r="BJ102" s="176"/>
      <c r="BK102" s="176"/>
      <c r="BL102" s="176"/>
      <c r="BM102" s="176"/>
      <c r="BN102" s="176"/>
      <c r="BO102" s="176"/>
      <c r="BP102" s="176"/>
      <c r="BQ102" s="176"/>
      <c r="BR102" s="176"/>
      <c r="BS102" s="176"/>
      <c r="BT102" s="176"/>
      <c r="BU102" s="176"/>
      <c r="BV102" s="176"/>
      <c r="BW102" s="176"/>
      <c r="BX102" s="176"/>
      <c r="BY102" s="176"/>
      <c r="BZ102" s="176"/>
      <c r="CA102" s="176"/>
      <c r="CB102" s="176"/>
      <c r="CC102" s="176"/>
      <c r="CD102" s="176"/>
      <c r="CE102" s="176"/>
      <c r="CF102" s="176"/>
      <c r="CG102" s="176"/>
      <c r="CH102" s="176"/>
      <c r="CI102" s="176"/>
      <c r="CJ102" s="176"/>
      <c r="CK102" s="176"/>
      <c r="CL102" s="176"/>
      <c r="CM102" s="176"/>
      <c r="CN102" s="176"/>
      <c r="CO102" s="176"/>
      <c r="CP102" s="176"/>
      <c r="CQ102" s="176"/>
      <c r="CR102" s="176"/>
      <c r="CS102" s="176"/>
      <c r="CT102" s="176"/>
    </row>
    <row r="103" spans="1:98" s="73" customFormat="1" outlineLevel="1" x14ac:dyDescent="0.35">
      <c r="A103" s="179"/>
      <c r="B103" s="177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76"/>
      <c r="BE103" s="176"/>
      <c r="BF103" s="176"/>
      <c r="BG103" s="176"/>
      <c r="BH103" s="176"/>
      <c r="BI103" s="176"/>
      <c r="BJ103" s="176"/>
      <c r="BK103" s="176"/>
      <c r="BL103" s="176"/>
      <c r="BM103" s="176"/>
      <c r="BN103" s="176"/>
      <c r="BO103" s="176"/>
      <c r="BP103" s="176"/>
      <c r="BQ103" s="176"/>
      <c r="BR103" s="176"/>
      <c r="BS103" s="176"/>
      <c r="BT103" s="176"/>
      <c r="BU103" s="176"/>
      <c r="BV103" s="176"/>
      <c r="BW103" s="176"/>
      <c r="BX103" s="176"/>
      <c r="BY103" s="176"/>
      <c r="BZ103" s="176"/>
      <c r="CA103" s="176"/>
      <c r="CB103" s="176"/>
      <c r="CC103" s="176"/>
      <c r="CD103" s="176"/>
      <c r="CE103" s="176"/>
      <c r="CF103" s="176"/>
      <c r="CG103" s="176"/>
      <c r="CH103" s="176"/>
      <c r="CI103" s="176"/>
      <c r="CJ103" s="176"/>
      <c r="CK103" s="176"/>
      <c r="CL103" s="176"/>
      <c r="CM103" s="176"/>
      <c r="CN103" s="176"/>
      <c r="CO103" s="176"/>
      <c r="CP103" s="176"/>
      <c r="CQ103" s="176"/>
      <c r="CR103" s="176"/>
      <c r="CS103" s="176"/>
      <c r="CT103" s="176"/>
    </row>
    <row r="104" spans="1:98" s="73" customFormat="1" outlineLevel="1" x14ac:dyDescent="0.35">
      <c r="A104" s="179"/>
      <c r="B104" s="177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176"/>
      <c r="BN104" s="176"/>
      <c r="BO104" s="176"/>
      <c r="BP104" s="176"/>
      <c r="BQ104" s="176"/>
      <c r="BR104" s="176"/>
      <c r="BS104" s="176"/>
      <c r="BT104" s="176"/>
      <c r="BU104" s="176"/>
      <c r="BV104" s="176"/>
      <c r="BW104" s="176"/>
      <c r="BX104" s="176"/>
      <c r="BY104" s="176"/>
      <c r="BZ104" s="176"/>
      <c r="CA104" s="176"/>
      <c r="CB104" s="176"/>
      <c r="CC104" s="176"/>
      <c r="CD104" s="176"/>
      <c r="CE104" s="176"/>
      <c r="CF104" s="176"/>
      <c r="CG104" s="176"/>
      <c r="CH104" s="176"/>
      <c r="CI104" s="176"/>
      <c r="CJ104" s="176"/>
      <c r="CK104" s="176"/>
      <c r="CL104" s="176"/>
      <c r="CM104" s="176"/>
      <c r="CN104" s="176"/>
      <c r="CO104" s="176"/>
      <c r="CP104" s="176"/>
      <c r="CQ104" s="176"/>
      <c r="CR104" s="176"/>
      <c r="CS104" s="176"/>
      <c r="CT104" s="176"/>
    </row>
    <row r="105" spans="1:98" s="357" customFormat="1" outlineLevel="1" x14ac:dyDescent="0.3">
      <c r="A105" s="179"/>
      <c r="B105" s="177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76"/>
      <c r="BE105" s="176"/>
      <c r="BF105" s="176"/>
      <c r="BG105" s="176"/>
      <c r="BH105" s="176"/>
      <c r="BI105" s="176"/>
      <c r="BJ105" s="176"/>
      <c r="BK105" s="176"/>
      <c r="BL105" s="176"/>
      <c r="BM105" s="176"/>
      <c r="BN105" s="176"/>
      <c r="BO105" s="176"/>
      <c r="BP105" s="176"/>
      <c r="BQ105" s="176"/>
      <c r="BR105" s="176"/>
      <c r="BS105" s="176"/>
      <c r="BT105" s="176"/>
      <c r="BU105" s="176"/>
      <c r="BV105" s="176"/>
      <c r="BW105" s="176"/>
      <c r="BX105" s="176"/>
      <c r="BY105" s="176"/>
      <c r="BZ105" s="176"/>
      <c r="CA105" s="176"/>
      <c r="CB105" s="176"/>
      <c r="CC105" s="176"/>
      <c r="CD105" s="176"/>
      <c r="CE105" s="176"/>
      <c r="CF105" s="176"/>
      <c r="CG105" s="176"/>
      <c r="CH105" s="176"/>
      <c r="CI105" s="176"/>
      <c r="CJ105" s="176"/>
      <c r="CK105" s="176"/>
      <c r="CL105" s="176"/>
      <c r="CM105" s="176"/>
      <c r="CN105" s="176"/>
      <c r="CO105" s="176"/>
      <c r="CP105" s="176"/>
      <c r="CQ105" s="176"/>
      <c r="CR105" s="176"/>
      <c r="CS105" s="176"/>
      <c r="CT105" s="176"/>
    </row>
    <row r="106" spans="1:98" s="357" customFormat="1" ht="18.5" outlineLevel="1" x14ac:dyDescent="0.3">
      <c r="A106" s="180" t="s">
        <v>211</v>
      </c>
      <c r="B106" s="177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/>
      <c r="BK106" s="176"/>
      <c r="BL106" s="176"/>
      <c r="BM106" s="176"/>
      <c r="BN106" s="176"/>
      <c r="BO106" s="176"/>
      <c r="BP106" s="176"/>
      <c r="BQ106" s="176"/>
      <c r="BR106" s="176"/>
      <c r="BS106" s="176"/>
      <c r="BT106" s="176"/>
      <c r="BU106" s="176"/>
      <c r="BV106" s="176"/>
      <c r="BW106" s="176"/>
      <c r="BX106" s="176"/>
      <c r="BY106" s="176"/>
      <c r="BZ106" s="176"/>
      <c r="CA106" s="176"/>
      <c r="CB106" s="176"/>
      <c r="CC106" s="176"/>
      <c r="CD106" s="176"/>
      <c r="CE106" s="176"/>
      <c r="CF106" s="176"/>
      <c r="CG106" s="176"/>
      <c r="CH106" s="176"/>
      <c r="CI106" s="176"/>
      <c r="CJ106" s="176"/>
      <c r="CK106" s="176"/>
      <c r="CL106" s="176"/>
      <c r="CM106" s="176"/>
      <c r="CN106" s="176"/>
      <c r="CO106" s="176"/>
      <c r="CP106" s="176"/>
      <c r="CQ106" s="176"/>
      <c r="CR106" s="176"/>
      <c r="CS106" s="176"/>
      <c r="CT106" s="176"/>
    </row>
    <row r="107" spans="1:98" s="178" customFormat="1" outlineLevel="1" x14ac:dyDescent="0.35">
      <c r="A107" s="348">
        <f>HOT_rates</f>
        <v>2023</v>
      </c>
      <c r="B107" s="347" t="str">
        <f>HOT_rate_type</f>
        <v>Cost Plus</v>
      </c>
      <c r="C107" s="176"/>
      <c r="D107" s="176"/>
      <c r="E107" s="314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76"/>
      <c r="BE107" s="176"/>
      <c r="BF107" s="176"/>
      <c r="BG107" s="176"/>
      <c r="BH107" s="176"/>
      <c r="BI107" s="176"/>
      <c r="BJ107" s="176"/>
      <c r="BK107" s="176"/>
      <c r="BL107" s="176"/>
      <c r="BM107" s="176"/>
      <c r="BN107" s="176"/>
      <c r="BO107" s="176"/>
      <c r="BP107" s="176"/>
      <c r="BQ107" s="176"/>
      <c r="BR107" s="176"/>
      <c r="BS107" s="176"/>
      <c r="BT107" s="176"/>
      <c r="BU107" s="176"/>
      <c r="BV107" s="176"/>
      <c r="BW107" s="176"/>
      <c r="BX107" s="176"/>
      <c r="BY107" s="176"/>
      <c r="BZ107" s="176"/>
      <c r="CA107" s="176"/>
      <c r="CB107" s="176"/>
      <c r="CC107" s="176"/>
      <c r="CD107" s="176"/>
      <c r="CE107" s="176"/>
      <c r="CF107" s="176"/>
      <c r="CG107" s="176"/>
      <c r="CH107" s="176"/>
      <c r="CI107" s="176"/>
      <c r="CJ107" s="176"/>
      <c r="CK107" s="176"/>
      <c r="CL107" s="176"/>
      <c r="CM107" s="176"/>
      <c r="CN107" s="176"/>
      <c r="CO107" s="176"/>
      <c r="CP107" s="176"/>
      <c r="CQ107" s="176"/>
      <c r="CR107" s="176"/>
      <c r="CS107" s="176"/>
      <c r="CT107" s="176"/>
    </row>
    <row r="108" spans="1:98" s="178" customFormat="1" outlineLevel="1" x14ac:dyDescent="0.35">
      <c r="A108" s="179" t="s">
        <v>173</v>
      </c>
      <c r="B108" s="176" t="s">
        <v>212</v>
      </c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76"/>
      <c r="BE108" s="176"/>
      <c r="BF108" s="176"/>
      <c r="BG108" s="176"/>
      <c r="BH108" s="176"/>
      <c r="BI108" s="176"/>
      <c r="BJ108" s="176"/>
      <c r="BK108" s="176"/>
      <c r="BL108" s="176"/>
      <c r="BM108" s="176"/>
      <c r="BN108" s="176"/>
      <c r="BO108" s="176"/>
      <c r="BP108" s="176"/>
      <c r="BQ108" s="176"/>
      <c r="BR108" s="176"/>
      <c r="BS108" s="176"/>
      <c r="BT108" s="176"/>
      <c r="BU108" s="176"/>
      <c r="BV108" s="176"/>
      <c r="BW108" s="176"/>
      <c r="BX108" s="176"/>
      <c r="BY108" s="176"/>
      <c r="BZ108" s="176"/>
      <c r="CA108" s="176"/>
      <c r="CB108" s="176"/>
      <c r="CC108" s="176"/>
      <c r="CD108" s="176"/>
      <c r="CE108" s="176"/>
      <c r="CF108" s="176"/>
      <c r="CG108" s="176"/>
      <c r="CH108" s="176"/>
      <c r="CI108" s="176"/>
      <c r="CJ108" s="176"/>
      <c r="CK108" s="176"/>
      <c r="CL108" s="176"/>
      <c r="CM108" s="176"/>
      <c r="CN108" s="176"/>
      <c r="CO108" s="176"/>
      <c r="CP108" s="176"/>
      <c r="CQ108" s="176"/>
      <c r="CR108" s="176"/>
      <c r="CS108" s="176"/>
      <c r="CT108" s="176"/>
    </row>
    <row r="109" spans="1:98" s="178" customFormat="1" outlineLevel="1" x14ac:dyDescent="0.35">
      <c r="A109" s="181" t="s">
        <v>48</v>
      </c>
      <c r="B109" s="182">
        <v>25</v>
      </c>
      <c r="D109" s="176"/>
      <c r="E109" s="289"/>
      <c r="F109" s="290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76"/>
      <c r="BE109" s="176"/>
      <c r="BF109" s="176"/>
      <c r="BG109" s="176"/>
      <c r="BH109" s="176"/>
      <c r="BI109" s="176"/>
      <c r="BJ109" s="176"/>
      <c r="BK109" s="176"/>
      <c r="BL109" s="176"/>
      <c r="BM109" s="176"/>
      <c r="BN109" s="176"/>
      <c r="BO109" s="176"/>
      <c r="BP109" s="176"/>
      <c r="BQ109" s="176"/>
      <c r="BR109" s="176"/>
      <c r="BS109" s="176"/>
      <c r="BT109" s="176"/>
      <c r="BU109" s="176"/>
      <c r="BV109" s="176"/>
      <c r="BW109" s="176"/>
      <c r="BX109" s="176"/>
      <c r="BY109" s="176"/>
      <c r="BZ109" s="176"/>
      <c r="CA109" s="176"/>
      <c r="CB109" s="176"/>
      <c r="CC109" s="176"/>
      <c r="CD109" s="176"/>
      <c r="CE109" s="176"/>
      <c r="CF109" s="176"/>
      <c r="CG109" s="176"/>
      <c r="CH109" s="176"/>
      <c r="CI109" s="176"/>
      <c r="CJ109" s="176"/>
      <c r="CK109" s="176"/>
      <c r="CL109" s="176"/>
      <c r="CM109" s="176"/>
      <c r="CN109" s="176"/>
      <c r="CO109" s="176"/>
      <c r="CP109" s="176"/>
      <c r="CQ109" s="176"/>
      <c r="CR109" s="176"/>
      <c r="CS109" s="176"/>
      <c r="CT109" s="176"/>
    </row>
    <row r="110" spans="1:98" s="178" customFormat="1" outlineLevel="1" x14ac:dyDescent="0.35">
      <c r="A110" s="181" t="s">
        <v>49</v>
      </c>
      <c r="B110" s="183">
        <v>59</v>
      </c>
      <c r="D110" s="176"/>
      <c r="E110" s="291"/>
      <c r="F110" s="290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6"/>
      <c r="BF110" s="176"/>
      <c r="BG110" s="176"/>
      <c r="BH110" s="176"/>
      <c r="BI110" s="176"/>
      <c r="BJ110" s="176"/>
      <c r="BK110" s="176"/>
      <c r="BL110" s="176"/>
      <c r="BM110" s="176"/>
      <c r="BN110" s="176"/>
      <c r="BO110" s="176"/>
      <c r="BP110" s="176"/>
      <c r="BQ110" s="176"/>
      <c r="BR110" s="176"/>
      <c r="BS110" s="176"/>
      <c r="BT110" s="176"/>
      <c r="BU110" s="176"/>
      <c r="BV110" s="176"/>
      <c r="BW110" s="176"/>
      <c r="BX110" s="176"/>
      <c r="BY110" s="176"/>
      <c r="BZ110" s="176"/>
      <c r="CA110" s="176"/>
      <c r="CB110" s="176"/>
      <c r="CC110" s="176"/>
      <c r="CD110" s="176"/>
      <c r="CE110" s="176"/>
      <c r="CF110" s="176"/>
      <c r="CG110" s="176"/>
      <c r="CH110" s="176"/>
      <c r="CI110" s="176"/>
      <c r="CJ110" s="176"/>
      <c r="CK110" s="176"/>
      <c r="CL110" s="176"/>
      <c r="CM110" s="176"/>
      <c r="CN110" s="176"/>
      <c r="CO110" s="176"/>
      <c r="CP110" s="176"/>
      <c r="CQ110" s="176"/>
      <c r="CR110" s="176"/>
      <c r="CS110" s="176"/>
      <c r="CT110" s="176"/>
    </row>
    <row r="111" spans="1:98" s="178" customFormat="1" x14ac:dyDescent="0.35">
      <c r="A111" s="181" t="s">
        <v>50</v>
      </c>
      <c r="B111" s="183">
        <v>72</v>
      </c>
      <c r="D111" s="176"/>
      <c r="E111" s="291"/>
      <c r="F111" s="292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76"/>
      <c r="BE111" s="176"/>
      <c r="BF111" s="176"/>
      <c r="BG111" s="176"/>
      <c r="BH111" s="176"/>
      <c r="BI111" s="176"/>
      <c r="BJ111" s="176"/>
      <c r="BK111" s="176"/>
      <c r="BL111" s="176"/>
      <c r="BM111" s="176"/>
      <c r="BN111" s="176"/>
      <c r="BO111" s="176"/>
      <c r="BP111" s="176"/>
      <c r="BQ111" s="176"/>
      <c r="BR111" s="176"/>
      <c r="BS111" s="176"/>
      <c r="BT111" s="176"/>
      <c r="BU111" s="176"/>
      <c r="BV111" s="176"/>
      <c r="BW111" s="176"/>
      <c r="BX111" s="176"/>
      <c r="BY111" s="176"/>
      <c r="BZ111" s="176"/>
      <c r="CA111" s="176"/>
      <c r="CB111" s="176"/>
      <c r="CC111" s="176"/>
      <c r="CD111" s="176"/>
      <c r="CE111" s="176"/>
      <c r="CF111" s="176"/>
      <c r="CG111" s="176"/>
      <c r="CH111" s="176"/>
      <c r="CI111" s="176"/>
      <c r="CJ111" s="176"/>
      <c r="CK111" s="176"/>
      <c r="CL111" s="176"/>
      <c r="CM111" s="176"/>
      <c r="CN111" s="176"/>
      <c r="CO111" s="176"/>
      <c r="CP111" s="176"/>
      <c r="CQ111" s="176"/>
      <c r="CR111" s="176"/>
      <c r="CS111" s="176"/>
      <c r="CT111" s="176"/>
    </row>
    <row r="112" spans="1:98" s="178" customFormat="1" x14ac:dyDescent="0.35">
      <c r="A112" s="181" t="s">
        <v>51</v>
      </c>
      <c r="B112" s="183">
        <v>72</v>
      </c>
      <c r="D112" s="176"/>
      <c r="E112" s="291"/>
      <c r="F112" s="292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76"/>
      <c r="BE112" s="176"/>
      <c r="BF112" s="176"/>
      <c r="BG112" s="176"/>
      <c r="BH112" s="176"/>
      <c r="BI112" s="176"/>
      <c r="BJ112" s="176"/>
      <c r="BK112" s="176"/>
      <c r="BL112" s="176"/>
      <c r="BM112" s="176"/>
      <c r="BN112" s="176"/>
      <c r="BO112" s="176"/>
      <c r="BP112" s="176"/>
      <c r="BQ112" s="176"/>
      <c r="BR112" s="176"/>
      <c r="BS112" s="176"/>
      <c r="BT112" s="176"/>
      <c r="BU112" s="176"/>
      <c r="BV112" s="176"/>
      <c r="BW112" s="176"/>
      <c r="BX112" s="176"/>
      <c r="BY112" s="176"/>
      <c r="BZ112" s="176"/>
      <c r="CA112" s="176"/>
      <c r="CB112" s="176"/>
      <c r="CC112" s="176"/>
      <c r="CD112" s="176"/>
      <c r="CE112" s="176"/>
      <c r="CF112" s="176"/>
      <c r="CG112" s="176"/>
      <c r="CH112" s="176"/>
      <c r="CI112" s="176"/>
      <c r="CJ112" s="176"/>
      <c r="CK112" s="176"/>
      <c r="CL112" s="176"/>
      <c r="CM112" s="176"/>
      <c r="CN112" s="176"/>
      <c r="CO112" s="176"/>
      <c r="CP112" s="176"/>
      <c r="CQ112" s="176"/>
      <c r="CR112" s="176"/>
      <c r="CS112" s="176"/>
      <c r="CT112" s="176"/>
    </row>
    <row r="113" spans="1:98" s="178" customFormat="1" collapsed="1" x14ac:dyDescent="0.35">
      <c r="A113" s="181" t="s">
        <v>52</v>
      </c>
      <c r="B113" s="183">
        <v>72</v>
      </c>
      <c r="D113" s="176"/>
      <c r="E113" s="291"/>
      <c r="F113" s="292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76"/>
      <c r="BE113" s="176"/>
      <c r="BF113" s="176"/>
      <c r="BG113" s="176"/>
      <c r="BH113" s="176"/>
      <c r="BI113" s="176"/>
      <c r="BJ113" s="176"/>
      <c r="BK113" s="176"/>
      <c r="BL113" s="176"/>
      <c r="BM113" s="176"/>
      <c r="BN113" s="176"/>
      <c r="BO113" s="176"/>
      <c r="BP113" s="176"/>
      <c r="BQ113" s="176"/>
      <c r="BR113" s="176"/>
      <c r="BS113" s="176"/>
      <c r="BT113" s="176"/>
      <c r="BU113" s="176"/>
      <c r="BV113" s="176"/>
      <c r="BW113" s="176"/>
      <c r="BX113" s="176"/>
      <c r="BY113" s="176"/>
      <c r="BZ113" s="176"/>
      <c r="CA113" s="176"/>
      <c r="CB113" s="176"/>
      <c r="CC113" s="176"/>
      <c r="CD113" s="176"/>
      <c r="CE113" s="176"/>
      <c r="CF113" s="176"/>
      <c r="CG113" s="176"/>
      <c r="CH113" s="176"/>
      <c r="CI113" s="176"/>
      <c r="CJ113" s="176"/>
      <c r="CK113" s="176"/>
      <c r="CL113" s="176"/>
      <c r="CM113" s="176"/>
      <c r="CN113" s="176"/>
      <c r="CO113" s="176"/>
      <c r="CP113" s="176"/>
      <c r="CQ113" s="176"/>
      <c r="CR113" s="176"/>
      <c r="CS113" s="176"/>
      <c r="CT113" s="176"/>
    </row>
    <row r="114" spans="1:98" s="178" customFormat="1" hidden="1" outlineLevel="1" x14ac:dyDescent="0.35">
      <c r="A114" s="181" t="s">
        <v>53</v>
      </c>
      <c r="B114" s="183">
        <v>79</v>
      </c>
      <c r="D114" s="176"/>
      <c r="E114" s="291"/>
      <c r="F114" s="292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76"/>
      <c r="BE114" s="176"/>
      <c r="BF114" s="176"/>
      <c r="BG114" s="176"/>
      <c r="BH114" s="176"/>
      <c r="BI114" s="176"/>
      <c r="BJ114" s="176"/>
      <c r="BK114" s="176"/>
      <c r="BL114" s="176"/>
      <c r="BM114" s="176"/>
      <c r="BN114" s="176"/>
      <c r="BO114" s="176"/>
      <c r="BP114" s="176"/>
      <c r="BQ114" s="176"/>
      <c r="BR114" s="176"/>
      <c r="BS114" s="176"/>
      <c r="BT114" s="176"/>
      <c r="BU114" s="176"/>
      <c r="BV114" s="176"/>
      <c r="BW114" s="176"/>
      <c r="BX114" s="176"/>
      <c r="BY114" s="176"/>
      <c r="BZ114" s="176"/>
      <c r="CA114" s="176"/>
      <c r="CB114" s="176"/>
      <c r="CC114" s="176"/>
      <c r="CD114" s="176"/>
      <c r="CE114" s="176"/>
      <c r="CF114" s="176"/>
      <c r="CG114" s="176"/>
      <c r="CH114" s="176"/>
      <c r="CI114" s="176"/>
      <c r="CJ114" s="176"/>
      <c r="CK114" s="176"/>
      <c r="CL114" s="176"/>
      <c r="CM114" s="176"/>
      <c r="CN114" s="176"/>
      <c r="CO114" s="176"/>
      <c r="CP114" s="176"/>
      <c r="CQ114" s="176"/>
      <c r="CR114" s="176"/>
      <c r="CS114" s="176"/>
      <c r="CT114" s="176"/>
    </row>
    <row r="115" spans="1:98" s="178" customFormat="1" hidden="1" outlineLevel="1" x14ac:dyDescent="0.35">
      <c r="A115" s="181" t="s">
        <v>58</v>
      </c>
      <c r="B115" s="183">
        <v>79</v>
      </c>
      <c r="D115" s="176"/>
      <c r="E115" s="291"/>
      <c r="F115" s="292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76"/>
      <c r="BE115" s="176"/>
      <c r="BF115" s="176"/>
      <c r="BG115" s="176"/>
      <c r="BH115" s="176"/>
      <c r="BI115" s="176"/>
      <c r="BJ115" s="176"/>
      <c r="BK115" s="176"/>
      <c r="BL115" s="176"/>
      <c r="BM115" s="176"/>
      <c r="BN115" s="176"/>
      <c r="BO115" s="176"/>
      <c r="BP115" s="176"/>
      <c r="BQ115" s="176"/>
      <c r="BR115" s="176"/>
      <c r="BS115" s="176"/>
      <c r="BT115" s="176"/>
      <c r="BU115" s="176"/>
      <c r="BV115" s="176"/>
      <c r="BW115" s="176"/>
      <c r="BX115" s="176"/>
      <c r="BY115" s="176"/>
      <c r="BZ115" s="176"/>
      <c r="CA115" s="176"/>
      <c r="CB115" s="176"/>
      <c r="CC115" s="176"/>
      <c r="CD115" s="176"/>
      <c r="CE115" s="176"/>
      <c r="CF115" s="176"/>
      <c r="CG115" s="176"/>
      <c r="CH115" s="176"/>
      <c r="CI115" s="176"/>
      <c r="CJ115" s="176"/>
      <c r="CK115" s="176"/>
      <c r="CL115" s="176"/>
      <c r="CM115" s="176"/>
      <c r="CN115" s="176"/>
      <c r="CO115" s="176"/>
      <c r="CP115" s="176"/>
      <c r="CQ115" s="176"/>
      <c r="CR115" s="176"/>
      <c r="CS115" s="176"/>
      <c r="CT115" s="176"/>
    </row>
    <row r="116" spans="1:98" s="178" customFormat="1" hidden="1" outlineLevel="1" x14ac:dyDescent="0.35">
      <c r="A116" s="181" t="s">
        <v>59</v>
      </c>
      <c r="B116" s="183">
        <v>87</v>
      </c>
      <c r="D116" s="176"/>
      <c r="E116" s="291"/>
      <c r="F116" s="292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76"/>
      <c r="BE116" s="176"/>
      <c r="BF116" s="176"/>
      <c r="BG116" s="176"/>
      <c r="BH116" s="176"/>
      <c r="BI116" s="176"/>
      <c r="BJ116" s="176"/>
      <c r="BK116" s="176"/>
      <c r="BL116" s="176"/>
      <c r="BM116" s="176"/>
      <c r="BN116" s="176"/>
      <c r="BO116" s="176"/>
      <c r="BP116" s="176"/>
      <c r="BQ116" s="176"/>
      <c r="BR116" s="176"/>
      <c r="BS116" s="176"/>
      <c r="BT116" s="176"/>
      <c r="BU116" s="176"/>
      <c r="BV116" s="176"/>
      <c r="BW116" s="176"/>
      <c r="BX116" s="176"/>
      <c r="BY116" s="176"/>
      <c r="BZ116" s="176"/>
      <c r="CA116" s="176"/>
      <c r="CB116" s="176"/>
      <c r="CC116" s="176"/>
      <c r="CD116" s="176"/>
      <c r="CE116" s="176"/>
      <c r="CF116" s="176"/>
      <c r="CG116" s="176"/>
      <c r="CH116" s="176"/>
      <c r="CI116" s="176"/>
      <c r="CJ116" s="176"/>
      <c r="CK116" s="176"/>
      <c r="CL116" s="176"/>
      <c r="CM116" s="176"/>
      <c r="CN116" s="176"/>
      <c r="CO116" s="176"/>
      <c r="CP116" s="176"/>
      <c r="CQ116" s="176"/>
      <c r="CR116" s="176"/>
      <c r="CS116" s="176"/>
      <c r="CT116" s="176"/>
    </row>
    <row r="117" spans="1:98" s="178" customFormat="1" hidden="1" outlineLevel="1" x14ac:dyDescent="0.35">
      <c r="A117" s="181" t="s">
        <v>54</v>
      </c>
      <c r="B117" s="183">
        <v>87</v>
      </c>
      <c r="D117" s="176"/>
      <c r="E117" s="291"/>
      <c r="F117" s="292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76"/>
      <c r="BE117" s="176"/>
      <c r="BF117" s="176"/>
      <c r="BG117" s="176"/>
      <c r="BH117" s="176"/>
      <c r="BI117" s="176"/>
      <c r="BJ117" s="176"/>
      <c r="BK117" s="176"/>
      <c r="BL117" s="176"/>
      <c r="BM117" s="176"/>
      <c r="BN117" s="176"/>
      <c r="BO117" s="176"/>
      <c r="BP117" s="176"/>
      <c r="BQ117" s="176"/>
      <c r="BR117" s="176"/>
      <c r="BS117" s="176"/>
      <c r="BT117" s="176"/>
      <c r="BU117" s="176"/>
      <c r="BV117" s="176"/>
      <c r="BW117" s="176"/>
      <c r="BX117" s="176"/>
      <c r="BY117" s="176"/>
      <c r="BZ117" s="176"/>
      <c r="CA117" s="176"/>
      <c r="CB117" s="176"/>
      <c r="CC117" s="176"/>
      <c r="CD117" s="176"/>
      <c r="CE117" s="176"/>
      <c r="CF117" s="176"/>
      <c r="CG117" s="176"/>
      <c r="CH117" s="176"/>
      <c r="CI117" s="176"/>
      <c r="CJ117" s="176"/>
      <c r="CK117" s="176"/>
      <c r="CL117" s="176"/>
      <c r="CM117" s="176"/>
      <c r="CN117" s="176"/>
      <c r="CO117" s="176"/>
      <c r="CP117" s="176"/>
      <c r="CQ117" s="176"/>
      <c r="CR117" s="176"/>
      <c r="CS117" s="176"/>
      <c r="CT117" s="176"/>
    </row>
    <row r="118" spans="1:98" s="178" customFormat="1" hidden="1" outlineLevel="1" x14ac:dyDescent="0.35">
      <c r="A118" s="181" t="s">
        <v>55</v>
      </c>
      <c r="B118" s="183">
        <v>87</v>
      </c>
      <c r="D118" s="176"/>
      <c r="E118" s="291"/>
      <c r="F118" s="292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76"/>
      <c r="BE118" s="176"/>
      <c r="BF118" s="176"/>
      <c r="BG118" s="176"/>
      <c r="BH118" s="176"/>
      <c r="BI118" s="176"/>
      <c r="BJ118" s="176"/>
      <c r="BK118" s="176"/>
      <c r="BL118" s="176"/>
      <c r="BM118" s="176"/>
      <c r="BN118" s="176"/>
      <c r="BO118" s="176"/>
      <c r="BP118" s="176"/>
      <c r="BQ118" s="176"/>
      <c r="BR118" s="176"/>
      <c r="BS118" s="176"/>
      <c r="BT118" s="176"/>
      <c r="BU118" s="176"/>
      <c r="BV118" s="176"/>
      <c r="BW118" s="176"/>
      <c r="BX118" s="176"/>
      <c r="BY118" s="176"/>
      <c r="BZ118" s="176"/>
      <c r="CA118" s="176"/>
      <c r="CB118" s="176"/>
      <c r="CC118" s="176"/>
      <c r="CD118" s="176"/>
      <c r="CE118" s="176"/>
      <c r="CF118" s="176"/>
      <c r="CG118" s="176"/>
      <c r="CH118" s="176"/>
      <c r="CI118" s="176"/>
      <c r="CJ118" s="176"/>
      <c r="CK118" s="176"/>
      <c r="CL118" s="176"/>
      <c r="CM118" s="176"/>
      <c r="CN118" s="176"/>
      <c r="CO118" s="176"/>
      <c r="CP118" s="176"/>
      <c r="CQ118" s="176"/>
      <c r="CR118" s="176"/>
      <c r="CS118" s="176"/>
      <c r="CT118" s="176"/>
    </row>
    <row r="119" spans="1:98" s="178" customFormat="1" hidden="1" outlineLevel="1" x14ac:dyDescent="0.35">
      <c r="A119" s="181" t="s">
        <v>56</v>
      </c>
      <c r="B119" s="183">
        <v>95</v>
      </c>
      <c r="D119" s="176"/>
      <c r="E119" s="291"/>
      <c r="F119" s="292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76"/>
      <c r="BE119" s="176"/>
      <c r="BF119" s="176"/>
      <c r="BG119" s="176"/>
      <c r="BH119" s="176"/>
      <c r="BI119" s="176"/>
      <c r="BJ119" s="176"/>
      <c r="BK119" s="176"/>
      <c r="BL119" s="176"/>
      <c r="BM119" s="176"/>
      <c r="BN119" s="176"/>
      <c r="BO119" s="176"/>
      <c r="BP119" s="176"/>
      <c r="BQ119" s="176"/>
      <c r="BR119" s="176"/>
      <c r="BS119" s="176"/>
      <c r="BT119" s="176"/>
      <c r="BU119" s="176"/>
      <c r="BV119" s="176"/>
      <c r="BW119" s="176"/>
      <c r="BX119" s="176"/>
      <c r="BY119" s="176"/>
      <c r="BZ119" s="176"/>
      <c r="CA119" s="176"/>
      <c r="CB119" s="176"/>
      <c r="CC119" s="176"/>
      <c r="CD119" s="176"/>
      <c r="CE119" s="176"/>
      <c r="CF119" s="176"/>
      <c r="CG119" s="176"/>
      <c r="CH119" s="176"/>
      <c r="CI119" s="176"/>
      <c r="CJ119" s="176"/>
      <c r="CK119" s="176"/>
      <c r="CL119" s="176"/>
      <c r="CM119" s="176"/>
      <c r="CN119" s="176"/>
      <c r="CO119" s="176"/>
      <c r="CP119" s="176"/>
      <c r="CQ119" s="176"/>
      <c r="CR119" s="176"/>
      <c r="CS119" s="176"/>
      <c r="CT119" s="176"/>
    </row>
    <row r="120" spans="1:98" s="178" customFormat="1" hidden="1" outlineLevel="1" x14ac:dyDescent="0.35">
      <c r="A120" s="181" t="s">
        <v>57</v>
      </c>
      <c r="B120" s="183">
        <v>119</v>
      </c>
      <c r="D120" s="176"/>
      <c r="E120" s="291"/>
      <c r="F120" s="292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76"/>
      <c r="BE120" s="176"/>
      <c r="BF120" s="176"/>
      <c r="BG120" s="176"/>
      <c r="BH120" s="176"/>
      <c r="BI120" s="176"/>
      <c r="BJ120" s="176"/>
      <c r="BK120" s="176"/>
      <c r="BL120" s="176"/>
      <c r="BM120" s="176"/>
      <c r="BN120" s="176"/>
      <c r="BO120" s="176"/>
      <c r="BP120" s="176"/>
      <c r="BQ120" s="176"/>
      <c r="BR120" s="176"/>
      <c r="BS120" s="176"/>
      <c r="BT120" s="176"/>
      <c r="BU120" s="176"/>
      <c r="BV120" s="176"/>
      <c r="BW120" s="176"/>
      <c r="BX120" s="176"/>
      <c r="BY120" s="176"/>
      <c r="BZ120" s="176"/>
      <c r="CA120" s="176"/>
      <c r="CB120" s="176"/>
      <c r="CC120" s="176"/>
      <c r="CD120" s="176"/>
      <c r="CE120" s="176"/>
      <c r="CF120" s="176"/>
      <c r="CG120" s="176"/>
      <c r="CH120" s="176"/>
      <c r="CI120" s="176"/>
      <c r="CJ120" s="176"/>
      <c r="CK120" s="176"/>
      <c r="CL120" s="176"/>
      <c r="CM120" s="176"/>
      <c r="CN120" s="176"/>
      <c r="CO120" s="176"/>
      <c r="CP120" s="176"/>
      <c r="CQ120" s="176"/>
      <c r="CR120" s="176"/>
      <c r="CS120" s="176"/>
      <c r="CT120" s="176"/>
    </row>
    <row r="121" spans="1:98" s="178" customFormat="1" hidden="1" outlineLevel="1" x14ac:dyDescent="0.35">
      <c r="A121" s="179"/>
      <c r="B121" s="177"/>
      <c r="C121" s="176"/>
      <c r="D121" s="176"/>
      <c r="E121" s="291"/>
      <c r="F121" s="292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  <c r="BI121" s="176"/>
      <c r="BJ121" s="176"/>
      <c r="BK121" s="176"/>
      <c r="BL121" s="176"/>
      <c r="BM121" s="176"/>
      <c r="BN121" s="176"/>
      <c r="BO121" s="176"/>
      <c r="BP121" s="176"/>
      <c r="BQ121" s="176"/>
      <c r="BR121" s="176"/>
      <c r="BS121" s="176"/>
      <c r="BT121" s="176"/>
      <c r="BU121" s="176"/>
      <c r="BV121" s="176"/>
      <c r="BW121" s="176"/>
      <c r="BX121" s="176"/>
      <c r="BY121" s="176"/>
      <c r="BZ121" s="176"/>
      <c r="CA121" s="176"/>
      <c r="CB121" s="176"/>
      <c r="CC121" s="176"/>
      <c r="CD121" s="176"/>
      <c r="CE121" s="176"/>
      <c r="CF121" s="176"/>
      <c r="CG121" s="176"/>
      <c r="CH121" s="176"/>
      <c r="CI121" s="176"/>
      <c r="CJ121" s="176"/>
      <c r="CK121" s="176"/>
      <c r="CL121" s="176"/>
      <c r="CM121" s="176"/>
      <c r="CN121" s="176"/>
      <c r="CO121" s="176"/>
      <c r="CP121" s="176"/>
      <c r="CQ121" s="176"/>
      <c r="CR121" s="176"/>
      <c r="CS121" s="176"/>
      <c r="CT121" s="176"/>
    </row>
    <row r="122" spans="1:98" s="178" customFormat="1" hidden="1" outlineLevel="1" x14ac:dyDescent="0.35">
      <c r="A122" s="179"/>
      <c r="B122" s="177"/>
      <c r="C122" s="176"/>
      <c r="D122" s="176"/>
      <c r="E122" s="289"/>
      <c r="F122" s="290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76"/>
      <c r="BE122" s="176"/>
      <c r="BF122" s="176"/>
      <c r="BG122" s="176"/>
      <c r="BH122" s="176"/>
      <c r="BI122" s="176"/>
      <c r="BJ122" s="176"/>
      <c r="BK122" s="176"/>
      <c r="BL122" s="176"/>
      <c r="BM122" s="176"/>
      <c r="BN122" s="176"/>
      <c r="BO122" s="176"/>
      <c r="BP122" s="176"/>
      <c r="BQ122" s="176"/>
      <c r="BR122" s="176"/>
      <c r="BS122" s="176"/>
      <c r="BT122" s="176"/>
      <c r="BU122" s="176"/>
      <c r="BV122" s="176"/>
      <c r="BW122" s="176"/>
      <c r="BX122" s="176"/>
      <c r="BY122" s="176"/>
      <c r="BZ122" s="176"/>
      <c r="CA122" s="176"/>
      <c r="CB122" s="176"/>
      <c r="CC122" s="176"/>
      <c r="CD122" s="176"/>
      <c r="CE122" s="176"/>
      <c r="CF122" s="176"/>
      <c r="CG122" s="176"/>
      <c r="CH122" s="176"/>
      <c r="CI122" s="176"/>
      <c r="CJ122" s="176"/>
      <c r="CK122" s="176"/>
      <c r="CL122" s="176"/>
      <c r="CM122" s="176"/>
      <c r="CN122" s="176"/>
      <c r="CO122" s="176"/>
      <c r="CP122" s="176"/>
      <c r="CQ122" s="176"/>
      <c r="CR122" s="176"/>
      <c r="CS122" s="176"/>
      <c r="CT122" s="176"/>
    </row>
    <row r="123" spans="1:98" s="178" customFormat="1" hidden="1" outlineLevel="1" x14ac:dyDescent="0.35">
      <c r="A123" s="179"/>
      <c r="B123" s="177"/>
      <c r="C123" s="176"/>
      <c r="D123" s="176"/>
      <c r="E123" s="289"/>
      <c r="F123" s="290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76"/>
      <c r="BD123" s="176"/>
      <c r="BE123" s="176"/>
      <c r="BF123" s="176"/>
      <c r="BG123" s="176"/>
      <c r="BH123" s="176"/>
      <c r="BI123" s="176"/>
      <c r="BJ123" s="176"/>
      <c r="BK123" s="176"/>
      <c r="BL123" s="176"/>
      <c r="BM123" s="176"/>
      <c r="BN123" s="176"/>
      <c r="BO123" s="176"/>
      <c r="BP123" s="176"/>
      <c r="BQ123" s="176"/>
      <c r="BR123" s="176"/>
      <c r="BS123" s="176"/>
      <c r="BT123" s="176"/>
      <c r="BU123" s="176"/>
      <c r="BV123" s="176"/>
      <c r="BW123" s="176"/>
      <c r="BX123" s="176"/>
      <c r="BY123" s="176"/>
      <c r="BZ123" s="176"/>
      <c r="CA123" s="176"/>
      <c r="CB123" s="176"/>
      <c r="CC123" s="176"/>
      <c r="CD123" s="176"/>
      <c r="CE123" s="176"/>
      <c r="CF123" s="176"/>
      <c r="CG123" s="176"/>
      <c r="CH123" s="176"/>
      <c r="CI123" s="176"/>
      <c r="CJ123" s="176"/>
      <c r="CK123" s="176"/>
      <c r="CL123" s="176"/>
      <c r="CM123" s="176"/>
      <c r="CN123" s="176"/>
      <c r="CO123" s="176"/>
      <c r="CP123" s="176"/>
      <c r="CQ123" s="176"/>
      <c r="CR123" s="176"/>
      <c r="CS123" s="176"/>
      <c r="CT123" s="176"/>
    </row>
    <row r="124" spans="1:98" s="178" customFormat="1" hidden="1" outlineLevel="1" x14ac:dyDescent="0.35">
      <c r="A124" s="179"/>
      <c r="B124" s="177"/>
      <c r="C124" s="176"/>
      <c r="D124" s="176"/>
      <c r="E124" s="289"/>
      <c r="F124" s="290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176"/>
      <c r="BG124" s="176"/>
      <c r="BH124" s="176"/>
      <c r="BI124" s="176"/>
      <c r="BJ124" s="176"/>
      <c r="BK124" s="176"/>
      <c r="BL124" s="176"/>
      <c r="BM124" s="176"/>
      <c r="BN124" s="176"/>
      <c r="BO124" s="176"/>
      <c r="BP124" s="176"/>
      <c r="BQ124" s="176"/>
      <c r="BR124" s="176"/>
      <c r="BS124" s="176"/>
      <c r="BT124" s="176"/>
      <c r="BU124" s="176"/>
      <c r="BV124" s="176"/>
      <c r="BW124" s="176"/>
      <c r="BX124" s="176"/>
      <c r="BY124" s="176"/>
      <c r="BZ124" s="176"/>
      <c r="CA124" s="176"/>
      <c r="CB124" s="176"/>
      <c r="CC124" s="176"/>
      <c r="CD124" s="176"/>
      <c r="CE124" s="176"/>
      <c r="CF124" s="176"/>
      <c r="CG124" s="176"/>
      <c r="CH124" s="176"/>
      <c r="CI124" s="176"/>
      <c r="CJ124" s="176"/>
      <c r="CK124" s="176"/>
      <c r="CL124" s="176"/>
      <c r="CM124" s="176"/>
      <c r="CN124" s="176"/>
      <c r="CO124" s="176"/>
      <c r="CP124" s="176"/>
      <c r="CQ124" s="176"/>
      <c r="CR124" s="176"/>
      <c r="CS124" s="176"/>
      <c r="CT124" s="176"/>
    </row>
    <row r="125" spans="1:98" s="178" customFormat="1" hidden="1" outlineLevel="1" x14ac:dyDescent="0.35">
      <c r="A125" s="179"/>
      <c r="B125" s="177"/>
      <c r="C125" s="176"/>
      <c r="D125" s="176"/>
      <c r="E125" s="289"/>
      <c r="F125" s="290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76"/>
      <c r="BE125" s="176"/>
      <c r="BF125" s="176"/>
      <c r="BG125" s="176"/>
      <c r="BH125" s="176"/>
      <c r="BI125" s="176"/>
      <c r="BJ125" s="176"/>
      <c r="BK125" s="176"/>
      <c r="BL125" s="176"/>
      <c r="BM125" s="176"/>
      <c r="BN125" s="176"/>
      <c r="BO125" s="176"/>
      <c r="BP125" s="176"/>
      <c r="BQ125" s="176"/>
      <c r="BR125" s="176"/>
      <c r="BS125" s="176"/>
      <c r="BT125" s="176"/>
      <c r="BU125" s="176"/>
      <c r="BV125" s="176"/>
      <c r="BW125" s="176"/>
      <c r="BX125" s="176"/>
      <c r="BY125" s="176"/>
      <c r="BZ125" s="176"/>
      <c r="CA125" s="176"/>
      <c r="CB125" s="176"/>
      <c r="CC125" s="176"/>
      <c r="CD125" s="176"/>
      <c r="CE125" s="176"/>
      <c r="CF125" s="176"/>
      <c r="CG125" s="176"/>
      <c r="CH125" s="176"/>
      <c r="CI125" s="176"/>
      <c r="CJ125" s="176"/>
      <c r="CK125" s="176"/>
      <c r="CL125" s="176"/>
      <c r="CM125" s="176"/>
      <c r="CN125" s="176"/>
      <c r="CO125" s="176"/>
      <c r="CP125" s="176"/>
      <c r="CQ125" s="176"/>
      <c r="CR125" s="176"/>
      <c r="CS125" s="176"/>
      <c r="CT125" s="176"/>
    </row>
    <row r="126" spans="1:98" s="178" customFormat="1" hidden="1" outlineLevel="1" x14ac:dyDescent="0.35">
      <c r="A126" s="179"/>
      <c r="B126" s="177"/>
      <c r="C126" s="176"/>
      <c r="D126" s="176"/>
      <c r="E126" s="289"/>
      <c r="F126" s="290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76"/>
      <c r="BE126" s="176"/>
      <c r="BF126" s="176"/>
      <c r="BG126" s="176"/>
      <c r="BH126" s="176"/>
      <c r="BI126" s="176"/>
      <c r="BJ126" s="176"/>
      <c r="BK126" s="176"/>
      <c r="BL126" s="176"/>
      <c r="BM126" s="176"/>
      <c r="BN126" s="176"/>
      <c r="BO126" s="176"/>
      <c r="BP126" s="176"/>
      <c r="BQ126" s="176"/>
      <c r="BR126" s="176"/>
      <c r="BS126" s="176"/>
      <c r="BT126" s="176"/>
      <c r="BU126" s="176"/>
      <c r="BV126" s="176"/>
      <c r="BW126" s="176"/>
      <c r="BX126" s="176"/>
      <c r="BY126" s="176"/>
      <c r="BZ126" s="176"/>
      <c r="CA126" s="176"/>
      <c r="CB126" s="176"/>
      <c r="CC126" s="176"/>
      <c r="CD126" s="176"/>
      <c r="CE126" s="176"/>
      <c r="CF126" s="176"/>
      <c r="CG126" s="176"/>
      <c r="CH126" s="176"/>
      <c r="CI126" s="176"/>
      <c r="CJ126" s="176"/>
      <c r="CK126" s="176"/>
      <c r="CL126" s="176"/>
      <c r="CM126" s="176"/>
      <c r="CN126" s="176"/>
      <c r="CO126" s="176"/>
      <c r="CP126" s="176"/>
      <c r="CQ126" s="176"/>
      <c r="CR126" s="176"/>
      <c r="CS126" s="176"/>
      <c r="CT126" s="176"/>
    </row>
    <row r="127" spans="1:98" s="178" customFormat="1" hidden="1" outlineLevel="1" x14ac:dyDescent="0.35">
      <c r="A127" s="179"/>
      <c r="B127" s="177"/>
      <c r="C127" s="176"/>
      <c r="D127" s="176"/>
      <c r="E127" s="289"/>
      <c r="F127" s="290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76"/>
      <c r="BD127" s="176"/>
      <c r="BE127" s="176"/>
      <c r="BF127" s="176"/>
      <c r="BG127" s="176"/>
      <c r="BH127" s="176"/>
      <c r="BI127" s="176"/>
      <c r="BJ127" s="176"/>
      <c r="BK127" s="176"/>
      <c r="BL127" s="176"/>
      <c r="BM127" s="176"/>
      <c r="BN127" s="176"/>
      <c r="BO127" s="176"/>
      <c r="BP127" s="176"/>
      <c r="BQ127" s="176"/>
      <c r="BR127" s="176"/>
      <c r="BS127" s="176"/>
      <c r="BT127" s="176"/>
      <c r="BU127" s="176"/>
      <c r="BV127" s="176"/>
      <c r="BW127" s="176"/>
      <c r="BX127" s="176"/>
      <c r="BY127" s="176"/>
      <c r="BZ127" s="176"/>
      <c r="CA127" s="176"/>
      <c r="CB127" s="176"/>
      <c r="CC127" s="176"/>
      <c r="CD127" s="176"/>
      <c r="CE127" s="176"/>
      <c r="CF127" s="176"/>
      <c r="CG127" s="176"/>
      <c r="CH127" s="176"/>
      <c r="CI127" s="176"/>
      <c r="CJ127" s="176"/>
      <c r="CK127" s="176"/>
      <c r="CL127" s="176"/>
      <c r="CM127" s="176"/>
      <c r="CN127" s="176"/>
      <c r="CO127" s="176"/>
      <c r="CP127" s="176"/>
      <c r="CQ127" s="176"/>
      <c r="CR127" s="176"/>
      <c r="CS127" s="176"/>
      <c r="CT127" s="176"/>
    </row>
    <row r="128" spans="1:98" s="178" customFormat="1" hidden="1" outlineLevel="1" x14ac:dyDescent="0.35">
      <c r="A128" s="179"/>
      <c r="B128" s="177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76"/>
      <c r="BE128" s="176"/>
      <c r="BF128" s="176"/>
      <c r="BG128" s="176"/>
      <c r="BH128" s="176"/>
      <c r="BI128" s="176"/>
      <c r="BJ128" s="176"/>
      <c r="BK128" s="176"/>
      <c r="BL128" s="176"/>
      <c r="BM128" s="176"/>
      <c r="BN128" s="176"/>
      <c r="BO128" s="176"/>
      <c r="BP128" s="176"/>
      <c r="BQ128" s="176"/>
      <c r="BR128" s="176"/>
      <c r="BS128" s="176"/>
      <c r="BT128" s="176"/>
      <c r="BU128" s="176"/>
      <c r="BV128" s="176"/>
      <c r="BW128" s="176"/>
      <c r="BX128" s="176"/>
      <c r="BY128" s="176"/>
      <c r="BZ128" s="176"/>
      <c r="CA128" s="176"/>
      <c r="CB128" s="176"/>
      <c r="CC128" s="176"/>
      <c r="CD128" s="176"/>
      <c r="CE128" s="176"/>
      <c r="CF128" s="176"/>
      <c r="CG128" s="176"/>
      <c r="CH128" s="176"/>
      <c r="CI128" s="176"/>
      <c r="CJ128" s="176"/>
      <c r="CK128" s="176"/>
      <c r="CL128" s="176"/>
      <c r="CM128" s="176"/>
      <c r="CN128" s="176"/>
      <c r="CO128" s="176"/>
      <c r="CP128" s="176"/>
      <c r="CQ128" s="176"/>
      <c r="CR128" s="176"/>
      <c r="CS128" s="176"/>
      <c r="CT128" s="176"/>
    </row>
    <row r="129" spans="1:98" s="178" customFormat="1" hidden="1" outlineLevel="1" x14ac:dyDescent="0.35">
      <c r="A129" s="179"/>
      <c r="B129" s="177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76"/>
      <c r="BE129" s="176"/>
      <c r="BF129" s="176"/>
      <c r="BG129" s="176"/>
      <c r="BH129" s="176"/>
      <c r="BI129" s="176"/>
      <c r="BJ129" s="176"/>
      <c r="BK129" s="176"/>
      <c r="BL129" s="176"/>
      <c r="BM129" s="176"/>
      <c r="BN129" s="176"/>
      <c r="BO129" s="176"/>
      <c r="BP129" s="176"/>
      <c r="BQ129" s="176"/>
      <c r="BR129" s="176"/>
      <c r="BS129" s="176"/>
      <c r="BT129" s="176"/>
      <c r="BU129" s="176"/>
      <c r="BV129" s="176"/>
      <c r="BW129" s="176"/>
      <c r="BX129" s="176"/>
      <c r="BY129" s="176"/>
      <c r="BZ129" s="176"/>
      <c r="CA129" s="176"/>
      <c r="CB129" s="176"/>
      <c r="CC129" s="176"/>
      <c r="CD129" s="176"/>
      <c r="CE129" s="176"/>
      <c r="CF129" s="176"/>
      <c r="CG129" s="176"/>
      <c r="CH129" s="176"/>
      <c r="CI129" s="176"/>
      <c r="CJ129" s="176"/>
      <c r="CK129" s="176"/>
      <c r="CL129" s="176"/>
      <c r="CM129" s="176"/>
      <c r="CN129" s="176"/>
      <c r="CO129" s="176"/>
      <c r="CP129" s="176"/>
      <c r="CQ129" s="176"/>
      <c r="CR129" s="176"/>
      <c r="CS129" s="176"/>
      <c r="CT129" s="176"/>
    </row>
    <row r="130" spans="1:98" s="178" customFormat="1" ht="18.5" hidden="1" outlineLevel="1" x14ac:dyDescent="0.35">
      <c r="A130" s="180" t="s">
        <v>231</v>
      </c>
      <c r="B130" s="177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76"/>
      <c r="BE130" s="176"/>
      <c r="BF130" s="176"/>
      <c r="BG130" s="176"/>
      <c r="BH130" s="176"/>
      <c r="BI130" s="176"/>
      <c r="BJ130" s="176"/>
      <c r="BK130" s="176"/>
      <c r="BL130" s="176"/>
      <c r="BM130" s="176"/>
      <c r="BN130" s="176"/>
      <c r="BO130" s="176"/>
      <c r="BP130" s="176"/>
      <c r="BQ130" s="176"/>
      <c r="BR130" s="176"/>
      <c r="BS130" s="176"/>
      <c r="BT130" s="176"/>
      <c r="BU130" s="176"/>
      <c r="BV130" s="176"/>
      <c r="BW130" s="176"/>
      <c r="BX130" s="176"/>
      <c r="BY130" s="176"/>
      <c r="BZ130" s="176"/>
      <c r="CA130" s="176"/>
      <c r="CB130" s="176"/>
      <c r="CC130" s="176"/>
      <c r="CD130" s="176"/>
      <c r="CE130" s="176"/>
      <c r="CF130" s="176"/>
      <c r="CG130" s="176"/>
      <c r="CH130" s="176"/>
      <c r="CI130" s="176"/>
      <c r="CJ130" s="176"/>
      <c r="CK130" s="176"/>
      <c r="CL130" s="176"/>
      <c r="CM130" s="176"/>
      <c r="CN130" s="176"/>
      <c r="CO130" s="176"/>
      <c r="CP130" s="176"/>
      <c r="CQ130" s="176"/>
      <c r="CR130" s="176"/>
      <c r="CS130" s="176"/>
      <c r="CT130" s="176"/>
    </row>
    <row r="131" spans="1:98" s="178" customFormat="1" hidden="1" outlineLevel="1" x14ac:dyDescent="0.35">
      <c r="A131" s="184" t="s">
        <v>232</v>
      </c>
      <c r="B131" s="177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76"/>
      <c r="BE131" s="176"/>
      <c r="BF131" s="176"/>
      <c r="BG131" s="176"/>
      <c r="BH131" s="176"/>
      <c r="BI131" s="176"/>
      <c r="BJ131" s="176"/>
      <c r="BK131" s="176"/>
      <c r="BL131" s="176"/>
      <c r="BM131" s="176"/>
      <c r="BN131" s="176"/>
      <c r="BO131" s="176"/>
      <c r="BP131" s="176"/>
      <c r="BQ131" s="176"/>
      <c r="BR131" s="176"/>
      <c r="BS131" s="176"/>
      <c r="BT131" s="176"/>
      <c r="BU131" s="176"/>
      <c r="BV131" s="176"/>
      <c r="BW131" s="176"/>
      <c r="BX131" s="176"/>
      <c r="BY131" s="176"/>
      <c r="BZ131" s="176"/>
      <c r="CA131" s="176"/>
      <c r="CB131" s="176"/>
      <c r="CC131" s="176"/>
      <c r="CD131" s="176"/>
      <c r="CE131" s="176"/>
      <c r="CF131" s="176"/>
      <c r="CG131" s="176"/>
      <c r="CH131" s="176"/>
      <c r="CI131" s="176"/>
      <c r="CJ131" s="176"/>
      <c r="CK131" s="176"/>
      <c r="CL131" s="176"/>
      <c r="CM131" s="176"/>
      <c r="CN131" s="176"/>
      <c r="CO131" s="176"/>
      <c r="CP131" s="176"/>
      <c r="CQ131" s="176"/>
      <c r="CR131" s="176"/>
      <c r="CS131" s="176"/>
      <c r="CT131" s="176"/>
    </row>
    <row r="132" spans="1:98" s="178" customFormat="1" hidden="1" outlineLevel="1" x14ac:dyDescent="0.35">
      <c r="A132" s="185" t="s">
        <v>233</v>
      </c>
      <c r="B132" s="177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76"/>
      <c r="BE132" s="176"/>
      <c r="BF132" s="176"/>
      <c r="BG132" s="176"/>
      <c r="BH132" s="176"/>
      <c r="BI132" s="176"/>
      <c r="BJ132" s="176"/>
      <c r="BK132" s="176"/>
      <c r="BL132" s="176"/>
      <c r="BM132" s="176"/>
      <c r="BN132" s="176"/>
      <c r="BO132" s="176"/>
      <c r="BP132" s="176"/>
      <c r="BQ132" s="176"/>
      <c r="BR132" s="176"/>
      <c r="BS132" s="176"/>
      <c r="BT132" s="176"/>
      <c r="BU132" s="176"/>
      <c r="BV132" s="176"/>
      <c r="BW132" s="176"/>
      <c r="BX132" s="176"/>
      <c r="BY132" s="176"/>
      <c r="BZ132" s="176"/>
      <c r="CA132" s="176"/>
      <c r="CB132" s="176"/>
      <c r="CC132" s="176"/>
      <c r="CD132" s="176"/>
      <c r="CE132" s="176"/>
      <c r="CF132" s="176"/>
      <c r="CG132" s="176"/>
      <c r="CH132" s="176"/>
      <c r="CI132" s="176"/>
      <c r="CJ132" s="176"/>
      <c r="CK132" s="176"/>
      <c r="CL132" s="176"/>
      <c r="CM132" s="176"/>
      <c r="CN132" s="176"/>
      <c r="CO132" s="176"/>
      <c r="CP132" s="176"/>
      <c r="CQ132" s="176"/>
      <c r="CR132" s="176"/>
      <c r="CS132" s="176"/>
      <c r="CT132" s="176"/>
    </row>
    <row r="133" spans="1:98" s="178" customFormat="1" hidden="1" outlineLevel="1" x14ac:dyDescent="0.35">
      <c r="A133" s="179"/>
      <c r="B133" s="177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176"/>
      <c r="BG133" s="176"/>
      <c r="BH133" s="176"/>
      <c r="BI133" s="176"/>
      <c r="BJ133" s="176"/>
      <c r="BK133" s="176"/>
      <c r="BL133" s="176"/>
      <c r="BM133" s="176"/>
      <c r="BN133" s="176"/>
      <c r="BO133" s="176"/>
      <c r="BP133" s="176"/>
      <c r="BQ133" s="176"/>
      <c r="BR133" s="176"/>
      <c r="BS133" s="176"/>
      <c r="BT133" s="176"/>
      <c r="BU133" s="176"/>
      <c r="BV133" s="176"/>
      <c r="BW133" s="176"/>
      <c r="BX133" s="176"/>
      <c r="BY133" s="176"/>
      <c r="BZ133" s="176"/>
      <c r="CA133" s="176"/>
      <c r="CB133" s="176"/>
      <c r="CC133" s="176"/>
      <c r="CD133" s="176"/>
      <c r="CE133" s="176"/>
      <c r="CF133" s="176"/>
      <c r="CG133" s="176"/>
      <c r="CH133" s="176"/>
      <c r="CI133" s="176"/>
      <c r="CJ133" s="176"/>
      <c r="CK133" s="176"/>
      <c r="CL133" s="176"/>
      <c r="CM133" s="176"/>
      <c r="CN133" s="176"/>
      <c r="CO133" s="176"/>
      <c r="CP133" s="176"/>
      <c r="CQ133" s="176"/>
      <c r="CR133" s="176"/>
      <c r="CS133" s="176"/>
      <c r="CT133" s="176"/>
    </row>
    <row r="134" spans="1:98" s="178" customFormat="1" x14ac:dyDescent="0.35">
      <c r="A134" s="179"/>
      <c r="B134" s="177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76"/>
      <c r="BE134" s="176"/>
      <c r="BF134" s="176"/>
      <c r="BG134" s="176"/>
      <c r="BH134" s="176"/>
      <c r="BI134" s="176"/>
      <c r="BJ134" s="176"/>
      <c r="BK134" s="176"/>
      <c r="BL134" s="176"/>
      <c r="BM134" s="176"/>
      <c r="BN134" s="176"/>
      <c r="BO134" s="176"/>
      <c r="BP134" s="176"/>
      <c r="BQ134" s="176"/>
      <c r="BR134" s="176"/>
      <c r="BS134" s="176"/>
      <c r="BT134" s="176"/>
      <c r="BU134" s="176"/>
      <c r="BV134" s="176"/>
      <c r="BW134" s="176"/>
      <c r="BX134" s="176"/>
      <c r="BY134" s="176"/>
      <c r="BZ134" s="176"/>
      <c r="CA134" s="176"/>
      <c r="CB134" s="176"/>
      <c r="CC134" s="176"/>
      <c r="CD134" s="176"/>
      <c r="CE134" s="176"/>
      <c r="CF134" s="176"/>
      <c r="CG134" s="176"/>
      <c r="CH134" s="176"/>
      <c r="CI134" s="176"/>
      <c r="CJ134" s="176"/>
      <c r="CK134" s="176"/>
      <c r="CL134" s="176"/>
      <c r="CM134" s="176"/>
      <c r="CN134" s="176"/>
      <c r="CO134" s="176"/>
      <c r="CP134" s="176"/>
      <c r="CQ134" s="176"/>
      <c r="CR134" s="176"/>
      <c r="CS134" s="176"/>
      <c r="CT134" s="176"/>
    </row>
    <row r="135" spans="1:98" s="178" customFormat="1" x14ac:dyDescent="0.35">
      <c r="A135" s="186" t="s">
        <v>234</v>
      </c>
      <c r="B135" s="186" t="s">
        <v>187</v>
      </c>
      <c r="C135" s="186" t="s">
        <v>235</v>
      </c>
      <c r="D135" s="187" t="s">
        <v>236</v>
      </c>
      <c r="E135" s="186" t="s">
        <v>237</v>
      </c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76"/>
      <c r="BE135" s="176"/>
      <c r="BF135" s="176"/>
      <c r="BG135" s="176"/>
      <c r="BH135" s="176"/>
      <c r="BI135" s="176"/>
      <c r="BJ135" s="176"/>
      <c r="BK135" s="176"/>
      <c r="BL135" s="176"/>
      <c r="BM135" s="176"/>
      <c r="BN135" s="176"/>
      <c r="BO135" s="176"/>
      <c r="BP135" s="176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176"/>
      <c r="CA135" s="176"/>
      <c r="CB135" s="176"/>
      <c r="CC135" s="176"/>
      <c r="CD135" s="176"/>
      <c r="CE135" s="176"/>
      <c r="CF135" s="176"/>
      <c r="CG135" s="176"/>
      <c r="CH135" s="176"/>
      <c r="CI135" s="176"/>
      <c r="CJ135" s="176"/>
      <c r="CK135" s="176"/>
      <c r="CL135" s="176"/>
      <c r="CM135" s="176"/>
      <c r="CN135" s="176"/>
      <c r="CO135" s="176"/>
      <c r="CP135" s="176"/>
      <c r="CQ135" s="176"/>
      <c r="CR135" s="176"/>
      <c r="CS135" s="176"/>
      <c r="CT135" s="176"/>
    </row>
    <row r="136" spans="1:98" s="178" customFormat="1" collapsed="1" x14ac:dyDescent="0.35">
      <c r="A136" s="188" t="s">
        <v>238</v>
      </c>
      <c r="B136" s="189" t="s">
        <v>239</v>
      </c>
      <c r="C136" s="189" t="str">
        <f t="shared" ref="C136:C199" si="0">A136&amp;" "&amp;B136&amp;" "&amp;"CCC: "&amp;D136</f>
        <v>AL Albania CCC: 0,538</v>
      </c>
      <c r="D136" s="190">
        <v>0.53800000000000003</v>
      </c>
      <c r="E136" s="188" t="s">
        <v>240</v>
      </c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76"/>
      <c r="BE136" s="176"/>
      <c r="BF136" s="176"/>
      <c r="BG136" s="176"/>
      <c r="BH136" s="176"/>
      <c r="BI136" s="176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6"/>
      <c r="BT136" s="176"/>
      <c r="BU136" s="176"/>
      <c r="BV136" s="176"/>
      <c r="BW136" s="176"/>
      <c r="BX136" s="176"/>
      <c r="BY136" s="176"/>
      <c r="BZ136" s="176"/>
      <c r="CA136" s="176"/>
      <c r="CB136" s="176"/>
      <c r="CC136" s="176"/>
      <c r="CD136" s="176"/>
      <c r="CE136" s="176"/>
      <c r="CF136" s="176"/>
      <c r="CG136" s="176"/>
      <c r="CH136" s="176"/>
      <c r="CI136" s="176"/>
      <c r="CJ136" s="176"/>
      <c r="CK136" s="176"/>
      <c r="CL136" s="176"/>
      <c r="CM136" s="176"/>
      <c r="CN136" s="176"/>
      <c r="CO136" s="176"/>
      <c r="CP136" s="176"/>
      <c r="CQ136" s="176"/>
      <c r="CR136" s="176"/>
      <c r="CS136" s="176"/>
      <c r="CT136" s="176"/>
    </row>
    <row r="137" spans="1:98" s="178" customFormat="1" hidden="1" outlineLevel="1" x14ac:dyDescent="0.35">
      <c r="A137" s="188" t="s">
        <v>241</v>
      </c>
      <c r="B137" s="189" t="s">
        <v>242</v>
      </c>
      <c r="C137" s="189" t="str">
        <f t="shared" si="0"/>
        <v>DZ Algeria CCC: 0,62</v>
      </c>
      <c r="D137" s="190">
        <v>0.62</v>
      </c>
      <c r="E137" s="188" t="s">
        <v>243</v>
      </c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76"/>
      <c r="BE137" s="176"/>
      <c r="BF137" s="176"/>
      <c r="BG137" s="176"/>
      <c r="BH137" s="176"/>
      <c r="BI137" s="176"/>
      <c r="BJ137" s="176"/>
      <c r="BK137" s="176"/>
      <c r="BL137" s="176"/>
      <c r="BM137" s="176"/>
      <c r="BN137" s="176"/>
      <c r="BO137" s="176"/>
      <c r="BP137" s="176"/>
      <c r="BQ137" s="176"/>
      <c r="BR137" s="176"/>
      <c r="BS137" s="176"/>
      <c r="BT137" s="176"/>
      <c r="BU137" s="176"/>
      <c r="BV137" s="176"/>
      <c r="BW137" s="176"/>
      <c r="BX137" s="176"/>
      <c r="BY137" s="176"/>
      <c r="BZ137" s="176"/>
      <c r="CA137" s="176"/>
      <c r="CB137" s="176"/>
      <c r="CC137" s="176"/>
      <c r="CD137" s="176"/>
      <c r="CE137" s="176"/>
      <c r="CF137" s="176"/>
      <c r="CG137" s="176"/>
      <c r="CH137" s="176"/>
      <c r="CI137" s="176"/>
      <c r="CJ137" s="176"/>
      <c r="CK137" s="176"/>
      <c r="CL137" s="176"/>
      <c r="CM137" s="176"/>
      <c r="CN137" s="176"/>
      <c r="CO137" s="176"/>
      <c r="CP137" s="176"/>
      <c r="CQ137" s="176"/>
      <c r="CR137" s="176"/>
      <c r="CS137" s="176"/>
      <c r="CT137" s="176"/>
    </row>
    <row r="138" spans="1:98" s="178" customFormat="1" hidden="1" outlineLevel="1" x14ac:dyDescent="0.35">
      <c r="A138" s="188" t="s">
        <v>244</v>
      </c>
      <c r="B138" s="189" t="s">
        <v>245</v>
      </c>
      <c r="C138" s="189" t="str">
        <f t="shared" si="0"/>
        <v>AO Angola CCC: 1,186</v>
      </c>
      <c r="D138" s="190">
        <v>1.1859999999999999</v>
      </c>
      <c r="E138" s="188" t="s">
        <v>243</v>
      </c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76"/>
      <c r="BE138" s="176"/>
      <c r="BF138" s="176"/>
      <c r="BG138" s="176"/>
      <c r="BH138" s="176"/>
      <c r="BI138" s="176"/>
      <c r="BJ138" s="176"/>
      <c r="BK138" s="176"/>
      <c r="BL138" s="176"/>
      <c r="BM138" s="176"/>
      <c r="BN138" s="176"/>
      <c r="BO138" s="176"/>
      <c r="BP138" s="176"/>
      <c r="BQ138" s="176"/>
      <c r="BR138" s="176"/>
      <c r="BS138" s="176"/>
      <c r="BT138" s="176"/>
      <c r="BU138" s="176"/>
      <c r="BV138" s="176"/>
      <c r="BW138" s="176"/>
      <c r="BX138" s="176"/>
      <c r="BY138" s="176"/>
      <c r="BZ138" s="176"/>
      <c r="CA138" s="176"/>
      <c r="CB138" s="176"/>
      <c r="CC138" s="176"/>
      <c r="CD138" s="176"/>
      <c r="CE138" s="176"/>
      <c r="CF138" s="176"/>
      <c r="CG138" s="176"/>
      <c r="CH138" s="176"/>
      <c r="CI138" s="176"/>
      <c r="CJ138" s="176"/>
      <c r="CK138" s="176"/>
      <c r="CL138" s="176"/>
      <c r="CM138" s="176"/>
      <c r="CN138" s="176"/>
      <c r="CO138" s="176"/>
      <c r="CP138" s="176"/>
      <c r="CQ138" s="176"/>
      <c r="CR138" s="176"/>
      <c r="CS138" s="176"/>
      <c r="CT138" s="176"/>
    </row>
    <row r="139" spans="1:98" s="178" customFormat="1" hidden="1" outlineLevel="1" x14ac:dyDescent="0.35">
      <c r="A139" s="188" t="s">
        <v>246</v>
      </c>
      <c r="B139" s="189" t="s">
        <v>247</v>
      </c>
      <c r="C139" s="189" t="str">
        <f t="shared" si="0"/>
        <v>AR Argentina CCC: 0,57</v>
      </c>
      <c r="D139" s="190">
        <v>0.56999999999999995</v>
      </c>
      <c r="E139" s="188" t="s">
        <v>243</v>
      </c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176"/>
      <c r="BN139" s="176"/>
      <c r="BO139" s="176"/>
      <c r="BP139" s="176"/>
      <c r="BQ139" s="176"/>
      <c r="BR139" s="176"/>
      <c r="BS139" s="176"/>
      <c r="BT139" s="176"/>
      <c r="BU139" s="176"/>
      <c r="BV139" s="176"/>
      <c r="BW139" s="176"/>
      <c r="BX139" s="176"/>
      <c r="BY139" s="176"/>
      <c r="BZ139" s="176"/>
      <c r="CA139" s="176"/>
      <c r="CB139" s="176"/>
      <c r="CC139" s="176"/>
      <c r="CD139" s="176"/>
      <c r="CE139" s="176"/>
      <c r="CF139" s="176"/>
      <c r="CG139" s="176"/>
      <c r="CH139" s="176"/>
      <c r="CI139" s="176"/>
      <c r="CJ139" s="176"/>
      <c r="CK139" s="176"/>
      <c r="CL139" s="176"/>
      <c r="CM139" s="176"/>
      <c r="CN139" s="176"/>
      <c r="CO139" s="176"/>
      <c r="CP139" s="176"/>
      <c r="CQ139" s="176"/>
      <c r="CR139" s="176"/>
      <c r="CS139" s="176"/>
      <c r="CT139" s="176"/>
    </row>
    <row r="140" spans="1:98" s="178" customFormat="1" hidden="1" outlineLevel="1" x14ac:dyDescent="0.35">
      <c r="A140" s="188" t="s">
        <v>248</v>
      </c>
      <c r="B140" s="189" t="s">
        <v>249</v>
      </c>
      <c r="C140" s="189" t="str">
        <f t="shared" si="0"/>
        <v>AM Armenia CCC: 0,709</v>
      </c>
      <c r="D140" s="190">
        <v>0.70899999999999996</v>
      </c>
      <c r="E140" s="188" t="s">
        <v>240</v>
      </c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76"/>
      <c r="BE140" s="176"/>
      <c r="BF140" s="176"/>
      <c r="BG140" s="176"/>
      <c r="BH140" s="176"/>
      <c r="BI140" s="176"/>
      <c r="BJ140" s="176"/>
      <c r="BK140" s="176"/>
      <c r="BL140" s="176"/>
      <c r="BM140" s="176"/>
      <c r="BN140" s="176"/>
      <c r="BO140" s="176"/>
      <c r="BP140" s="176"/>
      <c r="BQ140" s="176"/>
      <c r="BR140" s="176"/>
      <c r="BS140" s="176"/>
      <c r="BT140" s="176"/>
      <c r="BU140" s="176"/>
      <c r="BV140" s="176"/>
      <c r="BW140" s="176"/>
      <c r="BX140" s="176"/>
      <c r="BY140" s="176"/>
      <c r="BZ140" s="176"/>
      <c r="CA140" s="176"/>
      <c r="CB140" s="176"/>
      <c r="CC140" s="176"/>
      <c r="CD140" s="176"/>
      <c r="CE140" s="176"/>
      <c r="CF140" s="176"/>
      <c r="CG140" s="176"/>
      <c r="CH140" s="176"/>
      <c r="CI140" s="176"/>
      <c r="CJ140" s="176"/>
      <c r="CK140" s="176"/>
      <c r="CL140" s="176"/>
      <c r="CM140" s="176"/>
      <c r="CN140" s="176"/>
      <c r="CO140" s="176"/>
      <c r="CP140" s="176"/>
      <c r="CQ140" s="176"/>
      <c r="CR140" s="176"/>
      <c r="CS140" s="176"/>
      <c r="CT140" s="176"/>
    </row>
    <row r="141" spans="1:98" s="178" customFormat="1" hidden="1" outlineLevel="1" x14ac:dyDescent="0.35">
      <c r="A141" s="188" t="s">
        <v>250</v>
      </c>
      <c r="B141" s="189" t="s">
        <v>251</v>
      </c>
      <c r="C141" s="189" t="str">
        <f t="shared" si="0"/>
        <v>AU Australia CCC: 0,921</v>
      </c>
      <c r="D141" s="190">
        <v>0.92100000000000004</v>
      </c>
      <c r="E141" s="188" t="s">
        <v>243</v>
      </c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76"/>
      <c r="BE141" s="176"/>
      <c r="BF141" s="176"/>
      <c r="BG141" s="176"/>
      <c r="BH141" s="176"/>
      <c r="BI141" s="176"/>
      <c r="BJ141" s="176"/>
      <c r="BK141" s="176"/>
      <c r="BL141" s="176"/>
      <c r="BM141" s="176"/>
      <c r="BN141" s="176"/>
      <c r="BO141" s="176"/>
      <c r="BP141" s="176"/>
      <c r="BQ141" s="176"/>
      <c r="BR141" s="176"/>
      <c r="BS141" s="176"/>
      <c r="BT141" s="176"/>
      <c r="BU141" s="176"/>
      <c r="BV141" s="176"/>
      <c r="BW141" s="176"/>
      <c r="BX141" s="176"/>
      <c r="BY141" s="176"/>
      <c r="BZ141" s="176"/>
      <c r="CA141" s="176"/>
      <c r="CB141" s="176"/>
      <c r="CC141" s="176"/>
      <c r="CD141" s="176"/>
      <c r="CE141" s="176"/>
      <c r="CF141" s="176"/>
      <c r="CG141" s="176"/>
      <c r="CH141" s="176"/>
      <c r="CI141" s="176"/>
      <c r="CJ141" s="176"/>
      <c r="CK141" s="176"/>
      <c r="CL141" s="176"/>
      <c r="CM141" s="176"/>
      <c r="CN141" s="176"/>
      <c r="CO141" s="176"/>
      <c r="CP141" s="176"/>
      <c r="CQ141" s="176"/>
      <c r="CR141" s="176"/>
      <c r="CS141" s="176"/>
      <c r="CT141" s="176"/>
    </row>
    <row r="142" spans="1:98" s="178" customFormat="1" hidden="1" outlineLevel="1" x14ac:dyDescent="0.35">
      <c r="A142" s="188" t="s">
        <v>252</v>
      </c>
      <c r="B142" s="189" t="s">
        <v>253</v>
      </c>
      <c r="C142" s="189" t="str">
        <f t="shared" si="0"/>
        <v>AT Austria CCC: 0,97</v>
      </c>
      <c r="D142" s="190">
        <v>0.97</v>
      </c>
      <c r="E142" s="188" t="s">
        <v>254</v>
      </c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176"/>
      <c r="BF142" s="176"/>
      <c r="BG142" s="176"/>
      <c r="BH142" s="176"/>
      <c r="BI142" s="176"/>
      <c r="BJ142" s="176"/>
      <c r="BK142" s="176"/>
      <c r="BL142" s="176"/>
      <c r="BM142" s="176"/>
      <c r="BN142" s="176"/>
      <c r="BO142" s="176"/>
      <c r="BP142" s="176"/>
      <c r="BQ142" s="176"/>
      <c r="BR142" s="176"/>
      <c r="BS142" s="176"/>
      <c r="BT142" s="176"/>
      <c r="BU142" s="176"/>
      <c r="BV142" s="176"/>
      <c r="BW142" s="176"/>
      <c r="BX142" s="176"/>
      <c r="BY142" s="176"/>
      <c r="BZ142" s="176"/>
      <c r="CA142" s="176"/>
      <c r="CB142" s="176"/>
      <c r="CC142" s="176"/>
      <c r="CD142" s="176"/>
      <c r="CE142" s="176"/>
      <c r="CF142" s="176"/>
      <c r="CG142" s="176"/>
      <c r="CH142" s="176"/>
      <c r="CI142" s="176"/>
      <c r="CJ142" s="176"/>
      <c r="CK142" s="176"/>
      <c r="CL142" s="176"/>
      <c r="CM142" s="176"/>
      <c r="CN142" s="176"/>
      <c r="CO142" s="176"/>
      <c r="CP142" s="176"/>
      <c r="CQ142" s="176"/>
      <c r="CR142" s="176"/>
      <c r="CS142" s="176"/>
      <c r="CT142" s="176"/>
    </row>
    <row r="143" spans="1:98" s="178" customFormat="1" hidden="1" outlineLevel="1" x14ac:dyDescent="0.35">
      <c r="A143" s="188" t="s">
        <v>255</v>
      </c>
      <c r="B143" s="189" t="s">
        <v>256</v>
      </c>
      <c r="C143" s="189" t="str">
        <f t="shared" si="0"/>
        <v>AZ Azerbaijan CCC: 0,749</v>
      </c>
      <c r="D143" s="190">
        <v>0.749</v>
      </c>
      <c r="E143" s="188" t="s">
        <v>243</v>
      </c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76"/>
      <c r="BE143" s="176"/>
      <c r="BF143" s="176"/>
      <c r="BG143" s="176"/>
      <c r="BH143" s="176"/>
      <c r="BI143" s="176"/>
      <c r="BJ143" s="176"/>
      <c r="BK143" s="176"/>
      <c r="BL143" s="176"/>
      <c r="BM143" s="176"/>
      <c r="BN143" s="176"/>
      <c r="BO143" s="176"/>
      <c r="BP143" s="176"/>
      <c r="BQ143" s="176"/>
      <c r="BR143" s="176"/>
      <c r="BS143" s="176"/>
      <c r="BT143" s="176"/>
      <c r="BU143" s="176"/>
      <c r="BV143" s="176"/>
      <c r="BW143" s="176"/>
      <c r="BX143" s="176"/>
      <c r="BY143" s="176"/>
      <c r="BZ143" s="176"/>
      <c r="CA143" s="176"/>
      <c r="CB143" s="176"/>
      <c r="CC143" s="176"/>
      <c r="CD143" s="176"/>
      <c r="CE143" s="176"/>
      <c r="CF143" s="176"/>
      <c r="CG143" s="176"/>
      <c r="CH143" s="176"/>
      <c r="CI143" s="176"/>
      <c r="CJ143" s="176"/>
      <c r="CK143" s="176"/>
      <c r="CL143" s="176"/>
      <c r="CM143" s="176"/>
      <c r="CN143" s="176"/>
      <c r="CO143" s="176"/>
      <c r="CP143" s="176"/>
      <c r="CQ143" s="176"/>
      <c r="CR143" s="176"/>
      <c r="CS143" s="176"/>
      <c r="CT143" s="176"/>
    </row>
    <row r="144" spans="1:98" s="178" customFormat="1" hidden="1" outlineLevel="1" x14ac:dyDescent="0.35">
      <c r="A144" s="188" t="s">
        <v>257</v>
      </c>
      <c r="B144" s="189" t="s">
        <v>258</v>
      </c>
      <c r="C144" s="189" t="str">
        <f t="shared" si="0"/>
        <v>BD Bangladesh CCC: 0,741</v>
      </c>
      <c r="D144" s="190">
        <v>0.74099999999999999</v>
      </c>
      <c r="E144" s="188" t="s">
        <v>243</v>
      </c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</row>
    <row r="145" spans="1:98" s="178" customFormat="1" hidden="1" outlineLevel="1" x14ac:dyDescent="0.35">
      <c r="A145" s="188" t="s">
        <v>259</v>
      </c>
      <c r="B145" s="189" t="s">
        <v>260</v>
      </c>
      <c r="C145" s="189" t="str">
        <f t="shared" si="0"/>
        <v>BB Barbados CCC: 1,029</v>
      </c>
      <c r="D145" s="190">
        <v>1.0289999999999999</v>
      </c>
      <c r="E145" s="188" t="s">
        <v>243</v>
      </c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176"/>
      <c r="BG145" s="176"/>
      <c r="BH145" s="176"/>
      <c r="BI145" s="176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  <c r="BT145" s="176"/>
      <c r="BU145" s="176"/>
      <c r="BV145" s="176"/>
      <c r="BW145" s="176"/>
      <c r="BX145" s="176"/>
      <c r="BY145" s="176"/>
      <c r="BZ145" s="176"/>
      <c r="CA145" s="176"/>
      <c r="CB145" s="176"/>
      <c r="CC145" s="176"/>
      <c r="CD145" s="176"/>
      <c r="CE145" s="176"/>
      <c r="CF145" s="176"/>
      <c r="CG145" s="176"/>
      <c r="CH145" s="176"/>
      <c r="CI145" s="176"/>
      <c r="CJ145" s="176"/>
      <c r="CK145" s="176"/>
      <c r="CL145" s="176"/>
      <c r="CM145" s="176"/>
      <c r="CN145" s="176"/>
      <c r="CO145" s="176"/>
      <c r="CP145" s="176"/>
      <c r="CQ145" s="176"/>
      <c r="CR145" s="176"/>
      <c r="CS145" s="176"/>
      <c r="CT145" s="176"/>
    </row>
    <row r="146" spans="1:98" s="178" customFormat="1" hidden="1" outlineLevel="1" x14ac:dyDescent="0.35">
      <c r="A146" s="188" t="s">
        <v>261</v>
      </c>
      <c r="B146" s="189" t="s">
        <v>262</v>
      </c>
      <c r="C146" s="189" t="str">
        <f t="shared" si="0"/>
        <v>BY Belarus CCC: 0,609</v>
      </c>
      <c r="D146" s="190">
        <v>0.60899999999999999</v>
      </c>
      <c r="E146" s="188" t="s">
        <v>243</v>
      </c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176"/>
      <c r="BG146" s="176"/>
      <c r="BH146" s="176"/>
      <c r="BI146" s="176"/>
      <c r="BJ146" s="176"/>
      <c r="BK146" s="176"/>
      <c r="BL146" s="176"/>
      <c r="BM146" s="176"/>
      <c r="BN146" s="176"/>
      <c r="BO146" s="176"/>
      <c r="BP146" s="176"/>
      <c r="BQ146" s="176"/>
      <c r="BR146" s="176"/>
      <c r="BS146" s="176"/>
      <c r="BT146" s="176"/>
      <c r="BU146" s="176"/>
      <c r="BV146" s="176"/>
      <c r="BW146" s="176"/>
      <c r="BX146" s="176"/>
      <c r="BY146" s="176"/>
      <c r="BZ146" s="176"/>
      <c r="CA146" s="176"/>
      <c r="CB146" s="176"/>
      <c r="CC146" s="176"/>
      <c r="CD146" s="176"/>
      <c r="CE146" s="176"/>
      <c r="CF146" s="176"/>
      <c r="CG146" s="176"/>
      <c r="CH146" s="176"/>
      <c r="CI146" s="176"/>
      <c r="CJ146" s="176"/>
      <c r="CK146" s="176"/>
      <c r="CL146" s="176"/>
      <c r="CM146" s="176"/>
      <c r="CN146" s="176"/>
      <c r="CO146" s="176"/>
      <c r="CP146" s="176"/>
      <c r="CQ146" s="176"/>
      <c r="CR146" s="176"/>
      <c r="CS146" s="176"/>
      <c r="CT146" s="176"/>
    </row>
    <row r="147" spans="1:98" s="178" customFormat="1" hidden="1" outlineLevel="1" x14ac:dyDescent="0.35">
      <c r="A147" s="188" t="s">
        <v>263</v>
      </c>
      <c r="B147" s="189" t="s">
        <v>264</v>
      </c>
      <c r="C147" s="189" t="str">
        <f t="shared" si="0"/>
        <v>BE Belgium CCC: 0,912</v>
      </c>
      <c r="D147" s="190">
        <v>0.91200000000000003</v>
      </c>
      <c r="E147" s="188" t="s">
        <v>254</v>
      </c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76"/>
      <c r="BE147" s="176"/>
      <c r="BF147" s="176"/>
      <c r="BG147" s="176"/>
      <c r="BH147" s="176"/>
      <c r="BI147" s="176"/>
      <c r="BJ147" s="176"/>
      <c r="BK147" s="176"/>
      <c r="BL147" s="176"/>
      <c r="BM147" s="176"/>
      <c r="BN147" s="176"/>
      <c r="BO147" s="176"/>
      <c r="BP147" s="176"/>
      <c r="BQ147" s="176"/>
      <c r="BR147" s="176"/>
      <c r="BS147" s="176"/>
      <c r="BT147" s="176"/>
      <c r="BU147" s="176"/>
      <c r="BV147" s="176"/>
      <c r="BW147" s="176"/>
      <c r="BX147" s="176"/>
      <c r="BY147" s="176"/>
      <c r="BZ147" s="176"/>
      <c r="CA147" s="176"/>
      <c r="CB147" s="176"/>
      <c r="CC147" s="176"/>
      <c r="CD147" s="176"/>
      <c r="CE147" s="176"/>
      <c r="CF147" s="176"/>
      <c r="CG147" s="176"/>
      <c r="CH147" s="176"/>
      <c r="CI147" s="176"/>
      <c r="CJ147" s="176"/>
      <c r="CK147" s="176"/>
      <c r="CL147" s="176"/>
      <c r="CM147" s="176"/>
      <c r="CN147" s="176"/>
      <c r="CO147" s="176"/>
      <c r="CP147" s="176"/>
      <c r="CQ147" s="176"/>
      <c r="CR147" s="176"/>
      <c r="CS147" s="176"/>
      <c r="CT147" s="176"/>
    </row>
    <row r="148" spans="1:98" s="178" customFormat="1" hidden="1" outlineLevel="1" x14ac:dyDescent="0.35">
      <c r="A148" s="188" t="s">
        <v>265</v>
      </c>
      <c r="B148" s="189" t="s">
        <v>266</v>
      </c>
      <c r="C148" s="189" t="str">
        <f t="shared" si="0"/>
        <v>BZ Belize CCC: 0,729</v>
      </c>
      <c r="D148" s="190">
        <v>0.72899999999999998</v>
      </c>
      <c r="E148" s="188" t="s">
        <v>243</v>
      </c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76"/>
      <c r="BD148" s="176"/>
      <c r="BE148" s="176"/>
      <c r="BF148" s="176"/>
      <c r="BG148" s="176"/>
      <c r="BH148" s="176"/>
      <c r="BI148" s="176"/>
      <c r="BJ148" s="176"/>
      <c r="BK148" s="176"/>
      <c r="BL148" s="176"/>
      <c r="BM148" s="176"/>
      <c r="BN148" s="176"/>
      <c r="BO148" s="176"/>
      <c r="BP148" s="176"/>
      <c r="BQ148" s="176"/>
      <c r="BR148" s="176"/>
      <c r="BS148" s="176"/>
      <c r="BT148" s="176"/>
      <c r="BU148" s="176"/>
      <c r="BV148" s="176"/>
      <c r="BW148" s="176"/>
      <c r="BX148" s="176"/>
      <c r="BY148" s="176"/>
      <c r="BZ148" s="176"/>
      <c r="CA148" s="176"/>
      <c r="CB148" s="176"/>
      <c r="CC148" s="176"/>
      <c r="CD148" s="176"/>
      <c r="CE148" s="176"/>
      <c r="CF148" s="176"/>
      <c r="CG148" s="176"/>
      <c r="CH148" s="176"/>
      <c r="CI148" s="176"/>
      <c r="CJ148" s="176"/>
      <c r="CK148" s="176"/>
      <c r="CL148" s="176"/>
      <c r="CM148" s="176"/>
      <c r="CN148" s="176"/>
      <c r="CO148" s="176"/>
      <c r="CP148" s="176"/>
      <c r="CQ148" s="176"/>
      <c r="CR148" s="176"/>
      <c r="CS148" s="176"/>
      <c r="CT148" s="176"/>
    </row>
    <row r="149" spans="1:98" s="178" customFormat="1" hidden="1" outlineLevel="1" x14ac:dyDescent="0.35">
      <c r="A149" s="188" t="s">
        <v>267</v>
      </c>
      <c r="B149" s="189" t="s">
        <v>268</v>
      </c>
      <c r="C149" s="189" t="str">
        <f t="shared" si="0"/>
        <v>BJ Benin CCC: 0,839</v>
      </c>
      <c r="D149" s="190">
        <v>0.83899999999999997</v>
      </c>
      <c r="E149" s="188" t="s">
        <v>243</v>
      </c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6"/>
      <c r="BE149" s="176"/>
      <c r="BF149" s="176"/>
      <c r="BG149" s="176"/>
      <c r="BH149" s="176"/>
      <c r="BI149" s="176"/>
      <c r="BJ149" s="176"/>
      <c r="BK149" s="176"/>
      <c r="BL149" s="176"/>
      <c r="BM149" s="176"/>
      <c r="BN149" s="176"/>
      <c r="BO149" s="176"/>
      <c r="BP149" s="176"/>
      <c r="BQ149" s="176"/>
      <c r="BR149" s="176"/>
      <c r="BS149" s="176"/>
      <c r="BT149" s="176"/>
      <c r="BU149" s="176"/>
      <c r="BV149" s="176"/>
      <c r="BW149" s="176"/>
      <c r="BX149" s="176"/>
      <c r="BY149" s="176"/>
      <c r="BZ149" s="176"/>
      <c r="CA149" s="176"/>
      <c r="CB149" s="176"/>
      <c r="CC149" s="176"/>
      <c r="CD149" s="176"/>
      <c r="CE149" s="176"/>
      <c r="CF149" s="176"/>
      <c r="CG149" s="176"/>
      <c r="CH149" s="176"/>
      <c r="CI149" s="176"/>
      <c r="CJ149" s="176"/>
      <c r="CK149" s="176"/>
      <c r="CL149" s="176"/>
      <c r="CM149" s="176"/>
      <c r="CN149" s="176"/>
      <c r="CO149" s="176"/>
      <c r="CP149" s="176"/>
      <c r="CQ149" s="176"/>
      <c r="CR149" s="176"/>
      <c r="CS149" s="176"/>
      <c r="CT149" s="176"/>
    </row>
    <row r="150" spans="1:98" s="178" customFormat="1" hidden="1" outlineLevel="1" x14ac:dyDescent="0.35">
      <c r="A150" s="188" t="s">
        <v>269</v>
      </c>
      <c r="B150" s="189" t="s">
        <v>270</v>
      </c>
      <c r="C150" s="189" t="str">
        <f t="shared" si="0"/>
        <v xml:space="preserve">BM Bermuda CCC: </v>
      </c>
      <c r="D150" s="190"/>
      <c r="E150" s="188" t="s">
        <v>243</v>
      </c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76"/>
      <c r="BE150" s="176"/>
      <c r="BF150" s="176"/>
      <c r="BG150" s="176"/>
      <c r="BH150" s="176"/>
      <c r="BI150" s="176"/>
      <c r="BJ150" s="176"/>
      <c r="BK150" s="176"/>
      <c r="BL150" s="176"/>
      <c r="BM150" s="176"/>
      <c r="BN150" s="176"/>
      <c r="BO150" s="176"/>
      <c r="BP150" s="176"/>
      <c r="BQ150" s="176"/>
      <c r="BR150" s="176"/>
      <c r="BS150" s="176"/>
      <c r="BT150" s="176"/>
      <c r="BU150" s="176"/>
      <c r="BV150" s="176"/>
      <c r="BW150" s="176"/>
      <c r="BX150" s="176"/>
      <c r="BY150" s="176"/>
      <c r="BZ150" s="176"/>
      <c r="CA150" s="176"/>
      <c r="CB150" s="176"/>
      <c r="CC150" s="176"/>
      <c r="CD150" s="176"/>
      <c r="CE150" s="176"/>
      <c r="CF150" s="176"/>
      <c r="CG150" s="176"/>
      <c r="CH150" s="176"/>
      <c r="CI150" s="176"/>
      <c r="CJ150" s="176"/>
      <c r="CK150" s="176"/>
      <c r="CL150" s="176"/>
      <c r="CM150" s="176"/>
      <c r="CN150" s="176"/>
      <c r="CO150" s="176"/>
      <c r="CP150" s="176"/>
      <c r="CQ150" s="176"/>
      <c r="CR150" s="176"/>
      <c r="CS150" s="176"/>
      <c r="CT150" s="176"/>
    </row>
    <row r="151" spans="1:98" s="178" customFormat="1" hidden="1" outlineLevel="1" x14ac:dyDescent="0.35">
      <c r="A151" s="188" t="s">
        <v>271</v>
      </c>
      <c r="B151" s="189" t="s">
        <v>272</v>
      </c>
      <c r="C151" s="189" t="str">
        <f t="shared" si="0"/>
        <v>BO Bolivia (Plurinational State of) CCC: 0,766</v>
      </c>
      <c r="D151" s="190">
        <v>0.76600000000000001</v>
      </c>
      <c r="E151" s="188" t="s">
        <v>243</v>
      </c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76"/>
      <c r="BD151" s="176"/>
      <c r="BE151" s="176"/>
      <c r="BF151" s="176"/>
      <c r="BG151" s="176"/>
      <c r="BH151" s="176"/>
      <c r="BI151" s="176"/>
      <c r="BJ151" s="176"/>
      <c r="BK151" s="176"/>
      <c r="BL151" s="176"/>
      <c r="BM151" s="176"/>
      <c r="BN151" s="176"/>
      <c r="BO151" s="176"/>
      <c r="BP151" s="176"/>
      <c r="BQ151" s="176"/>
      <c r="BR151" s="176"/>
      <c r="BS151" s="176"/>
      <c r="BT151" s="176"/>
      <c r="BU151" s="176"/>
      <c r="BV151" s="176"/>
      <c r="BW151" s="176"/>
      <c r="BX151" s="176"/>
      <c r="BY151" s="176"/>
      <c r="BZ151" s="176"/>
      <c r="CA151" s="176"/>
      <c r="CB151" s="176"/>
      <c r="CC151" s="176"/>
      <c r="CD151" s="176"/>
      <c r="CE151" s="176"/>
      <c r="CF151" s="176"/>
      <c r="CG151" s="176"/>
      <c r="CH151" s="176"/>
      <c r="CI151" s="176"/>
      <c r="CJ151" s="176"/>
      <c r="CK151" s="176"/>
      <c r="CL151" s="176"/>
      <c r="CM151" s="176"/>
      <c r="CN151" s="176"/>
      <c r="CO151" s="176"/>
      <c r="CP151" s="176"/>
      <c r="CQ151" s="176"/>
      <c r="CR151" s="176"/>
      <c r="CS151" s="176"/>
      <c r="CT151" s="176"/>
    </row>
    <row r="152" spans="1:98" s="178" customFormat="1" hidden="1" outlineLevel="1" x14ac:dyDescent="0.35">
      <c r="A152" s="188" t="s">
        <v>273</v>
      </c>
      <c r="B152" s="189" t="s">
        <v>274</v>
      </c>
      <c r="C152" s="189" t="str">
        <f t="shared" si="0"/>
        <v>BA Bosnia and Herzegovina CCC: 0,583</v>
      </c>
      <c r="D152" s="190">
        <v>0.58299999999999996</v>
      </c>
      <c r="E152" s="188" t="s">
        <v>240</v>
      </c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76"/>
      <c r="BE152" s="176"/>
      <c r="BF152" s="176"/>
      <c r="BG152" s="176"/>
      <c r="BH152" s="176"/>
      <c r="BI152" s="176"/>
      <c r="BJ152" s="176"/>
      <c r="BK152" s="176"/>
      <c r="BL152" s="176"/>
      <c r="BM152" s="176"/>
      <c r="BN152" s="176"/>
      <c r="BO152" s="176"/>
      <c r="BP152" s="176"/>
      <c r="BQ152" s="176"/>
      <c r="BR152" s="176"/>
      <c r="BS152" s="176"/>
      <c r="BT152" s="176"/>
      <c r="BU152" s="176"/>
      <c r="BV152" s="176"/>
      <c r="BW152" s="176"/>
      <c r="BX152" s="176"/>
      <c r="BY152" s="176"/>
      <c r="BZ152" s="176"/>
      <c r="CA152" s="176"/>
      <c r="CB152" s="176"/>
      <c r="CC152" s="176"/>
      <c r="CD152" s="176"/>
      <c r="CE152" s="176"/>
      <c r="CF152" s="176"/>
      <c r="CG152" s="176"/>
      <c r="CH152" s="176"/>
      <c r="CI152" s="176"/>
      <c r="CJ152" s="176"/>
      <c r="CK152" s="176"/>
      <c r="CL152" s="176"/>
      <c r="CM152" s="176"/>
      <c r="CN152" s="176"/>
      <c r="CO152" s="176"/>
      <c r="CP152" s="176"/>
      <c r="CQ152" s="176"/>
      <c r="CR152" s="176"/>
      <c r="CS152" s="176"/>
      <c r="CT152" s="176"/>
    </row>
    <row r="153" spans="1:98" s="178" customFormat="1" hidden="1" outlineLevel="1" x14ac:dyDescent="0.35">
      <c r="A153" s="188" t="s">
        <v>275</v>
      </c>
      <c r="B153" s="189" t="s">
        <v>276</v>
      </c>
      <c r="C153" s="189" t="str">
        <f t="shared" si="0"/>
        <v>BW Botswana CCC: 0,574</v>
      </c>
      <c r="D153" s="190">
        <v>0.57399999999999995</v>
      </c>
      <c r="E153" s="188" t="s">
        <v>243</v>
      </c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76"/>
      <c r="BE153" s="176"/>
      <c r="BF153" s="176"/>
      <c r="BG153" s="176"/>
      <c r="BH153" s="176"/>
      <c r="BI153" s="176"/>
      <c r="BJ153" s="176"/>
      <c r="BK153" s="176"/>
      <c r="BL153" s="176"/>
      <c r="BM153" s="176"/>
      <c r="BN153" s="176"/>
      <c r="BO153" s="176"/>
      <c r="BP153" s="176"/>
      <c r="BQ153" s="176"/>
      <c r="BR153" s="176"/>
      <c r="BS153" s="176"/>
      <c r="BT153" s="176"/>
      <c r="BU153" s="176"/>
      <c r="BV153" s="176"/>
      <c r="BW153" s="176"/>
      <c r="BX153" s="176"/>
      <c r="BY153" s="176"/>
      <c r="BZ153" s="176"/>
      <c r="CA153" s="176"/>
      <c r="CB153" s="176"/>
      <c r="CC153" s="176"/>
      <c r="CD153" s="176"/>
      <c r="CE153" s="176"/>
      <c r="CF153" s="176"/>
      <c r="CG153" s="176"/>
      <c r="CH153" s="176"/>
      <c r="CI153" s="176"/>
      <c r="CJ153" s="176"/>
      <c r="CK153" s="176"/>
      <c r="CL153" s="176"/>
      <c r="CM153" s="176"/>
      <c r="CN153" s="176"/>
      <c r="CO153" s="176"/>
      <c r="CP153" s="176"/>
      <c r="CQ153" s="176"/>
      <c r="CR153" s="176"/>
      <c r="CS153" s="176"/>
      <c r="CT153" s="176"/>
    </row>
    <row r="154" spans="1:98" s="178" customFormat="1" hidden="1" outlineLevel="1" x14ac:dyDescent="0.35">
      <c r="A154" s="188" t="s">
        <v>277</v>
      </c>
      <c r="B154" s="189" t="s">
        <v>278</v>
      </c>
      <c r="C154" s="189" t="str">
        <f t="shared" si="0"/>
        <v>BR Brazil CCC: 0,773</v>
      </c>
      <c r="D154" s="190">
        <v>0.77300000000000002</v>
      </c>
      <c r="E154" s="188" t="s">
        <v>243</v>
      </c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76"/>
      <c r="BE154" s="176"/>
      <c r="BF154" s="176"/>
      <c r="BG154" s="176"/>
      <c r="BH154" s="176"/>
      <c r="BI154" s="176"/>
      <c r="BJ154" s="176"/>
      <c r="BK154" s="176"/>
      <c r="BL154" s="176"/>
      <c r="BM154" s="176"/>
      <c r="BN154" s="176"/>
      <c r="BO154" s="176"/>
      <c r="BP154" s="176"/>
      <c r="BQ154" s="176"/>
      <c r="BR154" s="176"/>
      <c r="BS154" s="176"/>
      <c r="BT154" s="176"/>
      <c r="BU154" s="176"/>
      <c r="BV154" s="176"/>
      <c r="BW154" s="176"/>
      <c r="BX154" s="176"/>
      <c r="BY154" s="176"/>
      <c r="BZ154" s="176"/>
      <c r="CA154" s="176"/>
      <c r="CB154" s="176"/>
      <c r="CC154" s="176"/>
      <c r="CD154" s="176"/>
      <c r="CE154" s="176"/>
      <c r="CF154" s="176"/>
      <c r="CG154" s="176"/>
      <c r="CH154" s="176"/>
      <c r="CI154" s="176"/>
      <c r="CJ154" s="176"/>
      <c r="CK154" s="176"/>
      <c r="CL154" s="176"/>
      <c r="CM154" s="176"/>
      <c r="CN154" s="176"/>
      <c r="CO154" s="176"/>
      <c r="CP154" s="176"/>
      <c r="CQ154" s="176"/>
      <c r="CR154" s="176"/>
      <c r="CS154" s="176"/>
      <c r="CT154" s="176"/>
    </row>
    <row r="155" spans="1:98" s="178" customFormat="1" hidden="1" outlineLevel="1" x14ac:dyDescent="0.35">
      <c r="A155" s="188" t="s">
        <v>279</v>
      </c>
      <c r="B155" s="189" t="s">
        <v>280</v>
      </c>
      <c r="C155" s="189" t="str">
        <f t="shared" si="0"/>
        <v>BG Bulgaria CCC: 0,5</v>
      </c>
      <c r="D155" s="190">
        <v>0.5</v>
      </c>
      <c r="E155" s="188" t="s">
        <v>254</v>
      </c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76"/>
      <c r="BE155" s="176"/>
      <c r="BF155" s="176"/>
      <c r="BG155" s="176"/>
      <c r="BH155" s="176"/>
      <c r="BI155" s="176"/>
      <c r="BJ155" s="176"/>
      <c r="BK155" s="176"/>
      <c r="BL155" s="176"/>
      <c r="BM155" s="176"/>
      <c r="BN155" s="176"/>
      <c r="BO155" s="176"/>
      <c r="BP155" s="176"/>
      <c r="BQ155" s="176"/>
      <c r="BR155" s="176"/>
      <c r="BS155" s="176"/>
      <c r="BT155" s="176"/>
      <c r="BU155" s="176"/>
      <c r="BV155" s="176"/>
      <c r="BW155" s="176"/>
      <c r="BX155" s="176"/>
      <c r="BY155" s="176"/>
      <c r="BZ155" s="176"/>
      <c r="CA155" s="176"/>
      <c r="CB155" s="176"/>
      <c r="CC155" s="176"/>
      <c r="CD155" s="176"/>
      <c r="CE155" s="176"/>
      <c r="CF155" s="176"/>
      <c r="CG155" s="176"/>
      <c r="CH155" s="176"/>
      <c r="CI155" s="176"/>
      <c r="CJ155" s="176"/>
      <c r="CK155" s="176"/>
      <c r="CL155" s="176"/>
      <c r="CM155" s="176"/>
      <c r="CN155" s="176"/>
      <c r="CO155" s="176"/>
      <c r="CP155" s="176"/>
      <c r="CQ155" s="176"/>
      <c r="CR155" s="176"/>
      <c r="CS155" s="176"/>
      <c r="CT155" s="176"/>
    </row>
    <row r="156" spans="1:98" s="178" customFormat="1" hidden="1" outlineLevel="1" x14ac:dyDescent="0.35">
      <c r="A156" s="188" t="s">
        <v>281</v>
      </c>
      <c r="B156" s="189" t="s">
        <v>282</v>
      </c>
      <c r="C156" s="189" t="str">
        <f t="shared" si="0"/>
        <v>BF Burkina Faso CCC: 0,867</v>
      </c>
      <c r="D156" s="190">
        <v>0.86699999999999999</v>
      </c>
      <c r="E156" s="188" t="s">
        <v>243</v>
      </c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76"/>
      <c r="BE156" s="176"/>
      <c r="BF156" s="176"/>
      <c r="BG156" s="176"/>
      <c r="BH156" s="176"/>
      <c r="BI156" s="176"/>
      <c r="BJ156" s="176"/>
      <c r="BK156" s="176"/>
      <c r="BL156" s="176"/>
      <c r="BM156" s="176"/>
      <c r="BN156" s="176"/>
      <c r="BO156" s="176"/>
      <c r="BP156" s="176"/>
      <c r="BQ156" s="176"/>
      <c r="BR156" s="176"/>
      <c r="BS156" s="176"/>
      <c r="BT156" s="176"/>
      <c r="BU156" s="176"/>
      <c r="BV156" s="176"/>
      <c r="BW156" s="176"/>
      <c r="BX156" s="176"/>
      <c r="BY156" s="176"/>
      <c r="BZ156" s="176"/>
      <c r="CA156" s="176"/>
      <c r="CB156" s="176"/>
      <c r="CC156" s="176"/>
      <c r="CD156" s="176"/>
      <c r="CE156" s="176"/>
      <c r="CF156" s="176"/>
      <c r="CG156" s="176"/>
      <c r="CH156" s="176"/>
      <c r="CI156" s="176"/>
      <c r="CJ156" s="176"/>
      <c r="CK156" s="176"/>
      <c r="CL156" s="176"/>
      <c r="CM156" s="176"/>
      <c r="CN156" s="176"/>
      <c r="CO156" s="176"/>
      <c r="CP156" s="176"/>
      <c r="CQ156" s="176"/>
      <c r="CR156" s="176"/>
      <c r="CS156" s="176"/>
      <c r="CT156" s="176"/>
    </row>
    <row r="157" spans="1:98" s="178" customFormat="1" hidden="1" outlineLevel="1" x14ac:dyDescent="0.35">
      <c r="A157" s="188" t="s">
        <v>283</v>
      </c>
      <c r="B157" s="189" t="s">
        <v>284</v>
      </c>
      <c r="C157" s="189" t="str">
        <f t="shared" si="0"/>
        <v>BI Burundi CCC: 0,742</v>
      </c>
      <c r="D157" s="190">
        <v>0.74199999999999999</v>
      </c>
      <c r="E157" s="188" t="s">
        <v>243</v>
      </c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76"/>
      <c r="BE157" s="176"/>
      <c r="BF157" s="176"/>
      <c r="BG157" s="176"/>
      <c r="BH157" s="176"/>
      <c r="BI157" s="176"/>
      <c r="BJ157" s="176"/>
      <c r="BK157" s="176"/>
      <c r="BL157" s="176"/>
      <c r="BM157" s="176"/>
      <c r="BN157" s="176"/>
      <c r="BO157" s="176"/>
      <c r="BP157" s="176"/>
      <c r="BQ157" s="176"/>
      <c r="BR157" s="176"/>
      <c r="BS157" s="176"/>
      <c r="BT157" s="176"/>
      <c r="BU157" s="176"/>
      <c r="BV157" s="176"/>
      <c r="BW157" s="176"/>
      <c r="BX157" s="176"/>
      <c r="BY157" s="176"/>
      <c r="BZ157" s="176"/>
      <c r="CA157" s="176"/>
      <c r="CB157" s="176"/>
      <c r="CC157" s="176"/>
      <c r="CD157" s="176"/>
      <c r="CE157" s="176"/>
      <c r="CF157" s="176"/>
      <c r="CG157" s="176"/>
      <c r="CH157" s="176"/>
      <c r="CI157" s="176"/>
      <c r="CJ157" s="176"/>
      <c r="CK157" s="176"/>
      <c r="CL157" s="176"/>
      <c r="CM157" s="176"/>
      <c r="CN157" s="176"/>
      <c r="CO157" s="176"/>
      <c r="CP157" s="176"/>
      <c r="CQ157" s="176"/>
      <c r="CR157" s="176"/>
      <c r="CS157" s="176"/>
      <c r="CT157" s="176"/>
    </row>
    <row r="158" spans="1:98" s="178" customFormat="1" hidden="1" outlineLevel="1" x14ac:dyDescent="0.35">
      <c r="A158" s="188" t="s">
        <v>285</v>
      </c>
      <c r="B158" s="189" t="s">
        <v>286</v>
      </c>
      <c r="C158" s="189" t="str">
        <f t="shared" si="0"/>
        <v>CV Cabo Verde CCC: 0,635</v>
      </c>
      <c r="D158" s="190">
        <v>0.63500000000000001</v>
      </c>
      <c r="E158" s="188" t="s">
        <v>243</v>
      </c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  <c r="BA158" s="176"/>
      <c r="BB158" s="176"/>
      <c r="BC158" s="176"/>
      <c r="BD158" s="176"/>
      <c r="BE158" s="176"/>
      <c r="BF158" s="176"/>
      <c r="BG158" s="176"/>
      <c r="BH158" s="176"/>
      <c r="BI158" s="176"/>
      <c r="BJ158" s="176"/>
      <c r="BK158" s="176"/>
      <c r="BL158" s="176"/>
      <c r="BM158" s="176"/>
      <c r="BN158" s="176"/>
      <c r="BO158" s="176"/>
      <c r="BP158" s="176"/>
      <c r="BQ158" s="176"/>
      <c r="BR158" s="176"/>
      <c r="BS158" s="176"/>
      <c r="BT158" s="176"/>
      <c r="BU158" s="176"/>
      <c r="BV158" s="176"/>
      <c r="BW158" s="176"/>
      <c r="BX158" s="176"/>
      <c r="BY158" s="176"/>
      <c r="BZ158" s="176"/>
      <c r="CA158" s="176"/>
      <c r="CB158" s="176"/>
      <c r="CC158" s="176"/>
      <c r="CD158" s="176"/>
      <c r="CE158" s="176"/>
      <c r="CF158" s="176"/>
      <c r="CG158" s="176"/>
      <c r="CH158" s="176"/>
      <c r="CI158" s="176"/>
      <c r="CJ158" s="176"/>
      <c r="CK158" s="176"/>
      <c r="CL158" s="176"/>
      <c r="CM158" s="176"/>
      <c r="CN158" s="176"/>
      <c r="CO158" s="176"/>
      <c r="CP158" s="176"/>
      <c r="CQ158" s="176"/>
      <c r="CR158" s="176"/>
      <c r="CS158" s="176"/>
      <c r="CT158" s="176"/>
    </row>
    <row r="159" spans="1:98" s="178" customFormat="1" hidden="1" outlineLevel="1" x14ac:dyDescent="0.35">
      <c r="A159" s="188" t="s">
        <v>287</v>
      </c>
      <c r="B159" s="189" t="s">
        <v>288</v>
      </c>
      <c r="C159" s="189" t="str">
        <f t="shared" si="0"/>
        <v>KH Cambodia CCC: 0,717</v>
      </c>
      <c r="D159" s="190">
        <v>0.71699999999999997</v>
      </c>
      <c r="E159" s="188" t="s">
        <v>243</v>
      </c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76"/>
      <c r="BE159" s="176"/>
      <c r="BF159" s="176"/>
      <c r="BG159" s="176"/>
      <c r="BH159" s="176"/>
      <c r="BI159" s="176"/>
      <c r="BJ159" s="176"/>
      <c r="BK159" s="176"/>
      <c r="BL159" s="176"/>
      <c r="BM159" s="176"/>
      <c r="BN159" s="176"/>
      <c r="BO159" s="176"/>
      <c r="BP159" s="176"/>
      <c r="BQ159" s="176"/>
      <c r="BR159" s="176"/>
      <c r="BS159" s="176"/>
      <c r="BT159" s="176"/>
      <c r="BU159" s="176"/>
      <c r="BV159" s="176"/>
      <c r="BW159" s="176"/>
      <c r="BX159" s="176"/>
      <c r="BY159" s="176"/>
      <c r="BZ159" s="176"/>
      <c r="CA159" s="176"/>
      <c r="CB159" s="176"/>
      <c r="CC159" s="176"/>
      <c r="CD159" s="176"/>
      <c r="CE159" s="176"/>
      <c r="CF159" s="176"/>
      <c r="CG159" s="176"/>
      <c r="CH159" s="176"/>
      <c r="CI159" s="176"/>
      <c r="CJ159" s="176"/>
      <c r="CK159" s="176"/>
      <c r="CL159" s="176"/>
      <c r="CM159" s="176"/>
      <c r="CN159" s="176"/>
      <c r="CO159" s="176"/>
      <c r="CP159" s="176"/>
      <c r="CQ159" s="176"/>
      <c r="CR159" s="176"/>
      <c r="CS159" s="176"/>
      <c r="CT159" s="176"/>
    </row>
    <row r="160" spans="1:98" s="178" customFormat="1" hidden="1" outlineLevel="1" x14ac:dyDescent="0.35">
      <c r="A160" s="188" t="s">
        <v>289</v>
      </c>
      <c r="B160" s="189" t="s">
        <v>290</v>
      </c>
      <c r="C160" s="189" t="str">
        <f t="shared" si="0"/>
        <v>CM Cameroon CCC: 0,801</v>
      </c>
      <c r="D160" s="190">
        <v>0.80100000000000005</v>
      </c>
      <c r="E160" s="188" t="s">
        <v>243</v>
      </c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  <c r="BA160" s="176"/>
      <c r="BB160" s="176"/>
      <c r="BC160" s="176"/>
      <c r="BD160" s="176"/>
      <c r="BE160" s="176"/>
      <c r="BF160" s="176"/>
      <c r="BG160" s="176"/>
      <c r="BH160" s="176"/>
      <c r="BI160" s="176"/>
      <c r="BJ160" s="176"/>
      <c r="BK160" s="176"/>
      <c r="BL160" s="176"/>
      <c r="BM160" s="176"/>
      <c r="BN160" s="176"/>
      <c r="BO160" s="176"/>
      <c r="BP160" s="176"/>
      <c r="BQ160" s="176"/>
      <c r="BR160" s="176"/>
      <c r="BS160" s="176"/>
      <c r="BT160" s="176"/>
      <c r="BU160" s="176"/>
      <c r="BV160" s="176"/>
      <c r="BW160" s="176"/>
      <c r="BX160" s="176"/>
      <c r="BY160" s="176"/>
      <c r="BZ160" s="176"/>
      <c r="CA160" s="176"/>
      <c r="CB160" s="176"/>
      <c r="CC160" s="176"/>
      <c r="CD160" s="176"/>
      <c r="CE160" s="176"/>
      <c r="CF160" s="176"/>
      <c r="CG160" s="176"/>
      <c r="CH160" s="176"/>
      <c r="CI160" s="176"/>
      <c r="CJ160" s="176"/>
      <c r="CK160" s="176"/>
      <c r="CL160" s="176"/>
      <c r="CM160" s="176"/>
      <c r="CN160" s="176"/>
      <c r="CO160" s="176"/>
      <c r="CP160" s="176"/>
      <c r="CQ160" s="176"/>
      <c r="CR160" s="176"/>
      <c r="CS160" s="176"/>
      <c r="CT160" s="176"/>
    </row>
    <row r="161" spans="1:98" s="178" customFormat="1" hidden="1" outlineLevel="1" x14ac:dyDescent="0.35">
      <c r="A161" s="188" t="s">
        <v>291</v>
      </c>
      <c r="B161" s="189" t="s">
        <v>292</v>
      </c>
      <c r="C161" s="189" t="str">
        <f t="shared" si="0"/>
        <v>CA Canada CCC: 0,869</v>
      </c>
      <c r="D161" s="190">
        <v>0.86899999999999999</v>
      </c>
      <c r="E161" s="188" t="s">
        <v>243</v>
      </c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  <c r="BA161" s="176"/>
      <c r="BB161" s="176"/>
      <c r="BC161" s="176"/>
      <c r="BD161" s="176"/>
      <c r="BE161" s="176"/>
      <c r="BF161" s="176"/>
      <c r="BG161" s="176"/>
      <c r="BH161" s="176"/>
      <c r="BI161" s="176"/>
      <c r="BJ161" s="176"/>
      <c r="BK161" s="176"/>
      <c r="BL161" s="176"/>
      <c r="BM161" s="176"/>
      <c r="BN161" s="176"/>
      <c r="BO161" s="176"/>
      <c r="BP161" s="176"/>
      <c r="BQ161" s="176"/>
      <c r="BR161" s="176"/>
      <c r="BS161" s="176"/>
      <c r="BT161" s="176"/>
      <c r="BU161" s="176"/>
      <c r="BV161" s="176"/>
      <c r="BW161" s="176"/>
      <c r="BX161" s="176"/>
      <c r="BY161" s="176"/>
      <c r="BZ161" s="176"/>
      <c r="CA161" s="176"/>
      <c r="CB161" s="176"/>
      <c r="CC161" s="176"/>
      <c r="CD161" s="176"/>
      <c r="CE161" s="176"/>
      <c r="CF161" s="176"/>
      <c r="CG161" s="176"/>
      <c r="CH161" s="176"/>
      <c r="CI161" s="176"/>
      <c r="CJ161" s="176"/>
      <c r="CK161" s="176"/>
      <c r="CL161" s="176"/>
      <c r="CM161" s="176"/>
      <c r="CN161" s="176"/>
      <c r="CO161" s="176"/>
      <c r="CP161" s="176"/>
      <c r="CQ161" s="176"/>
      <c r="CR161" s="176"/>
      <c r="CS161" s="176"/>
      <c r="CT161" s="176"/>
    </row>
    <row r="162" spans="1:98" s="178" customFormat="1" hidden="1" outlineLevel="1" x14ac:dyDescent="0.35">
      <c r="A162" s="188" t="s">
        <v>293</v>
      </c>
      <c r="B162" s="189" t="s">
        <v>294</v>
      </c>
      <c r="C162" s="189" t="str">
        <f t="shared" si="0"/>
        <v>CF Central African Republic (the) CCC: 0,997</v>
      </c>
      <c r="D162" s="190">
        <v>0.997</v>
      </c>
      <c r="E162" s="188" t="s">
        <v>243</v>
      </c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76"/>
      <c r="BE162" s="176"/>
      <c r="BF162" s="176"/>
      <c r="BG162" s="176"/>
      <c r="BH162" s="176"/>
      <c r="BI162" s="176"/>
      <c r="BJ162" s="176"/>
      <c r="BK162" s="176"/>
      <c r="BL162" s="176"/>
      <c r="BM162" s="176"/>
      <c r="BN162" s="176"/>
      <c r="BO162" s="176"/>
      <c r="BP162" s="176"/>
      <c r="BQ162" s="176"/>
      <c r="BR162" s="176"/>
      <c r="BS162" s="176"/>
      <c r="BT162" s="176"/>
      <c r="BU162" s="176"/>
      <c r="BV162" s="176"/>
      <c r="BW162" s="176"/>
      <c r="BX162" s="176"/>
      <c r="BY162" s="176"/>
      <c r="BZ162" s="176"/>
      <c r="CA162" s="176"/>
      <c r="CB162" s="176"/>
      <c r="CC162" s="176"/>
      <c r="CD162" s="176"/>
      <c r="CE162" s="176"/>
      <c r="CF162" s="176"/>
      <c r="CG162" s="176"/>
      <c r="CH162" s="176"/>
      <c r="CI162" s="176"/>
      <c r="CJ162" s="176"/>
      <c r="CK162" s="176"/>
      <c r="CL162" s="176"/>
      <c r="CM162" s="176"/>
      <c r="CN162" s="176"/>
      <c r="CO162" s="176"/>
      <c r="CP162" s="176"/>
      <c r="CQ162" s="176"/>
      <c r="CR162" s="176"/>
      <c r="CS162" s="176"/>
      <c r="CT162" s="176"/>
    </row>
    <row r="163" spans="1:98" s="178" customFormat="1" hidden="1" outlineLevel="1" x14ac:dyDescent="0.35">
      <c r="A163" s="188" t="s">
        <v>295</v>
      </c>
      <c r="B163" s="189" t="s">
        <v>296</v>
      </c>
      <c r="C163" s="189" t="str">
        <f t="shared" si="0"/>
        <v>TD Chad CCC: 0,913</v>
      </c>
      <c r="D163" s="190">
        <v>0.91300000000000003</v>
      </c>
      <c r="E163" s="188" t="s">
        <v>243</v>
      </c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76"/>
      <c r="BE163" s="176"/>
      <c r="BF163" s="176"/>
      <c r="BG163" s="176"/>
      <c r="BH163" s="176"/>
      <c r="BI163" s="176"/>
      <c r="BJ163" s="176"/>
      <c r="BK163" s="176"/>
      <c r="BL163" s="176"/>
      <c r="BM163" s="176"/>
      <c r="BN163" s="176"/>
      <c r="BO163" s="176"/>
      <c r="BP163" s="176"/>
      <c r="BQ163" s="176"/>
      <c r="BR163" s="176"/>
      <c r="BS163" s="176"/>
      <c r="BT163" s="176"/>
      <c r="BU163" s="176"/>
      <c r="BV163" s="176"/>
      <c r="BW163" s="176"/>
      <c r="BX163" s="176"/>
      <c r="BY163" s="176"/>
      <c r="BZ163" s="176"/>
      <c r="CA163" s="176"/>
      <c r="CB163" s="176"/>
      <c r="CC163" s="176"/>
      <c r="CD163" s="176"/>
      <c r="CE163" s="176"/>
      <c r="CF163" s="176"/>
      <c r="CG163" s="176"/>
      <c r="CH163" s="176"/>
      <c r="CI163" s="176"/>
      <c r="CJ163" s="176"/>
      <c r="CK163" s="176"/>
      <c r="CL163" s="176"/>
      <c r="CM163" s="176"/>
      <c r="CN163" s="176"/>
      <c r="CO163" s="176"/>
      <c r="CP163" s="176"/>
      <c r="CQ163" s="176"/>
      <c r="CR163" s="176"/>
      <c r="CS163" s="176"/>
      <c r="CT163" s="176"/>
    </row>
    <row r="164" spans="1:98" s="178" customFormat="1" hidden="1" outlineLevel="1" x14ac:dyDescent="0.35">
      <c r="A164" s="188" t="s">
        <v>297</v>
      </c>
      <c r="B164" s="189" t="s">
        <v>298</v>
      </c>
      <c r="C164" s="189" t="str">
        <f t="shared" si="0"/>
        <v>CL Chile CCC: 0,634</v>
      </c>
      <c r="D164" s="190">
        <v>0.63400000000000001</v>
      </c>
      <c r="E164" s="188" t="s">
        <v>243</v>
      </c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76"/>
      <c r="BE164" s="176"/>
      <c r="BF164" s="176"/>
      <c r="BG164" s="176"/>
      <c r="BH164" s="176"/>
      <c r="BI164" s="176"/>
      <c r="BJ164" s="176"/>
      <c r="BK164" s="176"/>
      <c r="BL164" s="176"/>
      <c r="BM164" s="176"/>
      <c r="BN164" s="176"/>
      <c r="BO164" s="176"/>
      <c r="BP164" s="176"/>
      <c r="BQ164" s="176"/>
      <c r="BR164" s="176"/>
      <c r="BS164" s="176"/>
      <c r="BT164" s="176"/>
      <c r="BU164" s="176"/>
      <c r="BV164" s="176"/>
      <c r="BW164" s="176"/>
      <c r="BX164" s="176"/>
      <c r="BY164" s="176"/>
      <c r="BZ164" s="176"/>
      <c r="CA164" s="176"/>
      <c r="CB164" s="176"/>
      <c r="CC164" s="176"/>
      <c r="CD164" s="176"/>
      <c r="CE164" s="176"/>
      <c r="CF164" s="176"/>
      <c r="CG164" s="176"/>
      <c r="CH164" s="176"/>
      <c r="CI164" s="176"/>
      <c r="CJ164" s="176"/>
      <c r="CK164" s="176"/>
      <c r="CL164" s="176"/>
      <c r="CM164" s="176"/>
      <c r="CN164" s="176"/>
      <c r="CO164" s="176"/>
      <c r="CP164" s="176"/>
      <c r="CQ164" s="176"/>
      <c r="CR164" s="176"/>
      <c r="CS164" s="176"/>
      <c r="CT164" s="176"/>
    </row>
    <row r="165" spans="1:98" s="178" customFormat="1" hidden="1" outlineLevel="1" x14ac:dyDescent="0.35">
      <c r="A165" s="188" t="s">
        <v>299</v>
      </c>
      <c r="B165" s="189" t="s">
        <v>300</v>
      </c>
      <c r="C165" s="189" t="str">
        <f t="shared" si="0"/>
        <v>CN China CCC: 0,821</v>
      </c>
      <c r="D165" s="190">
        <v>0.82099999999999995</v>
      </c>
      <c r="E165" s="188" t="s">
        <v>243</v>
      </c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76"/>
      <c r="BE165" s="176"/>
      <c r="BF165" s="176"/>
      <c r="BG165" s="176"/>
      <c r="BH165" s="176"/>
      <c r="BI165" s="176"/>
      <c r="BJ165" s="176"/>
      <c r="BK165" s="176"/>
      <c r="BL165" s="176"/>
      <c r="BM165" s="176"/>
      <c r="BN165" s="176"/>
      <c r="BO165" s="176"/>
      <c r="BP165" s="176"/>
      <c r="BQ165" s="176"/>
      <c r="BR165" s="176"/>
      <c r="BS165" s="176"/>
      <c r="BT165" s="176"/>
      <c r="BU165" s="176"/>
      <c r="BV165" s="176"/>
      <c r="BW165" s="176"/>
      <c r="BX165" s="176"/>
      <c r="BY165" s="176"/>
      <c r="BZ165" s="176"/>
      <c r="CA165" s="176"/>
      <c r="CB165" s="176"/>
      <c r="CC165" s="176"/>
      <c r="CD165" s="176"/>
      <c r="CE165" s="176"/>
      <c r="CF165" s="176"/>
      <c r="CG165" s="176"/>
      <c r="CH165" s="176"/>
      <c r="CI165" s="176"/>
      <c r="CJ165" s="176"/>
      <c r="CK165" s="176"/>
      <c r="CL165" s="176"/>
      <c r="CM165" s="176"/>
      <c r="CN165" s="176"/>
      <c r="CO165" s="176"/>
      <c r="CP165" s="176"/>
      <c r="CQ165" s="176"/>
      <c r="CR165" s="176"/>
      <c r="CS165" s="176"/>
      <c r="CT165" s="176"/>
    </row>
    <row r="166" spans="1:98" s="178" customFormat="1" hidden="1" outlineLevel="1" x14ac:dyDescent="0.35">
      <c r="A166" s="188" t="s">
        <v>301</v>
      </c>
      <c r="B166" s="189" t="s">
        <v>302</v>
      </c>
      <c r="C166" s="189" t="str">
        <f t="shared" si="0"/>
        <v>CO Colombia CCC: 0,617</v>
      </c>
      <c r="D166" s="190">
        <v>0.61699999999999999</v>
      </c>
      <c r="E166" s="188" t="s">
        <v>243</v>
      </c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  <c r="BA166" s="176"/>
      <c r="BB166" s="176"/>
      <c r="BC166" s="176"/>
      <c r="BD166" s="176"/>
      <c r="BE166" s="176"/>
      <c r="BF166" s="176"/>
      <c r="BG166" s="176"/>
      <c r="BH166" s="176"/>
      <c r="BI166" s="176"/>
      <c r="BJ166" s="176"/>
      <c r="BK166" s="176"/>
      <c r="BL166" s="176"/>
      <c r="BM166" s="176"/>
      <c r="BN166" s="176"/>
      <c r="BO166" s="176"/>
      <c r="BP166" s="176"/>
      <c r="BQ166" s="176"/>
      <c r="BR166" s="176"/>
      <c r="BS166" s="176"/>
      <c r="BT166" s="176"/>
      <c r="BU166" s="176"/>
      <c r="BV166" s="176"/>
      <c r="BW166" s="176"/>
      <c r="BX166" s="176"/>
      <c r="BY166" s="176"/>
      <c r="BZ166" s="176"/>
      <c r="CA166" s="176"/>
      <c r="CB166" s="176"/>
      <c r="CC166" s="176"/>
      <c r="CD166" s="176"/>
      <c r="CE166" s="176"/>
      <c r="CF166" s="176"/>
      <c r="CG166" s="176"/>
      <c r="CH166" s="176"/>
      <c r="CI166" s="176"/>
      <c r="CJ166" s="176"/>
      <c r="CK166" s="176"/>
      <c r="CL166" s="176"/>
      <c r="CM166" s="176"/>
      <c r="CN166" s="176"/>
      <c r="CO166" s="176"/>
      <c r="CP166" s="176"/>
      <c r="CQ166" s="176"/>
      <c r="CR166" s="176"/>
      <c r="CS166" s="176"/>
      <c r="CT166" s="176"/>
    </row>
    <row r="167" spans="1:98" s="178" customFormat="1" hidden="1" outlineLevel="1" x14ac:dyDescent="0.35">
      <c r="A167" s="188" t="s">
        <v>303</v>
      </c>
      <c r="B167" s="189" t="s">
        <v>304</v>
      </c>
      <c r="C167" s="189" t="str">
        <f t="shared" si="0"/>
        <v>KM Comoros (the) CCC: 0,691</v>
      </c>
      <c r="D167" s="190">
        <v>0.69099999999999995</v>
      </c>
      <c r="E167" s="188" t="s">
        <v>243</v>
      </c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  <c r="AU167" s="176"/>
      <c r="AV167" s="176"/>
      <c r="AW167" s="176"/>
      <c r="AX167" s="176"/>
      <c r="AY167" s="176"/>
      <c r="AZ167" s="176"/>
      <c r="BA167" s="176"/>
      <c r="BB167" s="176"/>
      <c r="BC167" s="176"/>
      <c r="BD167" s="176"/>
      <c r="BE167" s="176"/>
      <c r="BF167" s="176"/>
      <c r="BG167" s="176"/>
      <c r="BH167" s="176"/>
      <c r="BI167" s="176"/>
      <c r="BJ167" s="176"/>
      <c r="BK167" s="176"/>
      <c r="BL167" s="176"/>
      <c r="BM167" s="176"/>
      <c r="BN167" s="176"/>
      <c r="BO167" s="176"/>
      <c r="BP167" s="176"/>
      <c r="BQ167" s="176"/>
      <c r="BR167" s="176"/>
      <c r="BS167" s="176"/>
      <c r="BT167" s="176"/>
      <c r="BU167" s="176"/>
      <c r="BV167" s="176"/>
      <c r="BW167" s="176"/>
      <c r="BX167" s="176"/>
      <c r="BY167" s="176"/>
      <c r="BZ167" s="176"/>
      <c r="CA167" s="176"/>
      <c r="CB167" s="176"/>
      <c r="CC167" s="176"/>
      <c r="CD167" s="176"/>
      <c r="CE167" s="176"/>
      <c r="CF167" s="176"/>
      <c r="CG167" s="176"/>
      <c r="CH167" s="176"/>
      <c r="CI167" s="176"/>
      <c r="CJ167" s="176"/>
      <c r="CK167" s="176"/>
      <c r="CL167" s="176"/>
      <c r="CM167" s="176"/>
      <c r="CN167" s="176"/>
      <c r="CO167" s="176"/>
      <c r="CP167" s="176"/>
      <c r="CQ167" s="176"/>
      <c r="CR167" s="176"/>
      <c r="CS167" s="176"/>
      <c r="CT167" s="176"/>
    </row>
    <row r="168" spans="1:98" s="178" customFormat="1" hidden="1" outlineLevel="1" x14ac:dyDescent="0.35">
      <c r="A168" s="188" t="s">
        <v>305</v>
      </c>
      <c r="B168" s="189" t="s">
        <v>306</v>
      </c>
      <c r="C168" s="189" t="str">
        <f t="shared" si="0"/>
        <v>CD Congo (the Democratic Republic of the) CCC: 1,386</v>
      </c>
      <c r="D168" s="190">
        <v>1.3859999999999999</v>
      </c>
      <c r="E168" s="188" t="s">
        <v>243</v>
      </c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  <c r="AU168" s="176"/>
      <c r="AV168" s="176"/>
      <c r="AW168" s="176"/>
      <c r="AX168" s="176"/>
      <c r="AY168" s="176"/>
      <c r="AZ168" s="176"/>
      <c r="BA168" s="176"/>
      <c r="BB168" s="176"/>
      <c r="BC168" s="176"/>
      <c r="BD168" s="176"/>
      <c r="BE168" s="176"/>
      <c r="BF168" s="176"/>
      <c r="BG168" s="176"/>
      <c r="BH168" s="176"/>
      <c r="BI168" s="176"/>
      <c r="BJ168" s="176"/>
      <c r="BK168" s="176"/>
      <c r="BL168" s="176"/>
      <c r="BM168" s="176"/>
      <c r="BN168" s="176"/>
      <c r="BO168" s="176"/>
      <c r="BP168" s="176"/>
      <c r="BQ168" s="176"/>
      <c r="BR168" s="176"/>
      <c r="BS168" s="176"/>
      <c r="BT168" s="176"/>
      <c r="BU168" s="176"/>
      <c r="BV168" s="176"/>
      <c r="BW168" s="176"/>
      <c r="BX168" s="176"/>
      <c r="BY168" s="176"/>
      <c r="BZ168" s="176"/>
      <c r="CA168" s="176"/>
      <c r="CB168" s="176"/>
      <c r="CC168" s="176"/>
      <c r="CD168" s="176"/>
      <c r="CE168" s="176"/>
      <c r="CF168" s="176"/>
      <c r="CG168" s="176"/>
      <c r="CH168" s="176"/>
      <c r="CI168" s="176"/>
      <c r="CJ168" s="176"/>
      <c r="CK168" s="176"/>
      <c r="CL168" s="176"/>
      <c r="CM168" s="176"/>
      <c r="CN168" s="176"/>
      <c r="CO168" s="176"/>
      <c r="CP168" s="176"/>
      <c r="CQ168" s="176"/>
      <c r="CR168" s="176"/>
      <c r="CS168" s="176"/>
      <c r="CT168" s="176"/>
    </row>
    <row r="169" spans="1:98" s="178" customFormat="1" hidden="1" outlineLevel="1" x14ac:dyDescent="0.35">
      <c r="A169" s="188" t="s">
        <v>307</v>
      </c>
      <c r="B169" s="189" t="s">
        <v>308</v>
      </c>
      <c r="C169" s="189" t="str">
        <f t="shared" si="0"/>
        <v>CG Congo (the) CCC: 1,07</v>
      </c>
      <c r="D169" s="190">
        <v>1.07</v>
      </c>
      <c r="E169" s="188" t="s">
        <v>243</v>
      </c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6"/>
      <c r="AW169" s="176"/>
      <c r="AX169" s="176"/>
      <c r="AY169" s="176"/>
      <c r="AZ169" s="176"/>
      <c r="BA169" s="176"/>
      <c r="BB169" s="176"/>
      <c r="BC169" s="176"/>
      <c r="BD169" s="176"/>
      <c r="BE169" s="176"/>
      <c r="BF169" s="176"/>
      <c r="BG169" s="176"/>
      <c r="BH169" s="176"/>
      <c r="BI169" s="176"/>
      <c r="BJ169" s="176"/>
      <c r="BK169" s="176"/>
      <c r="BL169" s="176"/>
      <c r="BM169" s="176"/>
      <c r="BN169" s="176"/>
      <c r="BO169" s="176"/>
      <c r="BP169" s="176"/>
      <c r="BQ169" s="176"/>
      <c r="BR169" s="176"/>
      <c r="BS169" s="176"/>
      <c r="BT169" s="176"/>
      <c r="BU169" s="176"/>
      <c r="BV169" s="176"/>
      <c r="BW169" s="176"/>
      <c r="BX169" s="176"/>
      <c r="BY169" s="176"/>
      <c r="BZ169" s="176"/>
      <c r="CA169" s="176"/>
      <c r="CB169" s="176"/>
      <c r="CC169" s="176"/>
      <c r="CD169" s="176"/>
      <c r="CE169" s="176"/>
      <c r="CF169" s="176"/>
      <c r="CG169" s="176"/>
      <c r="CH169" s="176"/>
      <c r="CI169" s="176"/>
      <c r="CJ169" s="176"/>
      <c r="CK169" s="176"/>
      <c r="CL169" s="176"/>
      <c r="CM169" s="176"/>
      <c r="CN169" s="176"/>
      <c r="CO169" s="176"/>
      <c r="CP169" s="176"/>
      <c r="CQ169" s="176"/>
      <c r="CR169" s="176"/>
      <c r="CS169" s="176"/>
      <c r="CT169" s="176"/>
    </row>
    <row r="170" spans="1:98" s="178" customFormat="1" hidden="1" outlineLevel="1" x14ac:dyDescent="0.35">
      <c r="A170" s="188" t="s">
        <v>309</v>
      </c>
      <c r="B170" s="189" t="s">
        <v>310</v>
      </c>
      <c r="C170" s="189" t="str">
        <f t="shared" si="0"/>
        <v>CR Costa Rica CCC: 0,708</v>
      </c>
      <c r="D170" s="190">
        <v>0.70799999999999996</v>
      </c>
      <c r="E170" s="188" t="s">
        <v>243</v>
      </c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  <c r="AU170" s="176"/>
      <c r="AV170" s="176"/>
      <c r="AW170" s="176"/>
      <c r="AX170" s="176"/>
      <c r="AY170" s="176"/>
      <c r="AZ170" s="176"/>
      <c r="BA170" s="176"/>
      <c r="BB170" s="176"/>
      <c r="BC170" s="176"/>
      <c r="BD170" s="176"/>
      <c r="BE170" s="176"/>
      <c r="BF170" s="176"/>
      <c r="BG170" s="176"/>
      <c r="BH170" s="176"/>
      <c r="BI170" s="176"/>
      <c r="BJ170" s="176"/>
      <c r="BK170" s="176"/>
      <c r="BL170" s="176"/>
      <c r="BM170" s="176"/>
      <c r="BN170" s="176"/>
      <c r="BO170" s="176"/>
      <c r="BP170" s="176"/>
      <c r="BQ170" s="176"/>
      <c r="BR170" s="176"/>
      <c r="BS170" s="176"/>
      <c r="BT170" s="176"/>
      <c r="BU170" s="176"/>
      <c r="BV170" s="176"/>
      <c r="BW170" s="176"/>
      <c r="BX170" s="176"/>
      <c r="BY170" s="176"/>
      <c r="BZ170" s="176"/>
      <c r="CA170" s="176"/>
      <c r="CB170" s="176"/>
      <c r="CC170" s="176"/>
      <c r="CD170" s="176"/>
      <c r="CE170" s="176"/>
      <c r="CF170" s="176"/>
      <c r="CG170" s="176"/>
      <c r="CH170" s="176"/>
      <c r="CI170" s="176"/>
      <c r="CJ170" s="176"/>
      <c r="CK170" s="176"/>
      <c r="CL170" s="176"/>
      <c r="CM170" s="176"/>
      <c r="CN170" s="176"/>
      <c r="CO170" s="176"/>
      <c r="CP170" s="176"/>
      <c r="CQ170" s="176"/>
      <c r="CR170" s="176"/>
      <c r="CS170" s="176"/>
      <c r="CT170" s="176"/>
    </row>
    <row r="171" spans="1:98" s="178" customFormat="1" hidden="1" outlineLevel="1" x14ac:dyDescent="0.35">
      <c r="A171" s="188" t="s">
        <v>311</v>
      </c>
      <c r="B171" s="189" t="s">
        <v>312</v>
      </c>
      <c r="C171" s="189" t="str">
        <f t="shared" si="0"/>
        <v>CI Côte d'Ivoire CCC: 0,863</v>
      </c>
      <c r="D171" s="190">
        <v>0.86299999999999999</v>
      </c>
      <c r="E171" s="188" t="s">
        <v>243</v>
      </c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76"/>
      <c r="BE171" s="176"/>
      <c r="BF171" s="176"/>
      <c r="BG171" s="176"/>
      <c r="BH171" s="176"/>
      <c r="BI171" s="176"/>
      <c r="BJ171" s="176"/>
      <c r="BK171" s="176"/>
      <c r="BL171" s="176"/>
      <c r="BM171" s="176"/>
      <c r="BN171" s="176"/>
      <c r="BO171" s="176"/>
      <c r="BP171" s="176"/>
      <c r="BQ171" s="176"/>
      <c r="BR171" s="176"/>
      <c r="BS171" s="176"/>
      <c r="BT171" s="176"/>
      <c r="BU171" s="176"/>
      <c r="BV171" s="176"/>
      <c r="BW171" s="176"/>
      <c r="BX171" s="176"/>
      <c r="BY171" s="176"/>
      <c r="BZ171" s="176"/>
      <c r="CA171" s="176"/>
      <c r="CB171" s="176"/>
      <c r="CC171" s="176"/>
      <c r="CD171" s="176"/>
      <c r="CE171" s="176"/>
      <c r="CF171" s="176"/>
      <c r="CG171" s="176"/>
      <c r="CH171" s="176"/>
      <c r="CI171" s="176"/>
      <c r="CJ171" s="176"/>
      <c r="CK171" s="176"/>
      <c r="CL171" s="176"/>
      <c r="CM171" s="176"/>
      <c r="CN171" s="176"/>
      <c r="CO171" s="176"/>
      <c r="CP171" s="176"/>
      <c r="CQ171" s="176"/>
      <c r="CR171" s="176"/>
      <c r="CS171" s="176"/>
      <c r="CT171" s="176"/>
    </row>
    <row r="172" spans="1:98" s="178" customFormat="1" hidden="1" outlineLevel="1" x14ac:dyDescent="0.35">
      <c r="A172" s="188" t="s">
        <v>313</v>
      </c>
      <c r="B172" s="189" t="s">
        <v>314</v>
      </c>
      <c r="C172" s="189" t="str">
        <f t="shared" si="0"/>
        <v>HR Croatia CCC: 0,689</v>
      </c>
      <c r="D172" s="190">
        <v>0.68899999999999995</v>
      </c>
      <c r="E172" s="188" t="s">
        <v>254</v>
      </c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  <c r="AU172" s="176"/>
      <c r="AV172" s="176"/>
      <c r="AW172" s="176"/>
      <c r="AX172" s="176"/>
      <c r="AY172" s="176"/>
      <c r="AZ172" s="176"/>
      <c r="BA172" s="176"/>
      <c r="BB172" s="176"/>
      <c r="BC172" s="176"/>
      <c r="BD172" s="176"/>
      <c r="BE172" s="176"/>
      <c r="BF172" s="176"/>
      <c r="BG172" s="176"/>
      <c r="BH172" s="176"/>
      <c r="BI172" s="176"/>
      <c r="BJ172" s="176"/>
      <c r="BK172" s="176"/>
      <c r="BL172" s="176"/>
      <c r="BM172" s="176"/>
      <c r="BN172" s="176"/>
      <c r="BO172" s="176"/>
      <c r="BP172" s="176"/>
      <c r="BQ172" s="176"/>
      <c r="BR172" s="176"/>
      <c r="BS172" s="176"/>
      <c r="BT172" s="176"/>
      <c r="BU172" s="176"/>
      <c r="BV172" s="176"/>
      <c r="BW172" s="176"/>
      <c r="BX172" s="176"/>
      <c r="BY172" s="176"/>
      <c r="BZ172" s="176"/>
      <c r="CA172" s="176"/>
      <c r="CB172" s="176"/>
      <c r="CC172" s="176"/>
      <c r="CD172" s="176"/>
      <c r="CE172" s="176"/>
      <c r="CF172" s="176"/>
      <c r="CG172" s="176"/>
      <c r="CH172" s="176"/>
      <c r="CI172" s="176"/>
      <c r="CJ172" s="176"/>
      <c r="CK172" s="176"/>
      <c r="CL172" s="176"/>
      <c r="CM172" s="176"/>
      <c r="CN172" s="176"/>
      <c r="CO172" s="176"/>
      <c r="CP172" s="176"/>
      <c r="CQ172" s="176"/>
      <c r="CR172" s="176"/>
      <c r="CS172" s="176"/>
      <c r="CT172" s="176"/>
    </row>
    <row r="173" spans="1:98" s="178" customFormat="1" hidden="1" outlineLevel="1" x14ac:dyDescent="0.35">
      <c r="A173" s="188" t="s">
        <v>315</v>
      </c>
      <c r="B173" s="189" t="s">
        <v>316</v>
      </c>
      <c r="C173" s="189" t="str">
        <f t="shared" si="0"/>
        <v>CU Cuba CCC: 0,753</v>
      </c>
      <c r="D173" s="190">
        <v>0.753</v>
      </c>
      <c r="E173" s="188" t="s">
        <v>243</v>
      </c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76"/>
      <c r="BE173" s="176"/>
      <c r="BF173" s="176"/>
      <c r="BG173" s="176"/>
      <c r="BH173" s="176"/>
      <c r="BI173" s="176"/>
      <c r="BJ173" s="176"/>
      <c r="BK173" s="176"/>
      <c r="BL173" s="176"/>
      <c r="BM173" s="176"/>
      <c r="BN173" s="176"/>
      <c r="BO173" s="176"/>
      <c r="BP173" s="176"/>
      <c r="BQ173" s="176"/>
      <c r="BR173" s="176"/>
      <c r="BS173" s="176"/>
      <c r="BT173" s="176"/>
      <c r="BU173" s="176"/>
      <c r="BV173" s="176"/>
      <c r="BW173" s="176"/>
      <c r="BX173" s="176"/>
      <c r="BY173" s="176"/>
      <c r="BZ173" s="176"/>
      <c r="CA173" s="176"/>
      <c r="CB173" s="176"/>
      <c r="CC173" s="176"/>
      <c r="CD173" s="176"/>
      <c r="CE173" s="176"/>
      <c r="CF173" s="176"/>
      <c r="CG173" s="176"/>
      <c r="CH173" s="176"/>
      <c r="CI173" s="176"/>
      <c r="CJ173" s="176"/>
      <c r="CK173" s="176"/>
      <c r="CL173" s="176"/>
      <c r="CM173" s="176"/>
      <c r="CN173" s="176"/>
      <c r="CO173" s="176"/>
      <c r="CP173" s="176"/>
      <c r="CQ173" s="176"/>
      <c r="CR173" s="176"/>
      <c r="CS173" s="176"/>
      <c r="CT173" s="176"/>
    </row>
    <row r="174" spans="1:98" s="178" customFormat="1" hidden="1" outlineLevel="1" x14ac:dyDescent="0.35">
      <c r="A174" s="188" t="s">
        <v>317</v>
      </c>
      <c r="B174" s="189" t="s">
        <v>318</v>
      </c>
      <c r="C174" s="189" t="str">
        <f t="shared" si="0"/>
        <v>CY Cyprus CCC: 0,707</v>
      </c>
      <c r="D174" s="190">
        <v>0.70699999999999996</v>
      </c>
      <c r="E174" s="188" t="s">
        <v>254</v>
      </c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176"/>
      <c r="BG174" s="176"/>
      <c r="BH174" s="176"/>
      <c r="BI174" s="176"/>
      <c r="BJ174" s="176"/>
      <c r="BK174" s="176"/>
      <c r="BL174" s="176"/>
      <c r="BM174" s="176"/>
      <c r="BN174" s="176"/>
      <c r="BO174" s="176"/>
      <c r="BP174" s="176"/>
      <c r="BQ174" s="176"/>
      <c r="BR174" s="176"/>
      <c r="BS174" s="176"/>
      <c r="BT174" s="176"/>
      <c r="BU174" s="176"/>
      <c r="BV174" s="176"/>
      <c r="BW174" s="176"/>
      <c r="BX174" s="176"/>
      <c r="BY174" s="176"/>
      <c r="BZ174" s="176"/>
      <c r="CA174" s="176"/>
      <c r="CB174" s="176"/>
      <c r="CC174" s="176"/>
      <c r="CD174" s="176"/>
      <c r="CE174" s="176"/>
      <c r="CF174" s="176"/>
      <c r="CG174" s="176"/>
      <c r="CH174" s="176"/>
      <c r="CI174" s="176"/>
      <c r="CJ174" s="176"/>
      <c r="CK174" s="176"/>
      <c r="CL174" s="176"/>
      <c r="CM174" s="176"/>
      <c r="CN174" s="176"/>
      <c r="CO174" s="176"/>
      <c r="CP174" s="176"/>
      <c r="CQ174" s="176"/>
      <c r="CR174" s="176"/>
      <c r="CS174" s="176"/>
      <c r="CT174" s="176"/>
    </row>
    <row r="175" spans="1:98" s="178" customFormat="1" hidden="1" outlineLevel="1" x14ac:dyDescent="0.35">
      <c r="A175" s="188" t="s">
        <v>319</v>
      </c>
      <c r="B175" s="189" t="s">
        <v>320</v>
      </c>
      <c r="C175" s="189" t="str">
        <f t="shared" si="0"/>
        <v>CZ Czechia CCC: 0,722</v>
      </c>
      <c r="D175" s="190">
        <v>0.72199999999999998</v>
      </c>
      <c r="E175" s="188" t="s">
        <v>254</v>
      </c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/>
      <c r="AZ175" s="176"/>
      <c r="BA175" s="176"/>
      <c r="BB175" s="176"/>
      <c r="BC175" s="176"/>
      <c r="BD175" s="176"/>
      <c r="BE175" s="176"/>
      <c r="BF175" s="176"/>
      <c r="BG175" s="176"/>
      <c r="BH175" s="176"/>
      <c r="BI175" s="176"/>
      <c r="BJ175" s="176"/>
      <c r="BK175" s="176"/>
      <c r="BL175" s="176"/>
      <c r="BM175" s="176"/>
      <c r="BN175" s="176"/>
      <c r="BO175" s="176"/>
      <c r="BP175" s="176"/>
      <c r="BQ175" s="176"/>
      <c r="BR175" s="176"/>
      <c r="BS175" s="176"/>
      <c r="BT175" s="176"/>
      <c r="BU175" s="176"/>
      <c r="BV175" s="176"/>
      <c r="BW175" s="176"/>
      <c r="BX175" s="176"/>
      <c r="BY175" s="176"/>
      <c r="BZ175" s="176"/>
      <c r="CA175" s="176"/>
      <c r="CB175" s="176"/>
      <c r="CC175" s="176"/>
      <c r="CD175" s="176"/>
      <c r="CE175" s="176"/>
      <c r="CF175" s="176"/>
      <c r="CG175" s="176"/>
      <c r="CH175" s="176"/>
      <c r="CI175" s="176"/>
      <c r="CJ175" s="176"/>
      <c r="CK175" s="176"/>
      <c r="CL175" s="176"/>
      <c r="CM175" s="176"/>
      <c r="CN175" s="176"/>
      <c r="CO175" s="176"/>
      <c r="CP175" s="176"/>
      <c r="CQ175" s="176"/>
      <c r="CR175" s="176"/>
      <c r="CS175" s="176"/>
      <c r="CT175" s="176"/>
    </row>
    <row r="176" spans="1:98" s="178" customFormat="1" hidden="1" outlineLevel="1" x14ac:dyDescent="0.35">
      <c r="A176" s="188" t="s">
        <v>321</v>
      </c>
      <c r="B176" s="189" t="s">
        <v>322</v>
      </c>
      <c r="C176" s="189" t="str">
        <f t="shared" si="0"/>
        <v>DK Denmark CCC: 1,204</v>
      </c>
      <c r="D176" s="190">
        <v>1.204</v>
      </c>
      <c r="E176" s="188" t="s">
        <v>254</v>
      </c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/>
      <c r="AZ176" s="176"/>
      <c r="BA176" s="176"/>
      <c r="BB176" s="176"/>
      <c r="BC176" s="176"/>
      <c r="BD176" s="176"/>
      <c r="BE176" s="176"/>
      <c r="BF176" s="176"/>
      <c r="BG176" s="176"/>
      <c r="BH176" s="176"/>
      <c r="BI176" s="176"/>
      <c r="BJ176" s="176"/>
      <c r="BK176" s="176"/>
      <c r="BL176" s="176"/>
      <c r="BM176" s="176"/>
      <c r="BN176" s="176"/>
      <c r="BO176" s="176"/>
      <c r="BP176" s="176"/>
      <c r="BQ176" s="176"/>
      <c r="BR176" s="176"/>
      <c r="BS176" s="176"/>
      <c r="BT176" s="176"/>
      <c r="BU176" s="176"/>
      <c r="BV176" s="176"/>
      <c r="BW176" s="176"/>
      <c r="BX176" s="176"/>
      <c r="BY176" s="176"/>
      <c r="BZ176" s="176"/>
      <c r="CA176" s="176"/>
      <c r="CB176" s="176"/>
      <c r="CC176" s="176"/>
      <c r="CD176" s="176"/>
      <c r="CE176" s="176"/>
      <c r="CF176" s="176"/>
      <c r="CG176" s="176"/>
      <c r="CH176" s="176"/>
      <c r="CI176" s="176"/>
      <c r="CJ176" s="176"/>
      <c r="CK176" s="176"/>
      <c r="CL176" s="176"/>
      <c r="CM176" s="176"/>
      <c r="CN176" s="176"/>
      <c r="CO176" s="176"/>
      <c r="CP176" s="176"/>
      <c r="CQ176" s="176"/>
      <c r="CR176" s="176"/>
      <c r="CS176" s="176"/>
      <c r="CT176" s="176"/>
    </row>
    <row r="177" spans="1:98" s="178" customFormat="1" hidden="1" outlineLevel="1" x14ac:dyDescent="0.35">
      <c r="A177" s="188" t="s">
        <v>323</v>
      </c>
      <c r="B177" s="189" t="s">
        <v>324</v>
      </c>
      <c r="C177" s="189" t="str">
        <f t="shared" si="0"/>
        <v>DJ Djibouti CCC: 0,796</v>
      </c>
      <c r="D177" s="190">
        <v>0.79600000000000004</v>
      </c>
      <c r="E177" s="188" t="s">
        <v>243</v>
      </c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76"/>
      <c r="BE177" s="176"/>
      <c r="BF177" s="176"/>
      <c r="BG177" s="176"/>
      <c r="BH177" s="176"/>
      <c r="BI177" s="176"/>
      <c r="BJ177" s="176"/>
      <c r="BK177" s="176"/>
      <c r="BL177" s="176"/>
      <c r="BM177" s="176"/>
      <c r="BN177" s="176"/>
      <c r="BO177" s="176"/>
      <c r="BP177" s="176"/>
      <c r="BQ177" s="176"/>
      <c r="BR177" s="176"/>
      <c r="BS177" s="176"/>
      <c r="BT177" s="176"/>
      <c r="BU177" s="176"/>
      <c r="BV177" s="176"/>
      <c r="BW177" s="176"/>
      <c r="BX177" s="176"/>
      <c r="BY177" s="176"/>
      <c r="BZ177" s="176"/>
      <c r="CA177" s="176"/>
      <c r="CB177" s="176"/>
      <c r="CC177" s="176"/>
      <c r="CD177" s="176"/>
      <c r="CE177" s="176"/>
      <c r="CF177" s="176"/>
      <c r="CG177" s="176"/>
      <c r="CH177" s="176"/>
      <c r="CI177" s="176"/>
      <c r="CJ177" s="176"/>
      <c r="CK177" s="176"/>
      <c r="CL177" s="176"/>
      <c r="CM177" s="176"/>
      <c r="CN177" s="176"/>
      <c r="CO177" s="176"/>
      <c r="CP177" s="176"/>
      <c r="CQ177" s="176"/>
      <c r="CR177" s="176"/>
      <c r="CS177" s="176"/>
      <c r="CT177" s="176"/>
    </row>
    <row r="178" spans="1:98" s="178" customFormat="1" hidden="1" outlineLevel="1" x14ac:dyDescent="0.35">
      <c r="A178" s="188" t="s">
        <v>325</v>
      </c>
      <c r="B178" s="189" t="s">
        <v>326</v>
      </c>
      <c r="C178" s="189" t="str">
        <f t="shared" si="0"/>
        <v>DO Dominican Republic (the) CCC: 0,56</v>
      </c>
      <c r="D178" s="190">
        <v>0.56000000000000005</v>
      </c>
      <c r="E178" s="188" t="s">
        <v>243</v>
      </c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76"/>
      <c r="BE178" s="176"/>
      <c r="BF178" s="176"/>
      <c r="BG178" s="176"/>
      <c r="BH178" s="176"/>
      <c r="BI178" s="176"/>
      <c r="BJ178" s="176"/>
      <c r="BK178" s="176"/>
      <c r="BL178" s="176"/>
      <c r="BM178" s="176"/>
      <c r="BN178" s="176"/>
      <c r="BO178" s="176"/>
      <c r="BP178" s="176"/>
      <c r="BQ178" s="176"/>
      <c r="BR178" s="176"/>
      <c r="BS178" s="176"/>
      <c r="BT178" s="176"/>
      <c r="BU178" s="176"/>
      <c r="BV178" s="176"/>
      <c r="BW178" s="176"/>
      <c r="BX178" s="176"/>
      <c r="BY178" s="176"/>
      <c r="BZ178" s="176"/>
      <c r="CA178" s="176"/>
      <c r="CB178" s="176"/>
      <c r="CC178" s="176"/>
      <c r="CD178" s="176"/>
      <c r="CE178" s="176"/>
      <c r="CF178" s="176"/>
      <c r="CG178" s="176"/>
      <c r="CH178" s="176"/>
      <c r="CI178" s="176"/>
      <c r="CJ178" s="176"/>
      <c r="CK178" s="176"/>
      <c r="CL178" s="176"/>
      <c r="CM178" s="176"/>
      <c r="CN178" s="176"/>
      <c r="CO178" s="176"/>
      <c r="CP178" s="176"/>
      <c r="CQ178" s="176"/>
      <c r="CR178" s="176"/>
      <c r="CS178" s="176"/>
      <c r="CT178" s="176"/>
    </row>
    <row r="179" spans="1:98" s="178" customFormat="1" hidden="1" outlineLevel="1" x14ac:dyDescent="0.35">
      <c r="A179" s="188" t="s">
        <v>327</v>
      </c>
      <c r="B179" s="189" t="s">
        <v>328</v>
      </c>
      <c r="C179" s="189" t="str">
        <f t="shared" si="0"/>
        <v>EC Ecuador CCC: 0,724</v>
      </c>
      <c r="D179" s="190">
        <v>0.72399999999999998</v>
      </c>
      <c r="E179" s="188" t="s">
        <v>243</v>
      </c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76"/>
      <c r="BE179" s="176"/>
      <c r="BF179" s="176"/>
      <c r="BG179" s="176"/>
      <c r="BH179" s="176"/>
      <c r="BI179" s="176"/>
      <c r="BJ179" s="176"/>
      <c r="BK179" s="176"/>
      <c r="BL179" s="176"/>
      <c r="BM179" s="176"/>
      <c r="BN179" s="176"/>
      <c r="BO179" s="176"/>
      <c r="BP179" s="176"/>
      <c r="BQ179" s="176"/>
      <c r="BR179" s="176"/>
      <c r="BS179" s="176"/>
      <c r="BT179" s="176"/>
      <c r="BU179" s="176"/>
      <c r="BV179" s="176"/>
      <c r="BW179" s="176"/>
      <c r="BX179" s="176"/>
      <c r="BY179" s="176"/>
      <c r="BZ179" s="176"/>
      <c r="CA179" s="176"/>
      <c r="CB179" s="176"/>
      <c r="CC179" s="176"/>
      <c r="CD179" s="176"/>
      <c r="CE179" s="176"/>
      <c r="CF179" s="176"/>
      <c r="CG179" s="176"/>
      <c r="CH179" s="176"/>
      <c r="CI179" s="176"/>
      <c r="CJ179" s="176"/>
      <c r="CK179" s="176"/>
      <c r="CL179" s="176"/>
      <c r="CM179" s="176"/>
      <c r="CN179" s="176"/>
      <c r="CO179" s="176"/>
      <c r="CP179" s="176"/>
      <c r="CQ179" s="176"/>
      <c r="CR179" s="176"/>
      <c r="CS179" s="176"/>
      <c r="CT179" s="176"/>
    </row>
    <row r="180" spans="1:98" s="178" customFormat="1" hidden="1" outlineLevel="1" x14ac:dyDescent="0.35">
      <c r="A180" s="188" t="s">
        <v>329</v>
      </c>
      <c r="B180" s="189" t="s">
        <v>330</v>
      </c>
      <c r="C180" s="189" t="str">
        <f t="shared" si="0"/>
        <v>EG Egypt CCC: 0,615</v>
      </c>
      <c r="D180" s="190">
        <v>0.61499999999999999</v>
      </c>
      <c r="E180" s="188" t="s">
        <v>243</v>
      </c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76"/>
      <c r="BE180" s="176"/>
      <c r="BF180" s="176"/>
      <c r="BG180" s="176"/>
      <c r="BH180" s="176"/>
      <c r="BI180" s="176"/>
      <c r="BJ180" s="176"/>
      <c r="BK180" s="176"/>
      <c r="BL180" s="176"/>
      <c r="BM180" s="176"/>
      <c r="BN180" s="176"/>
      <c r="BO180" s="176"/>
      <c r="BP180" s="176"/>
      <c r="BQ180" s="176"/>
      <c r="BR180" s="176"/>
      <c r="BS180" s="176"/>
      <c r="BT180" s="176"/>
      <c r="BU180" s="176"/>
      <c r="BV180" s="176"/>
      <c r="BW180" s="176"/>
      <c r="BX180" s="176"/>
      <c r="BY180" s="176"/>
      <c r="BZ180" s="176"/>
      <c r="CA180" s="176"/>
      <c r="CB180" s="176"/>
      <c r="CC180" s="176"/>
      <c r="CD180" s="176"/>
      <c r="CE180" s="176"/>
      <c r="CF180" s="176"/>
      <c r="CG180" s="176"/>
      <c r="CH180" s="176"/>
      <c r="CI180" s="176"/>
      <c r="CJ180" s="176"/>
      <c r="CK180" s="176"/>
      <c r="CL180" s="176"/>
      <c r="CM180" s="176"/>
      <c r="CN180" s="176"/>
      <c r="CO180" s="176"/>
      <c r="CP180" s="176"/>
      <c r="CQ180" s="176"/>
      <c r="CR180" s="176"/>
      <c r="CS180" s="176"/>
      <c r="CT180" s="176"/>
    </row>
    <row r="181" spans="1:98" s="178" customFormat="1" hidden="1" outlineLevel="1" x14ac:dyDescent="0.35">
      <c r="A181" s="188" t="s">
        <v>331</v>
      </c>
      <c r="B181" s="189" t="s">
        <v>332</v>
      </c>
      <c r="C181" s="189" t="str">
        <f t="shared" si="0"/>
        <v>SV El Salvador CCC: 0,659</v>
      </c>
      <c r="D181" s="190">
        <v>0.65900000000000003</v>
      </c>
      <c r="E181" s="188" t="s">
        <v>243</v>
      </c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76"/>
      <c r="BE181" s="176"/>
      <c r="BF181" s="176"/>
      <c r="BG181" s="176"/>
      <c r="BH181" s="176"/>
      <c r="BI181" s="176"/>
      <c r="BJ181" s="176"/>
      <c r="BK181" s="176"/>
      <c r="BL181" s="176"/>
      <c r="BM181" s="176"/>
      <c r="BN181" s="176"/>
      <c r="BO181" s="176"/>
      <c r="BP181" s="176"/>
      <c r="BQ181" s="176"/>
      <c r="BR181" s="176"/>
      <c r="BS181" s="176"/>
      <c r="BT181" s="176"/>
      <c r="BU181" s="176"/>
      <c r="BV181" s="176"/>
      <c r="BW181" s="176"/>
      <c r="BX181" s="176"/>
      <c r="BY181" s="176"/>
      <c r="BZ181" s="176"/>
      <c r="CA181" s="176"/>
      <c r="CB181" s="176"/>
      <c r="CC181" s="176"/>
      <c r="CD181" s="176"/>
      <c r="CE181" s="176"/>
      <c r="CF181" s="176"/>
      <c r="CG181" s="176"/>
      <c r="CH181" s="176"/>
      <c r="CI181" s="176"/>
      <c r="CJ181" s="176"/>
      <c r="CK181" s="176"/>
      <c r="CL181" s="176"/>
      <c r="CM181" s="176"/>
      <c r="CN181" s="176"/>
      <c r="CO181" s="176"/>
      <c r="CP181" s="176"/>
      <c r="CQ181" s="176"/>
      <c r="CR181" s="176"/>
      <c r="CS181" s="176"/>
      <c r="CT181" s="176"/>
    </row>
    <row r="182" spans="1:98" s="178" customFormat="1" hidden="1" outlineLevel="1" x14ac:dyDescent="0.35">
      <c r="A182" s="188" t="s">
        <v>333</v>
      </c>
      <c r="B182" s="189" t="s">
        <v>334</v>
      </c>
      <c r="C182" s="189" t="str">
        <f t="shared" si="0"/>
        <v>ER Eritrea CCC: 1,099</v>
      </c>
      <c r="D182" s="190">
        <v>1.099</v>
      </c>
      <c r="E182" s="188" t="s">
        <v>243</v>
      </c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76"/>
      <c r="BE182" s="176"/>
      <c r="BF182" s="176"/>
      <c r="BG182" s="176"/>
      <c r="BH182" s="176"/>
      <c r="BI182" s="176"/>
      <c r="BJ182" s="176"/>
      <c r="BK182" s="176"/>
      <c r="BL182" s="176"/>
      <c r="BM182" s="176"/>
      <c r="BN182" s="176"/>
      <c r="BO182" s="176"/>
      <c r="BP182" s="176"/>
      <c r="BQ182" s="176"/>
      <c r="BR182" s="176"/>
      <c r="BS182" s="176"/>
      <c r="BT182" s="176"/>
      <c r="BU182" s="176"/>
      <c r="BV182" s="176"/>
      <c r="BW182" s="176"/>
      <c r="BX182" s="176"/>
      <c r="BY182" s="176"/>
      <c r="BZ182" s="176"/>
      <c r="CA182" s="176"/>
      <c r="CB182" s="176"/>
      <c r="CC182" s="176"/>
      <c r="CD182" s="176"/>
      <c r="CE182" s="176"/>
      <c r="CF182" s="176"/>
      <c r="CG182" s="176"/>
      <c r="CH182" s="176"/>
      <c r="CI182" s="176"/>
      <c r="CJ182" s="176"/>
      <c r="CK182" s="176"/>
      <c r="CL182" s="176"/>
      <c r="CM182" s="176"/>
      <c r="CN182" s="176"/>
      <c r="CO182" s="176"/>
      <c r="CP182" s="176"/>
      <c r="CQ182" s="176"/>
      <c r="CR182" s="176"/>
      <c r="CS182" s="176"/>
      <c r="CT182" s="176"/>
    </row>
    <row r="183" spans="1:98" s="178" customFormat="1" hidden="1" outlineLevel="1" x14ac:dyDescent="0.35">
      <c r="A183" s="188" t="s">
        <v>335</v>
      </c>
      <c r="B183" s="189" t="s">
        <v>336</v>
      </c>
      <c r="C183" s="189" t="str">
        <f t="shared" si="0"/>
        <v>EE Estonia CCC: 0,733</v>
      </c>
      <c r="D183" s="190">
        <v>0.73299999999999998</v>
      </c>
      <c r="E183" s="188" t="s">
        <v>254</v>
      </c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76"/>
      <c r="BE183" s="176"/>
      <c r="BF183" s="176"/>
      <c r="BG183" s="176"/>
      <c r="BH183" s="176"/>
      <c r="BI183" s="176"/>
      <c r="BJ183" s="176"/>
      <c r="BK183" s="176"/>
      <c r="BL183" s="176"/>
      <c r="BM183" s="176"/>
      <c r="BN183" s="176"/>
      <c r="BO183" s="176"/>
      <c r="BP183" s="176"/>
      <c r="BQ183" s="176"/>
      <c r="BR183" s="176"/>
      <c r="BS183" s="176"/>
      <c r="BT183" s="176"/>
      <c r="BU183" s="176"/>
      <c r="BV183" s="176"/>
      <c r="BW183" s="176"/>
      <c r="BX183" s="176"/>
      <c r="BY183" s="176"/>
      <c r="BZ183" s="176"/>
      <c r="CA183" s="176"/>
      <c r="CB183" s="176"/>
      <c r="CC183" s="176"/>
      <c r="CD183" s="176"/>
      <c r="CE183" s="176"/>
      <c r="CF183" s="176"/>
      <c r="CG183" s="176"/>
      <c r="CH183" s="176"/>
      <c r="CI183" s="176"/>
      <c r="CJ183" s="176"/>
      <c r="CK183" s="176"/>
      <c r="CL183" s="176"/>
      <c r="CM183" s="176"/>
      <c r="CN183" s="176"/>
      <c r="CO183" s="176"/>
      <c r="CP183" s="176"/>
      <c r="CQ183" s="176"/>
      <c r="CR183" s="176"/>
      <c r="CS183" s="176"/>
      <c r="CT183" s="176"/>
    </row>
    <row r="184" spans="1:98" s="178" customFormat="1" hidden="1" outlineLevel="1" x14ac:dyDescent="0.35">
      <c r="A184" s="188" t="s">
        <v>337</v>
      </c>
      <c r="B184" s="189" t="s">
        <v>338</v>
      </c>
      <c r="C184" s="189" t="str">
        <f t="shared" si="0"/>
        <v>SZ Eswatini CCC: 0,559</v>
      </c>
      <c r="D184" s="190">
        <v>0.55900000000000005</v>
      </c>
      <c r="E184" s="188" t="s">
        <v>243</v>
      </c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  <c r="AA184" s="176"/>
      <c r="AB184" s="176"/>
      <c r="AC184" s="176"/>
      <c r="AD184" s="176"/>
      <c r="AE184" s="176"/>
      <c r="AF184" s="176"/>
      <c r="AG184" s="176"/>
      <c r="AH184" s="176"/>
      <c r="AI184" s="176"/>
      <c r="AJ184" s="176"/>
      <c r="AK184" s="176"/>
      <c r="AL184" s="176"/>
      <c r="AM184" s="176"/>
      <c r="AN184" s="176"/>
      <c r="AO184" s="176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76"/>
      <c r="BE184" s="176"/>
      <c r="BF184" s="176"/>
      <c r="BG184" s="176"/>
      <c r="BH184" s="176"/>
      <c r="BI184" s="176"/>
      <c r="BJ184" s="176"/>
      <c r="BK184" s="176"/>
      <c r="BL184" s="176"/>
      <c r="BM184" s="176"/>
      <c r="BN184" s="176"/>
      <c r="BO184" s="176"/>
      <c r="BP184" s="176"/>
      <c r="BQ184" s="176"/>
      <c r="BR184" s="176"/>
      <c r="BS184" s="176"/>
      <c r="BT184" s="176"/>
      <c r="BU184" s="176"/>
      <c r="BV184" s="176"/>
      <c r="BW184" s="176"/>
      <c r="BX184" s="176"/>
      <c r="BY184" s="176"/>
      <c r="BZ184" s="176"/>
      <c r="CA184" s="176"/>
      <c r="CB184" s="176"/>
      <c r="CC184" s="176"/>
      <c r="CD184" s="176"/>
      <c r="CE184" s="176"/>
      <c r="CF184" s="176"/>
      <c r="CG184" s="176"/>
      <c r="CH184" s="176"/>
      <c r="CI184" s="176"/>
      <c r="CJ184" s="176"/>
      <c r="CK184" s="176"/>
      <c r="CL184" s="176"/>
      <c r="CM184" s="176"/>
      <c r="CN184" s="176"/>
      <c r="CO184" s="176"/>
      <c r="CP184" s="176"/>
      <c r="CQ184" s="176"/>
      <c r="CR184" s="176"/>
      <c r="CS184" s="176"/>
      <c r="CT184" s="176"/>
    </row>
    <row r="185" spans="1:98" s="178" customFormat="1" hidden="1" outlineLevel="1" x14ac:dyDescent="0.35">
      <c r="A185" s="188" t="s">
        <v>339</v>
      </c>
      <c r="B185" s="189" t="s">
        <v>340</v>
      </c>
      <c r="C185" s="189" t="str">
        <f t="shared" si="0"/>
        <v>ET Ethiopia CCC: 0,747</v>
      </c>
      <c r="D185" s="190">
        <v>0.747</v>
      </c>
      <c r="E185" s="188" t="s">
        <v>243</v>
      </c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  <c r="AA185" s="176"/>
      <c r="AB185" s="176"/>
      <c r="AC185" s="176"/>
      <c r="AD185" s="176"/>
      <c r="AE185" s="176"/>
      <c r="AF185" s="176"/>
      <c r="AG185" s="176"/>
      <c r="AH185" s="176"/>
      <c r="AI185" s="176"/>
      <c r="AJ185" s="176"/>
      <c r="AK185" s="176"/>
      <c r="AL185" s="176"/>
      <c r="AM185" s="176"/>
      <c r="AN185" s="176"/>
      <c r="AO185" s="176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76"/>
      <c r="BE185" s="176"/>
      <c r="BF185" s="176"/>
      <c r="BG185" s="176"/>
      <c r="BH185" s="176"/>
      <c r="BI185" s="176"/>
      <c r="BJ185" s="176"/>
      <c r="BK185" s="176"/>
      <c r="BL185" s="176"/>
      <c r="BM185" s="176"/>
      <c r="BN185" s="176"/>
      <c r="BO185" s="176"/>
      <c r="BP185" s="176"/>
      <c r="BQ185" s="176"/>
      <c r="BR185" s="176"/>
      <c r="BS185" s="176"/>
      <c r="BT185" s="176"/>
      <c r="BU185" s="176"/>
      <c r="BV185" s="176"/>
      <c r="BW185" s="176"/>
      <c r="BX185" s="176"/>
      <c r="BY185" s="176"/>
      <c r="BZ185" s="176"/>
      <c r="CA185" s="176"/>
      <c r="CB185" s="176"/>
      <c r="CC185" s="176"/>
      <c r="CD185" s="176"/>
      <c r="CE185" s="176"/>
      <c r="CF185" s="176"/>
      <c r="CG185" s="176"/>
      <c r="CH185" s="176"/>
      <c r="CI185" s="176"/>
      <c r="CJ185" s="176"/>
      <c r="CK185" s="176"/>
      <c r="CL185" s="176"/>
      <c r="CM185" s="176"/>
      <c r="CN185" s="176"/>
      <c r="CO185" s="176"/>
      <c r="CP185" s="176"/>
      <c r="CQ185" s="176"/>
      <c r="CR185" s="176"/>
      <c r="CS185" s="176"/>
      <c r="CT185" s="176"/>
    </row>
    <row r="186" spans="1:98" s="178" customFormat="1" hidden="1" outlineLevel="1" x14ac:dyDescent="0.35">
      <c r="A186" s="188" t="s">
        <v>341</v>
      </c>
      <c r="B186" s="189" t="s">
        <v>342</v>
      </c>
      <c r="C186" s="189" t="str">
        <f t="shared" si="0"/>
        <v>FO Faroe Islands (the) CCC: 1,204</v>
      </c>
      <c r="D186" s="190">
        <v>1.204</v>
      </c>
      <c r="E186" s="188" t="s">
        <v>240</v>
      </c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76"/>
      <c r="BE186" s="176"/>
      <c r="BF186" s="176"/>
      <c r="BG186" s="176"/>
      <c r="BH186" s="176"/>
      <c r="BI186" s="176"/>
      <c r="BJ186" s="176"/>
      <c r="BK186" s="176"/>
      <c r="BL186" s="176"/>
      <c r="BM186" s="176"/>
      <c r="BN186" s="176"/>
      <c r="BO186" s="176"/>
      <c r="BP186" s="176"/>
      <c r="BQ186" s="176"/>
      <c r="BR186" s="176"/>
      <c r="BS186" s="176"/>
      <c r="BT186" s="176"/>
      <c r="BU186" s="176"/>
      <c r="BV186" s="176"/>
      <c r="BW186" s="176"/>
      <c r="BX186" s="176"/>
      <c r="BY186" s="176"/>
      <c r="BZ186" s="176"/>
      <c r="CA186" s="176"/>
      <c r="CB186" s="176"/>
      <c r="CC186" s="176"/>
      <c r="CD186" s="176"/>
      <c r="CE186" s="176"/>
      <c r="CF186" s="176"/>
      <c r="CG186" s="176"/>
      <c r="CH186" s="176"/>
      <c r="CI186" s="176"/>
      <c r="CJ186" s="176"/>
      <c r="CK186" s="176"/>
      <c r="CL186" s="176"/>
      <c r="CM186" s="176"/>
      <c r="CN186" s="176"/>
      <c r="CO186" s="176"/>
      <c r="CP186" s="176"/>
      <c r="CQ186" s="176"/>
      <c r="CR186" s="176"/>
      <c r="CS186" s="176"/>
      <c r="CT186" s="176"/>
    </row>
    <row r="187" spans="1:98" s="178" customFormat="1" hidden="1" outlineLevel="1" x14ac:dyDescent="0.35">
      <c r="A187" s="188" t="s">
        <v>343</v>
      </c>
      <c r="B187" s="189" t="s">
        <v>344</v>
      </c>
      <c r="C187" s="189" t="str">
        <f t="shared" si="0"/>
        <v>FJ Fiji CCC: 0,671</v>
      </c>
      <c r="D187" s="190">
        <v>0.67100000000000004</v>
      </c>
      <c r="E187" s="188" t="s">
        <v>243</v>
      </c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76"/>
      <c r="BE187" s="176"/>
      <c r="BF187" s="176"/>
      <c r="BG187" s="176"/>
      <c r="BH187" s="176"/>
      <c r="BI187" s="176"/>
      <c r="BJ187" s="176"/>
      <c r="BK187" s="176"/>
      <c r="BL187" s="176"/>
      <c r="BM187" s="176"/>
      <c r="BN187" s="176"/>
      <c r="BO187" s="176"/>
      <c r="BP187" s="176"/>
      <c r="BQ187" s="176"/>
      <c r="BR187" s="176"/>
      <c r="BS187" s="176"/>
      <c r="BT187" s="176"/>
      <c r="BU187" s="176"/>
      <c r="BV187" s="176"/>
      <c r="BW187" s="176"/>
      <c r="BX187" s="176"/>
      <c r="BY187" s="176"/>
      <c r="BZ187" s="176"/>
      <c r="CA187" s="176"/>
      <c r="CB187" s="176"/>
      <c r="CC187" s="176"/>
      <c r="CD187" s="176"/>
      <c r="CE187" s="176"/>
      <c r="CF187" s="176"/>
      <c r="CG187" s="176"/>
      <c r="CH187" s="176"/>
      <c r="CI187" s="176"/>
      <c r="CJ187" s="176"/>
      <c r="CK187" s="176"/>
      <c r="CL187" s="176"/>
      <c r="CM187" s="176"/>
      <c r="CN187" s="176"/>
      <c r="CO187" s="176"/>
      <c r="CP187" s="176"/>
      <c r="CQ187" s="176"/>
      <c r="CR187" s="176"/>
      <c r="CS187" s="176"/>
      <c r="CT187" s="176"/>
    </row>
    <row r="188" spans="1:98" s="178" customFormat="1" hidden="1" outlineLevel="1" x14ac:dyDescent="0.35">
      <c r="A188" s="188" t="s">
        <v>345</v>
      </c>
      <c r="B188" s="189" t="s">
        <v>346</v>
      </c>
      <c r="C188" s="189" t="str">
        <f t="shared" si="0"/>
        <v>FI Finland CCC: 1,09</v>
      </c>
      <c r="D188" s="190">
        <v>1.0900000000000001</v>
      </c>
      <c r="E188" s="188" t="s">
        <v>254</v>
      </c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76"/>
      <c r="BE188" s="176"/>
      <c r="BF188" s="176"/>
      <c r="BG188" s="176"/>
      <c r="BH188" s="176"/>
      <c r="BI188" s="176"/>
      <c r="BJ188" s="176"/>
      <c r="BK188" s="176"/>
      <c r="BL188" s="176"/>
      <c r="BM188" s="176"/>
      <c r="BN188" s="176"/>
      <c r="BO188" s="176"/>
      <c r="BP188" s="176"/>
      <c r="BQ188" s="176"/>
      <c r="BR188" s="176"/>
      <c r="BS188" s="176"/>
      <c r="BT188" s="176"/>
      <c r="BU188" s="176"/>
      <c r="BV188" s="176"/>
      <c r="BW188" s="176"/>
      <c r="BX188" s="176"/>
      <c r="BY188" s="176"/>
      <c r="BZ188" s="176"/>
      <c r="CA188" s="176"/>
      <c r="CB188" s="176"/>
      <c r="CC188" s="176"/>
      <c r="CD188" s="176"/>
      <c r="CE188" s="176"/>
      <c r="CF188" s="176"/>
      <c r="CG188" s="176"/>
      <c r="CH188" s="176"/>
      <c r="CI188" s="176"/>
      <c r="CJ188" s="176"/>
      <c r="CK188" s="176"/>
      <c r="CL188" s="176"/>
      <c r="CM188" s="176"/>
      <c r="CN188" s="176"/>
      <c r="CO188" s="176"/>
      <c r="CP188" s="176"/>
      <c r="CQ188" s="176"/>
      <c r="CR188" s="176"/>
      <c r="CS188" s="176"/>
      <c r="CT188" s="176"/>
    </row>
    <row r="189" spans="1:98" s="178" customFormat="1" hidden="1" outlineLevel="1" x14ac:dyDescent="0.35">
      <c r="A189" s="188" t="s">
        <v>347</v>
      </c>
      <c r="B189" s="189" t="s">
        <v>348</v>
      </c>
      <c r="C189" s="189" t="str">
        <f t="shared" si="0"/>
        <v>FR France CCC: 1,062</v>
      </c>
      <c r="D189" s="190">
        <v>1.0620000000000001</v>
      </c>
      <c r="E189" s="188" t="s">
        <v>254</v>
      </c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6"/>
      <c r="AT189" s="176"/>
      <c r="AU189" s="176"/>
      <c r="AV189" s="176"/>
      <c r="AW189" s="176"/>
      <c r="AX189" s="176"/>
      <c r="AY189" s="176"/>
      <c r="AZ189" s="176"/>
      <c r="BA189" s="176"/>
      <c r="BB189" s="176"/>
      <c r="BC189" s="176"/>
      <c r="BD189" s="176"/>
      <c r="BE189" s="176"/>
      <c r="BF189" s="176"/>
      <c r="BG189" s="176"/>
      <c r="BH189" s="176"/>
      <c r="BI189" s="176"/>
      <c r="BJ189" s="176"/>
      <c r="BK189" s="176"/>
      <c r="BL189" s="176"/>
      <c r="BM189" s="176"/>
      <c r="BN189" s="176"/>
      <c r="BO189" s="176"/>
      <c r="BP189" s="176"/>
      <c r="BQ189" s="176"/>
      <c r="BR189" s="176"/>
      <c r="BS189" s="176"/>
      <c r="BT189" s="176"/>
      <c r="BU189" s="176"/>
      <c r="BV189" s="176"/>
      <c r="BW189" s="176"/>
      <c r="BX189" s="176"/>
      <c r="BY189" s="176"/>
      <c r="BZ189" s="176"/>
      <c r="CA189" s="176"/>
      <c r="CB189" s="176"/>
      <c r="CC189" s="176"/>
      <c r="CD189" s="176"/>
      <c r="CE189" s="176"/>
      <c r="CF189" s="176"/>
      <c r="CG189" s="176"/>
      <c r="CH189" s="176"/>
      <c r="CI189" s="176"/>
      <c r="CJ189" s="176"/>
      <c r="CK189" s="176"/>
      <c r="CL189" s="176"/>
      <c r="CM189" s="176"/>
      <c r="CN189" s="176"/>
      <c r="CO189" s="176"/>
      <c r="CP189" s="176"/>
      <c r="CQ189" s="176"/>
      <c r="CR189" s="176"/>
      <c r="CS189" s="176"/>
      <c r="CT189" s="176"/>
    </row>
    <row r="190" spans="1:98" s="178" customFormat="1" hidden="1" outlineLevel="1" x14ac:dyDescent="0.35">
      <c r="A190" s="188" t="s">
        <v>349</v>
      </c>
      <c r="B190" s="189" t="s">
        <v>350</v>
      </c>
      <c r="C190" s="189" t="str">
        <f t="shared" si="0"/>
        <v>GA Gabon CCC: 0,984</v>
      </c>
      <c r="D190" s="190">
        <v>0.98399999999999999</v>
      </c>
      <c r="E190" s="188" t="s">
        <v>243</v>
      </c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6"/>
      <c r="AT190" s="176"/>
      <c r="AU190" s="176"/>
      <c r="AV190" s="176"/>
      <c r="AW190" s="176"/>
      <c r="AX190" s="176"/>
      <c r="AY190" s="176"/>
      <c r="AZ190" s="176"/>
      <c r="BA190" s="176"/>
      <c r="BB190" s="176"/>
      <c r="BC190" s="176"/>
      <c r="BD190" s="176"/>
      <c r="BE190" s="176"/>
      <c r="BF190" s="176"/>
      <c r="BG190" s="176"/>
      <c r="BH190" s="176"/>
      <c r="BI190" s="176"/>
      <c r="BJ190" s="176"/>
      <c r="BK190" s="176"/>
      <c r="BL190" s="176"/>
      <c r="BM190" s="176"/>
      <c r="BN190" s="176"/>
      <c r="BO190" s="176"/>
      <c r="BP190" s="176"/>
      <c r="BQ190" s="176"/>
      <c r="BR190" s="176"/>
      <c r="BS190" s="176"/>
      <c r="BT190" s="176"/>
      <c r="BU190" s="176"/>
      <c r="BV190" s="176"/>
      <c r="BW190" s="176"/>
      <c r="BX190" s="176"/>
      <c r="BY190" s="176"/>
      <c r="BZ190" s="176"/>
      <c r="CA190" s="176"/>
      <c r="CB190" s="176"/>
      <c r="CC190" s="176"/>
      <c r="CD190" s="176"/>
      <c r="CE190" s="176"/>
      <c r="CF190" s="176"/>
      <c r="CG190" s="176"/>
      <c r="CH190" s="176"/>
      <c r="CI190" s="176"/>
      <c r="CJ190" s="176"/>
      <c r="CK190" s="176"/>
      <c r="CL190" s="176"/>
      <c r="CM190" s="176"/>
      <c r="CN190" s="176"/>
      <c r="CO190" s="176"/>
      <c r="CP190" s="176"/>
      <c r="CQ190" s="176"/>
      <c r="CR190" s="176"/>
      <c r="CS190" s="176"/>
      <c r="CT190" s="176"/>
    </row>
    <row r="191" spans="1:98" s="178" customFormat="1" hidden="1" outlineLevel="1" x14ac:dyDescent="0.35">
      <c r="A191" s="188" t="s">
        <v>351</v>
      </c>
      <c r="B191" s="189" t="s">
        <v>352</v>
      </c>
      <c r="C191" s="189" t="str">
        <f t="shared" si="0"/>
        <v>GM Gambia (the) CCC: 0,628</v>
      </c>
      <c r="D191" s="190">
        <v>0.628</v>
      </c>
      <c r="E191" s="188" t="s">
        <v>243</v>
      </c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76"/>
      <c r="AT191" s="176"/>
      <c r="AU191" s="176"/>
      <c r="AV191" s="176"/>
      <c r="AW191" s="176"/>
      <c r="AX191" s="176"/>
      <c r="AY191" s="176"/>
      <c r="AZ191" s="176"/>
      <c r="BA191" s="176"/>
      <c r="BB191" s="176"/>
      <c r="BC191" s="176"/>
      <c r="BD191" s="176"/>
      <c r="BE191" s="176"/>
      <c r="BF191" s="176"/>
      <c r="BG191" s="176"/>
      <c r="BH191" s="176"/>
      <c r="BI191" s="176"/>
      <c r="BJ191" s="176"/>
      <c r="BK191" s="176"/>
      <c r="BL191" s="176"/>
      <c r="BM191" s="176"/>
      <c r="BN191" s="176"/>
      <c r="BO191" s="176"/>
      <c r="BP191" s="176"/>
      <c r="BQ191" s="176"/>
      <c r="BR191" s="176"/>
      <c r="BS191" s="176"/>
      <c r="BT191" s="176"/>
      <c r="BU191" s="176"/>
      <c r="BV191" s="176"/>
      <c r="BW191" s="176"/>
      <c r="BX191" s="176"/>
      <c r="BY191" s="176"/>
      <c r="BZ191" s="176"/>
      <c r="CA191" s="176"/>
      <c r="CB191" s="176"/>
      <c r="CC191" s="176"/>
      <c r="CD191" s="176"/>
      <c r="CE191" s="176"/>
      <c r="CF191" s="176"/>
      <c r="CG191" s="176"/>
      <c r="CH191" s="176"/>
      <c r="CI191" s="176"/>
      <c r="CJ191" s="176"/>
      <c r="CK191" s="176"/>
      <c r="CL191" s="176"/>
      <c r="CM191" s="176"/>
      <c r="CN191" s="176"/>
      <c r="CO191" s="176"/>
      <c r="CP191" s="176"/>
      <c r="CQ191" s="176"/>
      <c r="CR191" s="176"/>
      <c r="CS191" s="176"/>
      <c r="CT191" s="176"/>
    </row>
    <row r="192" spans="1:98" s="178" customFormat="1" hidden="1" outlineLevel="1" x14ac:dyDescent="0.35">
      <c r="A192" s="188" t="s">
        <v>353</v>
      </c>
      <c r="B192" s="189" t="s">
        <v>354</v>
      </c>
      <c r="C192" s="189" t="str">
        <f t="shared" si="0"/>
        <v>GE Georgia CCC: 0,568</v>
      </c>
      <c r="D192" s="190">
        <v>0.56799999999999995</v>
      </c>
      <c r="E192" s="188" t="s">
        <v>240</v>
      </c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76"/>
      <c r="BE192" s="176"/>
      <c r="BF192" s="176"/>
      <c r="BG192" s="176"/>
      <c r="BH192" s="176"/>
      <c r="BI192" s="176"/>
      <c r="BJ192" s="176"/>
      <c r="BK192" s="176"/>
      <c r="BL192" s="176"/>
      <c r="BM192" s="176"/>
      <c r="BN192" s="176"/>
      <c r="BO192" s="176"/>
      <c r="BP192" s="176"/>
      <c r="BQ192" s="176"/>
      <c r="BR192" s="176"/>
      <c r="BS192" s="176"/>
      <c r="BT192" s="176"/>
      <c r="BU192" s="176"/>
      <c r="BV192" s="176"/>
      <c r="BW192" s="176"/>
      <c r="BX192" s="176"/>
      <c r="BY192" s="176"/>
      <c r="BZ192" s="176"/>
      <c r="CA192" s="176"/>
      <c r="CB192" s="176"/>
      <c r="CC192" s="176"/>
      <c r="CD192" s="176"/>
      <c r="CE192" s="176"/>
      <c r="CF192" s="176"/>
      <c r="CG192" s="176"/>
      <c r="CH192" s="176"/>
      <c r="CI192" s="176"/>
      <c r="CJ192" s="176"/>
      <c r="CK192" s="176"/>
      <c r="CL192" s="176"/>
      <c r="CM192" s="176"/>
      <c r="CN192" s="176"/>
      <c r="CO192" s="176"/>
      <c r="CP192" s="176"/>
      <c r="CQ192" s="176"/>
      <c r="CR192" s="176"/>
      <c r="CS192" s="176"/>
      <c r="CT192" s="176"/>
    </row>
    <row r="193" spans="1:98" s="178" customFormat="1" hidden="1" outlineLevel="1" x14ac:dyDescent="0.35">
      <c r="A193" s="188" t="s">
        <v>355</v>
      </c>
      <c r="B193" s="189" t="s">
        <v>356</v>
      </c>
      <c r="C193" s="189" t="str">
        <f t="shared" si="0"/>
        <v>DE Germany CCC: 0,897</v>
      </c>
      <c r="D193" s="190">
        <v>0.89700000000000002</v>
      </c>
      <c r="E193" s="188" t="s">
        <v>254</v>
      </c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76"/>
      <c r="BE193" s="176"/>
      <c r="BF193" s="176"/>
      <c r="BG193" s="176"/>
      <c r="BH193" s="176"/>
      <c r="BI193" s="176"/>
      <c r="BJ193" s="176"/>
      <c r="BK193" s="176"/>
      <c r="BL193" s="176"/>
      <c r="BM193" s="176"/>
      <c r="BN193" s="176"/>
      <c r="BO193" s="176"/>
      <c r="BP193" s="176"/>
      <c r="BQ193" s="176"/>
      <c r="BR193" s="176"/>
      <c r="BS193" s="176"/>
      <c r="BT193" s="176"/>
      <c r="BU193" s="176"/>
      <c r="BV193" s="176"/>
      <c r="BW193" s="176"/>
      <c r="BX193" s="176"/>
      <c r="BY193" s="176"/>
      <c r="BZ193" s="176"/>
      <c r="CA193" s="176"/>
      <c r="CB193" s="176"/>
      <c r="CC193" s="176"/>
      <c r="CD193" s="176"/>
      <c r="CE193" s="176"/>
      <c r="CF193" s="176"/>
      <c r="CG193" s="176"/>
      <c r="CH193" s="176"/>
      <c r="CI193" s="176"/>
      <c r="CJ193" s="176"/>
      <c r="CK193" s="176"/>
      <c r="CL193" s="176"/>
      <c r="CM193" s="176"/>
      <c r="CN193" s="176"/>
      <c r="CO193" s="176"/>
      <c r="CP193" s="176"/>
      <c r="CQ193" s="176"/>
      <c r="CR193" s="176"/>
      <c r="CS193" s="176"/>
      <c r="CT193" s="176"/>
    </row>
    <row r="194" spans="1:98" s="178" customFormat="1" hidden="1" outlineLevel="1" x14ac:dyDescent="0.35">
      <c r="A194" s="188" t="s">
        <v>357</v>
      </c>
      <c r="B194" s="189" t="s">
        <v>358</v>
      </c>
      <c r="C194" s="189" t="str">
        <f t="shared" si="0"/>
        <v>GH Ghana CCC: 0,674</v>
      </c>
      <c r="D194" s="190">
        <v>0.67400000000000004</v>
      </c>
      <c r="E194" s="188" t="s">
        <v>243</v>
      </c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176"/>
      <c r="AV194" s="176"/>
      <c r="AW194" s="176"/>
      <c r="AX194" s="176"/>
      <c r="AY194" s="176"/>
      <c r="AZ194" s="176"/>
      <c r="BA194" s="176"/>
      <c r="BB194" s="176"/>
      <c r="BC194" s="176"/>
      <c r="BD194" s="176"/>
      <c r="BE194" s="176"/>
      <c r="BF194" s="176"/>
      <c r="BG194" s="176"/>
      <c r="BH194" s="176"/>
      <c r="BI194" s="176"/>
      <c r="BJ194" s="176"/>
      <c r="BK194" s="176"/>
      <c r="BL194" s="176"/>
      <c r="BM194" s="176"/>
      <c r="BN194" s="176"/>
      <c r="BO194" s="176"/>
      <c r="BP194" s="176"/>
      <c r="BQ194" s="176"/>
      <c r="BR194" s="176"/>
      <c r="BS194" s="176"/>
      <c r="BT194" s="176"/>
      <c r="BU194" s="176"/>
      <c r="BV194" s="176"/>
      <c r="BW194" s="176"/>
      <c r="BX194" s="176"/>
      <c r="BY194" s="176"/>
      <c r="BZ194" s="176"/>
      <c r="CA194" s="176"/>
      <c r="CB194" s="176"/>
      <c r="CC194" s="176"/>
      <c r="CD194" s="176"/>
      <c r="CE194" s="176"/>
      <c r="CF194" s="176"/>
      <c r="CG194" s="176"/>
      <c r="CH194" s="176"/>
      <c r="CI194" s="176"/>
      <c r="CJ194" s="176"/>
      <c r="CK194" s="176"/>
      <c r="CL194" s="176"/>
      <c r="CM194" s="176"/>
      <c r="CN194" s="176"/>
      <c r="CO194" s="176"/>
      <c r="CP194" s="176"/>
      <c r="CQ194" s="176"/>
      <c r="CR194" s="176"/>
      <c r="CS194" s="176"/>
      <c r="CT194" s="176"/>
    </row>
    <row r="195" spans="1:98" s="178" customFormat="1" hidden="1" outlineLevel="1" x14ac:dyDescent="0.35">
      <c r="A195" s="188" t="s">
        <v>359</v>
      </c>
      <c r="B195" s="189" t="s">
        <v>360</v>
      </c>
      <c r="C195" s="189" t="str">
        <f t="shared" si="0"/>
        <v>GT Guatemala CCC: 0,797</v>
      </c>
      <c r="D195" s="190">
        <v>0.79700000000000004</v>
      </c>
      <c r="E195" s="188" t="s">
        <v>243</v>
      </c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  <c r="AA195" s="176"/>
      <c r="AB195" s="176"/>
      <c r="AC195" s="176"/>
      <c r="AD195" s="176"/>
      <c r="AE195" s="176"/>
      <c r="AF195" s="176"/>
      <c r="AG195" s="176"/>
      <c r="AH195" s="176"/>
      <c r="AI195" s="176"/>
      <c r="AJ195" s="176"/>
      <c r="AK195" s="176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176"/>
      <c r="AV195" s="176"/>
      <c r="AW195" s="176"/>
      <c r="AX195" s="176"/>
      <c r="AY195" s="176"/>
      <c r="AZ195" s="176"/>
      <c r="BA195" s="176"/>
      <c r="BB195" s="176"/>
      <c r="BC195" s="176"/>
      <c r="BD195" s="176"/>
      <c r="BE195" s="176"/>
      <c r="BF195" s="176"/>
      <c r="BG195" s="176"/>
      <c r="BH195" s="176"/>
      <c r="BI195" s="176"/>
      <c r="BJ195" s="176"/>
      <c r="BK195" s="176"/>
      <c r="BL195" s="176"/>
      <c r="BM195" s="176"/>
      <c r="BN195" s="176"/>
      <c r="BO195" s="176"/>
      <c r="BP195" s="176"/>
      <c r="BQ195" s="176"/>
      <c r="BR195" s="176"/>
      <c r="BS195" s="176"/>
      <c r="BT195" s="176"/>
      <c r="BU195" s="176"/>
      <c r="BV195" s="176"/>
      <c r="BW195" s="176"/>
      <c r="BX195" s="176"/>
      <c r="BY195" s="176"/>
      <c r="BZ195" s="176"/>
      <c r="CA195" s="176"/>
      <c r="CB195" s="176"/>
      <c r="CC195" s="176"/>
      <c r="CD195" s="176"/>
      <c r="CE195" s="176"/>
      <c r="CF195" s="176"/>
      <c r="CG195" s="176"/>
      <c r="CH195" s="176"/>
      <c r="CI195" s="176"/>
      <c r="CJ195" s="176"/>
      <c r="CK195" s="176"/>
      <c r="CL195" s="176"/>
      <c r="CM195" s="176"/>
      <c r="CN195" s="176"/>
      <c r="CO195" s="176"/>
      <c r="CP195" s="176"/>
      <c r="CQ195" s="176"/>
      <c r="CR195" s="176"/>
      <c r="CS195" s="176"/>
      <c r="CT195" s="176"/>
    </row>
    <row r="196" spans="1:98" s="178" customFormat="1" hidden="1" outlineLevel="1" x14ac:dyDescent="0.35">
      <c r="A196" s="188" t="s">
        <v>361</v>
      </c>
      <c r="B196" s="189" t="s">
        <v>362</v>
      </c>
      <c r="C196" s="189" t="str">
        <f t="shared" si="0"/>
        <v>GN Guinea CCC: 0,768</v>
      </c>
      <c r="D196" s="190">
        <v>0.76800000000000002</v>
      </c>
      <c r="E196" s="188" t="s">
        <v>243</v>
      </c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  <c r="AA196" s="176"/>
      <c r="AB196" s="176"/>
      <c r="AC196" s="176"/>
      <c r="AD196" s="176"/>
      <c r="AE196" s="176"/>
      <c r="AF196" s="176"/>
      <c r="AG196" s="176"/>
      <c r="AH196" s="176"/>
      <c r="AI196" s="176"/>
      <c r="AJ196" s="176"/>
      <c r="AK196" s="176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76"/>
      <c r="BE196" s="176"/>
      <c r="BF196" s="176"/>
      <c r="BG196" s="176"/>
      <c r="BH196" s="176"/>
      <c r="BI196" s="176"/>
      <c r="BJ196" s="176"/>
      <c r="BK196" s="176"/>
      <c r="BL196" s="176"/>
      <c r="BM196" s="176"/>
      <c r="BN196" s="176"/>
      <c r="BO196" s="176"/>
      <c r="BP196" s="176"/>
      <c r="BQ196" s="176"/>
      <c r="BR196" s="176"/>
      <c r="BS196" s="176"/>
      <c r="BT196" s="176"/>
      <c r="BU196" s="176"/>
      <c r="BV196" s="176"/>
      <c r="BW196" s="176"/>
      <c r="BX196" s="176"/>
      <c r="BY196" s="176"/>
      <c r="BZ196" s="176"/>
      <c r="CA196" s="176"/>
      <c r="CB196" s="176"/>
      <c r="CC196" s="176"/>
      <c r="CD196" s="176"/>
      <c r="CE196" s="176"/>
      <c r="CF196" s="176"/>
      <c r="CG196" s="176"/>
      <c r="CH196" s="176"/>
      <c r="CI196" s="176"/>
      <c r="CJ196" s="176"/>
      <c r="CK196" s="176"/>
      <c r="CL196" s="176"/>
      <c r="CM196" s="176"/>
      <c r="CN196" s="176"/>
      <c r="CO196" s="176"/>
      <c r="CP196" s="176"/>
      <c r="CQ196" s="176"/>
      <c r="CR196" s="176"/>
      <c r="CS196" s="176"/>
      <c r="CT196" s="176"/>
    </row>
    <row r="197" spans="1:98" s="178" customFormat="1" hidden="1" outlineLevel="1" x14ac:dyDescent="0.35">
      <c r="A197" s="188" t="s">
        <v>363</v>
      </c>
      <c r="B197" s="189" t="s">
        <v>364</v>
      </c>
      <c r="C197" s="189" t="str">
        <f t="shared" si="0"/>
        <v>GW Guinea-Bissau CCC: 0,747</v>
      </c>
      <c r="D197" s="190">
        <v>0.747</v>
      </c>
      <c r="E197" s="188" t="s">
        <v>243</v>
      </c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176"/>
      <c r="BG197" s="176"/>
      <c r="BH197" s="176"/>
      <c r="BI197" s="176"/>
      <c r="BJ197" s="176"/>
      <c r="BK197" s="176"/>
      <c r="BL197" s="176"/>
      <c r="BM197" s="176"/>
      <c r="BN197" s="176"/>
      <c r="BO197" s="176"/>
      <c r="BP197" s="176"/>
      <c r="BQ197" s="176"/>
      <c r="BR197" s="176"/>
      <c r="BS197" s="176"/>
      <c r="BT197" s="176"/>
      <c r="BU197" s="176"/>
      <c r="BV197" s="176"/>
      <c r="BW197" s="176"/>
      <c r="BX197" s="176"/>
      <c r="BY197" s="176"/>
      <c r="BZ197" s="176"/>
      <c r="CA197" s="176"/>
      <c r="CB197" s="176"/>
      <c r="CC197" s="176"/>
      <c r="CD197" s="176"/>
      <c r="CE197" s="176"/>
      <c r="CF197" s="176"/>
      <c r="CG197" s="176"/>
      <c r="CH197" s="176"/>
      <c r="CI197" s="176"/>
      <c r="CJ197" s="176"/>
      <c r="CK197" s="176"/>
      <c r="CL197" s="176"/>
      <c r="CM197" s="176"/>
      <c r="CN197" s="176"/>
      <c r="CO197" s="176"/>
      <c r="CP197" s="176"/>
      <c r="CQ197" s="176"/>
      <c r="CR197" s="176"/>
      <c r="CS197" s="176"/>
      <c r="CT197" s="176"/>
    </row>
    <row r="198" spans="1:98" s="178" customFormat="1" hidden="1" outlineLevel="1" x14ac:dyDescent="0.35">
      <c r="A198" s="188" t="s">
        <v>365</v>
      </c>
      <c r="B198" s="189" t="s">
        <v>366</v>
      </c>
      <c r="C198" s="189" t="str">
        <f t="shared" si="0"/>
        <v>GY Guyana CCC: 0,654</v>
      </c>
      <c r="D198" s="190">
        <v>0.65400000000000003</v>
      </c>
      <c r="E198" s="188" t="s">
        <v>243</v>
      </c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176"/>
      <c r="BG198" s="176"/>
      <c r="BH198" s="176"/>
      <c r="BI198" s="176"/>
      <c r="BJ198" s="176"/>
      <c r="BK198" s="176"/>
      <c r="BL198" s="176"/>
      <c r="BM198" s="176"/>
      <c r="BN198" s="176"/>
      <c r="BO198" s="176"/>
      <c r="BP198" s="176"/>
      <c r="BQ198" s="176"/>
      <c r="BR198" s="176"/>
      <c r="BS198" s="176"/>
      <c r="BT198" s="176"/>
      <c r="BU198" s="176"/>
      <c r="BV198" s="176"/>
      <c r="BW198" s="176"/>
      <c r="BX198" s="176"/>
      <c r="BY198" s="176"/>
      <c r="BZ198" s="176"/>
      <c r="CA198" s="176"/>
      <c r="CB198" s="176"/>
      <c r="CC198" s="176"/>
      <c r="CD198" s="176"/>
      <c r="CE198" s="176"/>
      <c r="CF198" s="176"/>
      <c r="CG198" s="176"/>
      <c r="CH198" s="176"/>
      <c r="CI198" s="176"/>
      <c r="CJ198" s="176"/>
      <c r="CK198" s="176"/>
      <c r="CL198" s="176"/>
      <c r="CM198" s="176"/>
      <c r="CN198" s="176"/>
      <c r="CO198" s="176"/>
      <c r="CP198" s="176"/>
      <c r="CQ198" s="176"/>
      <c r="CR198" s="176"/>
      <c r="CS198" s="176"/>
      <c r="CT198" s="176"/>
    </row>
    <row r="199" spans="1:98" s="178" customFormat="1" hidden="1" outlineLevel="1" x14ac:dyDescent="0.35">
      <c r="A199" s="188" t="s">
        <v>367</v>
      </c>
      <c r="B199" s="189" t="s">
        <v>368</v>
      </c>
      <c r="C199" s="189" t="str">
        <f t="shared" si="0"/>
        <v>HT Haiti CCC: 0,776</v>
      </c>
      <c r="D199" s="190">
        <v>0.77600000000000002</v>
      </c>
      <c r="E199" s="188" t="s">
        <v>243</v>
      </c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176"/>
      <c r="BG199" s="176"/>
      <c r="BH199" s="176"/>
      <c r="BI199" s="176"/>
      <c r="BJ199" s="176"/>
      <c r="BK199" s="176"/>
      <c r="BL199" s="176"/>
      <c r="BM199" s="176"/>
      <c r="BN199" s="176"/>
      <c r="BO199" s="176"/>
      <c r="BP199" s="176"/>
      <c r="BQ199" s="176"/>
      <c r="BR199" s="176"/>
      <c r="BS199" s="176"/>
      <c r="BT199" s="176"/>
      <c r="BU199" s="176"/>
      <c r="BV199" s="176"/>
      <c r="BW199" s="176"/>
      <c r="BX199" s="176"/>
      <c r="BY199" s="176"/>
      <c r="BZ199" s="176"/>
      <c r="CA199" s="176"/>
      <c r="CB199" s="176"/>
      <c r="CC199" s="176"/>
      <c r="CD199" s="176"/>
      <c r="CE199" s="176"/>
      <c r="CF199" s="176"/>
      <c r="CG199" s="176"/>
      <c r="CH199" s="176"/>
      <c r="CI199" s="176"/>
      <c r="CJ199" s="176"/>
      <c r="CK199" s="176"/>
      <c r="CL199" s="176"/>
      <c r="CM199" s="176"/>
      <c r="CN199" s="176"/>
      <c r="CO199" s="176"/>
      <c r="CP199" s="176"/>
      <c r="CQ199" s="176"/>
      <c r="CR199" s="176"/>
      <c r="CS199" s="176"/>
      <c r="CT199" s="176"/>
    </row>
    <row r="200" spans="1:98" s="178" customFormat="1" hidden="1" outlineLevel="1" x14ac:dyDescent="0.35">
      <c r="A200" s="188" t="s">
        <v>369</v>
      </c>
      <c r="B200" s="189" t="s">
        <v>370</v>
      </c>
      <c r="C200" s="189" t="str">
        <f t="shared" ref="C200:C263" si="1">A200&amp;" "&amp;B200&amp;" "&amp;"CCC: "&amp;D200</f>
        <v>HN Honduras CCC: 0,706</v>
      </c>
      <c r="D200" s="190">
        <v>0.70599999999999996</v>
      </c>
      <c r="E200" s="188" t="s">
        <v>243</v>
      </c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76"/>
      <c r="BE200" s="176"/>
      <c r="BF200" s="176"/>
      <c r="BG200" s="176"/>
      <c r="BH200" s="176"/>
      <c r="BI200" s="176"/>
      <c r="BJ200" s="176"/>
      <c r="BK200" s="176"/>
      <c r="BL200" s="176"/>
      <c r="BM200" s="176"/>
      <c r="BN200" s="176"/>
      <c r="BO200" s="176"/>
      <c r="BP200" s="176"/>
      <c r="BQ200" s="176"/>
      <c r="BR200" s="176"/>
      <c r="BS200" s="176"/>
      <c r="BT200" s="176"/>
      <c r="BU200" s="176"/>
      <c r="BV200" s="176"/>
      <c r="BW200" s="176"/>
      <c r="BX200" s="176"/>
      <c r="BY200" s="176"/>
      <c r="BZ200" s="176"/>
      <c r="CA200" s="176"/>
      <c r="CB200" s="176"/>
      <c r="CC200" s="176"/>
      <c r="CD200" s="176"/>
      <c r="CE200" s="176"/>
      <c r="CF200" s="176"/>
      <c r="CG200" s="176"/>
      <c r="CH200" s="176"/>
      <c r="CI200" s="176"/>
      <c r="CJ200" s="176"/>
      <c r="CK200" s="176"/>
      <c r="CL200" s="176"/>
      <c r="CM200" s="176"/>
      <c r="CN200" s="176"/>
      <c r="CO200" s="176"/>
      <c r="CP200" s="176"/>
      <c r="CQ200" s="176"/>
      <c r="CR200" s="176"/>
      <c r="CS200" s="176"/>
      <c r="CT200" s="176"/>
    </row>
    <row r="201" spans="1:98" s="178" customFormat="1" hidden="1" outlineLevel="1" x14ac:dyDescent="0.35">
      <c r="A201" s="188" t="s">
        <v>371</v>
      </c>
      <c r="B201" s="189" t="s">
        <v>372</v>
      </c>
      <c r="C201" s="189" t="str">
        <f t="shared" si="1"/>
        <v>HK Hong Kong CCC: 1,053</v>
      </c>
      <c r="D201" s="190">
        <v>1.0529999999999999</v>
      </c>
      <c r="E201" s="188" t="s">
        <v>243</v>
      </c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76"/>
      <c r="BE201" s="176"/>
      <c r="BF201" s="176"/>
      <c r="BG201" s="176"/>
      <c r="BH201" s="176"/>
      <c r="BI201" s="176"/>
      <c r="BJ201" s="176"/>
      <c r="BK201" s="176"/>
      <c r="BL201" s="176"/>
      <c r="BM201" s="176"/>
      <c r="BN201" s="176"/>
      <c r="BO201" s="176"/>
      <c r="BP201" s="176"/>
      <c r="BQ201" s="176"/>
      <c r="BR201" s="176"/>
      <c r="BS201" s="176"/>
      <c r="BT201" s="176"/>
      <c r="BU201" s="176"/>
      <c r="BV201" s="176"/>
      <c r="BW201" s="176"/>
      <c r="BX201" s="176"/>
      <c r="BY201" s="176"/>
      <c r="BZ201" s="176"/>
      <c r="CA201" s="176"/>
      <c r="CB201" s="176"/>
      <c r="CC201" s="176"/>
      <c r="CD201" s="176"/>
      <c r="CE201" s="176"/>
      <c r="CF201" s="176"/>
      <c r="CG201" s="176"/>
      <c r="CH201" s="176"/>
      <c r="CI201" s="176"/>
      <c r="CJ201" s="176"/>
      <c r="CK201" s="176"/>
      <c r="CL201" s="176"/>
      <c r="CM201" s="176"/>
      <c r="CN201" s="176"/>
      <c r="CO201" s="176"/>
      <c r="CP201" s="176"/>
      <c r="CQ201" s="176"/>
      <c r="CR201" s="176"/>
      <c r="CS201" s="176"/>
      <c r="CT201" s="176"/>
    </row>
    <row r="202" spans="1:98" s="178" customFormat="1" hidden="1" outlineLevel="1" x14ac:dyDescent="0.35">
      <c r="A202" s="188" t="s">
        <v>373</v>
      </c>
      <c r="B202" s="189" t="s">
        <v>374</v>
      </c>
      <c r="C202" s="189" t="str">
        <f t="shared" si="1"/>
        <v>HU Hungary CCC: 0,657</v>
      </c>
      <c r="D202" s="190">
        <v>0.65700000000000003</v>
      </c>
      <c r="E202" s="188" t="s">
        <v>254</v>
      </c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176"/>
      <c r="BG202" s="176"/>
      <c r="BH202" s="176"/>
      <c r="BI202" s="176"/>
      <c r="BJ202" s="176"/>
      <c r="BK202" s="176"/>
      <c r="BL202" s="176"/>
      <c r="BM202" s="176"/>
      <c r="BN202" s="176"/>
      <c r="BO202" s="176"/>
      <c r="BP202" s="176"/>
      <c r="BQ202" s="176"/>
      <c r="BR202" s="176"/>
      <c r="BS202" s="176"/>
      <c r="BT202" s="176"/>
      <c r="BU202" s="176"/>
      <c r="BV202" s="176"/>
      <c r="BW202" s="176"/>
      <c r="BX202" s="176"/>
      <c r="BY202" s="176"/>
      <c r="BZ202" s="176"/>
      <c r="CA202" s="176"/>
      <c r="CB202" s="176"/>
      <c r="CC202" s="176"/>
      <c r="CD202" s="176"/>
      <c r="CE202" s="176"/>
      <c r="CF202" s="176"/>
      <c r="CG202" s="176"/>
      <c r="CH202" s="176"/>
      <c r="CI202" s="176"/>
      <c r="CJ202" s="176"/>
      <c r="CK202" s="176"/>
      <c r="CL202" s="176"/>
      <c r="CM202" s="176"/>
      <c r="CN202" s="176"/>
      <c r="CO202" s="176"/>
      <c r="CP202" s="176"/>
      <c r="CQ202" s="176"/>
      <c r="CR202" s="176"/>
      <c r="CS202" s="176"/>
      <c r="CT202" s="176"/>
    </row>
    <row r="203" spans="1:98" s="178" customFormat="1" hidden="1" outlineLevel="1" x14ac:dyDescent="0.35">
      <c r="A203" s="188" t="s">
        <v>375</v>
      </c>
      <c r="B203" s="189" t="s">
        <v>376</v>
      </c>
      <c r="C203" s="189" t="str">
        <f t="shared" si="1"/>
        <v>IS Iceland CCC: 1,191</v>
      </c>
      <c r="D203" s="190">
        <v>1.1910000000000001</v>
      </c>
      <c r="E203" s="188" t="s">
        <v>240</v>
      </c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176"/>
      <c r="BG203" s="176"/>
      <c r="BH203" s="176"/>
      <c r="BI203" s="176"/>
      <c r="BJ203" s="176"/>
      <c r="BK203" s="176"/>
      <c r="BL203" s="176"/>
      <c r="BM203" s="176"/>
      <c r="BN203" s="176"/>
      <c r="BO203" s="176"/>
      <c r="BP203" s="176"/>
      <c r="BQ203" s="176"/>
      <c r="BR203" s="176"/>
      <c r="BS203" s="176"/>
      <c r="BT203" s="176"/>
      <c r="BU203" s="176"/>
      <c r="BV203" s="176"/>
      <c r="BW203" s="176"/>
      <c r="BX203" s="176"/>
      <c r="BY203" s="176"/>
      <c r="BZ203" s="176"/>
      <c r="CA203" s="176"/>
      <c r="CB203" s="176"/>
      <c r="CC203" s="176"/>
      <c r="CD203" s="176"/>
      <c r="CE203" s="176"/>
      <c r="CF203" s="176"/>
      <c r="CG203" s="176"/>
      <c r="CH203" s="176"/>
      <c r="CI203" s="176"/>
      <c r="CJ203" s="176"/>
      <c r="CK203" s="176"/>
      <c r="CL203" s="176"/>
      <c r="CM203" s="176"/>
      <c r="CN203" s="176"/>
      <c r="CO203" s="176"/>
      <c r="CP203" s="176"/>
      <c r="CQ203" s="176"/>
      <c r="CR203" s="176"/>
      <c r="CS203" s="176"/>
      <c r="CT203" s="176"/>
    </row>
    <row r="204" spans="1:98" s="178" customFormat="1" hidden="1" outlineLevel="1" x14ac:dyDescent="0.35">
      <c r="A204" s="188" t="s">
        <v>377</v>
      </c>
      <c r="B204" s="189" t="s">
        <v>378</v>
      </c>
      <c r="C204" s="189" t="str">
        <f t="shared" si="1"/>
        <v>IN India CCC: 0,673</v>
      </c>
      <c r="D204" s="190">
        <v>0.67300000000000004</v>
      </c>
      <c r="E204" s="188" t="s">
        <v>243</v>
      </c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6"/>
      <c r="BN204" s="176"/>
      <c r="BO204" s="176"/>
      <c r="BP204" s="176"/>
      <c r="BQ204" s="176"/>
      <c r="BR204" s="176"/>
      <c r="BS204" s="176"/>
      <c r="BT204" s="176"/>
      <c r="BU204" s="176"/>
      <c r="BV204" s="176"/>
      <c r="BW204" s="176"/>
      <c r="BX204" s="176"/>
      <c r="BY204" s="176"/>
      <c r="BZ204" s="176"/>
      <c r="CA204" s="176"/>
      <c r="CB204" s="176"/>
      <c r="CC204" s="176"/>
      <c r="CD204" s="176"/>
      <c r="CE204" s="176"/>
      <c r="CF204" s="176"/>
      <c r="CG204" s="176"/>
      <c r="CH204" s="176"/>
      <c r="CI204" s="176"/>
      <c r="CJ204" s="176"/>
      <c r="CK204" s="176"/>
      <c r="CL204" s="176"/>
      <c r="CM204" s="176"/>
      <c r="CN204" s="176"/>
      <c r="CO204" s="176"/>
      <c r="CP204" s="176"/>
      <c r="CQ204" s="176"/>
      <c r="CR204" s="176"/>
      <c r="CS204" s="176"/>
      <c r="CT204" s="176"/>
    </row>
    <row r="205" spans="1:98" s="178" customFormat="1" hidden="1" outlineLevel="1" x14ac:dyDescent="0.35">
      <c r="A205" s="188" t="s">
        <v>379</v>
      </c>
      <c r="B205" s="189" t="s">
        <v>380</v>
      </c>
      <c r="C205" s="189" t="str">
        <f t="shared" si="1"/>
        <v>ID Indonesia CCC: 0,666</v>
      </c>
      <c r="D205" s="190">
        <v>0.66600000000000004</v>
      </c>
      <c r="E205" s="188" t="s">
        <v>243</v>
      </c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76"/>
      <c r="AY205" s="176"/>
      <c r="AZ205" s="176"/>
      <c r="BA205" s="176"/>
      <c r="BB205" s="176"/>
      <c r="BC205" s="176"/>
      <c r="BD205" s="176"/>
      <c r="BE205" s="176"/>
      <c r="BF205" s="176"/>
      <c r="BG205" s="176"/>
      <c r="BH205" s="176"/>
      <c r="BI205" s="176"/>
      <c r="BJ205" s="176"/>
      <c r="BK205" s="176"/>
      <c r="BL205" s="176"/>
      <c r="BM205" s="176"/>
      <c r="BN205" s="176"/>
      <c r="BO205" s="176"/>
      <c r="BP205" s="176"/>
      <c r="BQ205" s="176"/>
      <c r="BR205" s="176"/>
      <c r="BS205" s="176"/>
      <c r="BT205" s="176"/>
      <c r="BU205" s="176"/>
      <c r="BV205" s="176"/>
      <c r="BW205" s="176"/>
      <c r="BX205" s="176"/>
      <c r="BY205" s="176"/>
      <c r="BZ205" s="176"/>
      <c r="CA205" s="176"/>
      <c r="CB205" s="176"/>
      <c r="CC205" s="176"/>
      <c r="CD205" s="176"/>
      <c r="CE205" s="176"/>
      <c r="CF205" s="176"/>
      <c r="CG205" s="176"/>
      <c r="CH205" s="176"/>
      <c r="CI205" s="176"/>
      <c r="CJ205" s="176"/>
      <c r="CK205" s="176"/>
      <c r="CL205" s="176"/>
      <c r="CM205" s="176"/>
      <c r="CN205" s="176"/>
      <c r="CO205" s="176"/>
      <c r="CP205" s="176"/>
      <c r="CQ205" s="176"/>
      <c r="CR205" s="176"/>
      <c r="CS205" s="176"/>
      <c r="CT205" s="176"/>
    </row>
    <row r="206" spans="1:98" s="178" customFormat="1" hidden="1" outlineLevel="1" x14ac:dyDescent="0.35">
      <c r="A206" s="188" t="s">
        <v>381</v>
      </c>
      <c r="B206" s="189" t="s">
        <v>382</v>
      </c>
      <c r="C206" s="189" t="str">
        <f t="shared" si="1"/>
        <v>IE Ireland CCC: 1,09</v>
      </c>
      <c r="D206" s="190">
        <v>1.0900000000000001</v>
      </c>
      <c r="E206" s="188" t="s">
        <v>254</v>
      </c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76"/>
      <c r="AY206" s="176"/>
      <c r="AZ206" s="176"/>
      <c r="BA206" s="176"/>
      <c r="BB206" s="176"/>
      <c r="BC206" s="176"/>
      <c r="BD206" s="176"/>
      <c r="BE206" s="176"/>
      <c r="BF206" s="176"/>
      <c r="BG206" s="176"/>
      <c r="BH206" s="176"/>
      <c r="BI206" s="176"/>
      <c r="BJ206" s="176"/>
      <c r="BK206" s="176"/>
      <c r="BL206" s="176"/>
      <c r="BM206" s="176"/>
      <c r="BN206" s="176"/>
      <c r="BO206" s="176"/>
      <c r="BP206" s="176"/>
      <c r="BQ206" s="176"/>
      <c r="BR206" s="176"/>
      <c r="BS206" s="176"/>
      <c r="BT206" s="176"/>
      <c r="BU206" s="176"/>
      <c r="BV206" s="176"/>
      <c r="BW206" s="176"/>
      <c r="BX206" s="176"/>
      <c r="BY206" s="176"/>
      <c r="BZ206" s="176"/>
      <c r="CA206" s="176"/>
      <c r="CB206" s="176"/>
      <c r="CC206" s="176"/>
      <c r="CD206" s="176"/>
      <c r="CE206" s="176"/>
      <c r="CF206" s="176"/>
      <c r="CG206" s="176"/>
      <c r="CH206" s="176"/>
      <c r="CI206" s="176"/>
      <c r="CJ206" s="176"/>
      <c r="CK206" s="176"/>
      <c r="CL206" s="176"/>
      <c r="CM206" s="176"/>
      <c r="CN206" s="176"/>
      <c r="CO206" s="176"/>
      <c r="CP206" s="176"/>
      <c r="CQ206" s="176"/>
      <c r="CR206" s="176"/>
      <c r="CS206" s="176"/>
      <c r="CT206" s="176"/>
    </row>
    <row r="207" spans="1:98" s="178" customFormat="1" hidden="1" outlineLevel="1" x14ac:dyDescent="0.35">
      <c r="A207" s="188" t="s">
        <v>383</v>
      </c>
      <c r="B207" s="189" t="s">
        <v>384</v>
      </c>
      <c r="C207" s="189" t="str">
        <f t="shared" si="1"/>
        <v>IL Israel CCC: 0,978</v>
      </c>
      <c r="D207" s="190">
        <v>0.97799999999999998</v>
      </c>
      <c r="E207" s="188" t="s">
        <v>240</v>
      </c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76"/>
      <c r="AY207" s="176"/>
      <c r="AZ207" s="176"/>
      <c r="BA207" s="176"/>
      <c r="BB207" s="176"/>
      <c r="BC207" s="176"/>
      <c r="BD207" s="176"/>
      <c r="BE207" s="176"/>
      <c r="BF207" s="176"/>
      <c r="BG207" s="176"/>
      <c r="BH207" s="176"/>
      <c r="BI207" s="176"/>
      <c r="BJ207" s="176"/>
      <c r="BK207" s="176"/>
      <c r="BL207" s="176"/>
      <c r="BM207" s="176"/>
      <c r="BN207" s="176"/>
      <c r="BO207" s="176"/>
      <c r="BP207" s="176"/>
      <c r="BQ207" s="176"/>
      <c r="BR207" s="176"/>
      <c r="BS207" s="176"/>
      <c r="BT207" s="176"/>
      <c r="BU207" s="176"/>
      <c r="BV207" s="176"/>
      <c r="BW207" s="176"/>
      <c r="BX207" s="176"/>
      <c r="BY207" s="176"/>
      <c r="BZ207" s="176"/>
      <c r="CA207" s="176"/>
      <c r="CB207" s="176"/>
      <c r="CC207" s="176"/>
      <c r="CD207" s="176"/>
      <c r="CE207" s="176"/>
      <c r="CF207" s="176"/>
      <c r="CG207" s="176"/>
      <c r="CH207" s="176"/>
      <c r="CI207" s="176"/>
      <c r="CJ207" s="176"/>
      <c r="CK207" s="176"/>
      <c r="CL207" s="176"/>
      <c r="CM207" s="176"/>
      <c r="CN207" s="176"/>
      <c r="CO207" s="176"/>
      <c r="CP207" s="176"/>
      <c r="CQ207" s="176"/>
      <c r="CR207" s="176"/>
      <c r="CS207" s="176"/>
      <c r="CT207" s="176"/>
    </row>
    <row r="208" spans="1:98" s="178" customFormat="1" hidden="1" outlineLevel="1" x14ac:dyDescent="0.35">
      <c r="A208" s="188" t="s">
        <v>385</v>
      </c>
      <c r="B208" s="189" t="s">
        <v>386</v>
      </c>
      <c r="C208" s="189" t="str">
        <f t="shared" si="1"/>
        <v>IT Italy CCC: 0,889</v>
      </c>
      <c r="D208" s="190">
        <v>0.88900000000000001</v>
      </c>
      <c r="E208" s="188" t="s">
        <v>254</v>
      </c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176"/>
      <c r="AV208" s="176"/>
      <c r="AW208" s="176"/>
      <c r="AX208" s="176"/>
      <c r="AY208" s="176"/>
      <c r="AZ208" s="176"/>
      <c r="BA208" s="176"/>
      <c r="BB208" s="176"/>
      <c r="BC208" s="176"/>
      <c r="BD208" s="176"/>
      <c r="BE208" s="176"/>
      <c r="BF208" s="176"/>
      <c r="BG208" s="176"/>
      <c r="BH208" s="176"/>
      <c r="BI208" s="176"/>
      <c r="BJ208" s="176"/>
      <c r="BK208" s="176"/>
      <c r="BL208" s="176"/>
      <c r="BM208" s="176"/>
      <c r="BN208" s="176"/>
      <c r="BO208" s="176"/>
      <c r="BP208" s="176"/>
      <c r="BQ208" s="176"/>
      <c r="BR208" s="176"/>
      <c r="BS208" s="176"/>
      <c r="BT208" s="176"/>
      <c r="BU208" s="176"/>
      <c r="BV208" s="176"/>
      <c r="BW208" s="176"/>
      <c r="BX208" s="176"/>
      <c r="BY208" s="176"/>
      <c r="BZ208" s="176"/>
      <c r="CA208" s="176"/>
      <c r="CB208" s="176"/>
      <c r="CC208" s="176"/>
      <c r="CD208" s="176"/>
      <c r="CE208" s="176"/>
      <c r="CF208" s="176"/>
      <c r="CG208" s="176"/>
      <c r="CH208" s="176"/>
      <c r="CI208" s="176"/>
      <c r="CJ208" s="176"/>
      <c r="CK208" s="176"/>
      <c r="CL208" s="176"/>
      <c r="CM208" s="176"/>
      <c r="CN208" s="176"/>
      <c r="CO208" s="176"/>
      <c r="CP208" s="176"/>
      <c r="CQ208" s="176"/>
      <c r="CR208" s="176"/>
      <c r="CS208" s="176"/>
      <c r="CT208" s="176"/>
    </row>
    <row r="209" spans="1:98" s="178" customFormat="1" hidden="1" outlineLevel="1" x14ac:dyDescent="0.35">
      <c r="A209" s="188" t="s">
        <v>387</v>
      </c>
      <c r="B209" s="189" t="s">
        <v>388</v>
      </c>
      <c r="C209" s="189" t="str">
        <f t="shared" si="1"/>
        <v>JM Jamaica CCC: 0,77</v>
      </c>
      <c r="D209" s="190">
        <v>0.77</v>
      </c>
      <c r="E209" s="188" t="s">
        <v>243</v>
      </c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176"/>
      <c r="AV209" s="176"/>
      <c r="AW209" s="176"/>
      <c r="AX209" s="176"/>
      <c r="AY209" s="176"/>
      <c r="AZ209" s="176"/>
      <c r="BA209" s="176"/>
      <c r="BB209" s="176"/>
      <c r="BC209" s="176"/>
      <c r="BD209" s="176"/>
      <c r="BE209" s="176"/>
      <c r="BF209" s="176"/>
      <c r="BG209" s="176"/>
      <c r="BH209" s="176"/>
      <c r="BI209" s="176"/>
      <c r="BJ209" s="176"/>
      <c r="BK209" s="176"/>
      <c r="BL209" s="176"/>
      <c r="BM209" s="176"/>
      <c r="BN209" s="176"/>
      <c r="BO209" s="176"/>
      <c r="BP209" s="176"/>
      <c r="BQ209" s="176"/>
      <c r="BR209" s="176"/>
      <c r="BS209" s="176"/>
      <c r="BT209" s="176"/>
      <c r="BU209" s="176"/>
      <c r="BV209" s="176"/>
      <c r="BW209" s="176"/>
      <c r="BX209" s="176"/>
      <c r="BY209" s="176"/>
      <c r="BZ209" s="176"/>
      <c r="CA209" s="176"/>
      <c r="CB209" s="176"/>
      <c r="CC209" s="176"/>
      <c r="CD209" s="176"/>
      <c r="CE209" s="176"/>
      <c r="CF209" s="176"/>
      <c r="CG209" s="176"/>
      <c r="CH209" s="176"/>
      <c r="CI209" s="176"/>
      <c r="CJ209" s="176"/>
      <c r="CK209" s="176"/>
      <c r="CL209" s="176"/>
      <c r="CM209" s="176"/>
      <c r="CN209" s="176"/>
      <c r="CO209" s="176"/>
      <c r="CP209" s="176"/>
      <c r="CQ209" s="176"/>
      <c r="CR209" s="176"/>
      <c r="CS209" s="176"/>
      <c r="CT209" s="176"/>
    </row>
    <row r="210" spans="1:98" s="178" customFormat="1" hidden="1" outlineLevel="1" x14ac:dyDescent="0.35">
      <c r="A210" s="188" t="s">
        <v>389</v>
      </c>
      <c r="B210" s="189" t="s">
        <v>390</v>
      </c>
      <c r="C210" s="189" t="str">
        <f t="shared" si="1"/>
        <v>JP Japan CCC: 0,943</v>
      </c>
      <c r="D210" s="190">
        <v>0.94299999999999995</v>
      </c>
      <c r="E210" s="188" t="s">
        <v>243</v>
      </c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176"/>
      <c r="AV210" s="176"/>
      <c r="AW210" s="176"/>
      <c r="AX210" s="176"/>
      <c r="AY210" s="176"/>
      <c r="AZ210" s="176"/>
      <c r="BA210" s="176"/>
      <c r="BB210" s="176"/>
      <c r="BC210" s="176"/>
      <c r="BD210" s="176"/>
      <c r="BE210" s="176"/>
      <c r="BF210" s="176"/>
      <c r="BG210" s="176"/>
      <c r="BH210" s="176"/>
      <c r="BI210" s="176"/>
      <c r="BJ210" s="176"/>
      <c r="BK210" s="176"/>
      <c r="BL210" s="176"/>
      <c r="BM210" s="176"/>
      <c r="BN210" s="176"/>
      <c r="BO210" s="176"/>
      <c r="BP210" s="176"/>
      <c r="BQ210" s="176"/>
      <c r="BR210" s="176"/>
      <c r="BS210" s="176"/>
      <c r="BT210" s="176"/>
      <c r="BU210" s="176"/>
      <c r="BV210" s="176"/>
      <c r="BW210" s="176"/>
      <c r="BX210" s="176"/>
      <c r="BY210" s="176"/>
      <c r="BZ210" s="176"/>
      <c r="CA210" s="176"/>
      <c r="CB210" s="176"/>
      <c r="CC210" s="176"/>
      <c r="CD210" s="176"/>
      <c r="CE210" s="176"/>
      <c r="CF210" s="176"/>
      <c r="CG210" s="176"/>
      <c r="CH210" s="176"/>
      <c r="CI210" s="176"/>
      <c r="CJ210" s="176"/>
      <c r="CK210" s="176"/>
      <c r="CL210" s="176"/>
      <c r="CM210" s="176"/>
      <c r="CN210" s="176"/>
      <c r="CO210" s="176"/>
      <c r="CP210" s="176"/>
      <c r="CQ210" s="176"/>
      <c r="CR210" s="176"/>
      <c r="CS210" s="176"/>
      <c r="CT210" s="176"/>
    </row>
    <row r="211" spans="1:98" s="178" customFormat="1" hidden="1" outlineLevel="1" x14ac:dyDescent="0.35">
      <c r="A211" s="188" t="s">
        <v>391</v>
      </c>
      <c r="B211" s="189" t="s">
        <v>392</v>
      </c>
      <c r="C211" s="189" t="str">
        <f t="shared" si="1"/>
        <v>JO Jordan CCC: 0,901</v>
      </c>
      <c r="D211" s="190">
        <v>0.90100000000000002</v>
      </c>
      <c r="E211" s="188" t="s">
        <v>243</v>
      </c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176"/>
      <c r="AV211" s="176"/>
      <c r="AW211" s="176"/>
      <c r="AX211" s="176"/>
      <c r="AY211" s="176"/>
      <c r="AZ211" s="176"/>
      <c r="BA211" s="176"/>
      <c r="BB211" s="176"/>
      <c r="BC211" s="176"/>
      <c r="BD211" s="176"/>
      <c r="BE211" s="176"/>
      <c r="BF211" s="176"/>
      <c r="BG211" s="176"/>
      <c r="BH211" s="176"/>
      <c r="BI211" s="176"/>
      <c r="BJ211" s="176"/>
      <c r="BK211" s="176"/>
      <c r="BL211" s="176"/>
      <c r="BM211" s="176"/>
      <c r="BN211" s="176"/>
      <c r="BO211" s="176"/>
      <c r="BP211" s="176"/>
      <c r="BQ211" s="176"/>
      <c r="BR211" s="176"/>
      <c r="BS211" s="176"/>
      <c r="BT211" s="176"/>
      <c r="BU211" s="176"/>
      <c r="BV211" s="176"/>
      <c r="BW211" s="176"/>
      <c r="BX211" s="176"/>
      <c r="BY211" s="176"/>
      <c r="BZ211" s="176"/>
      <c r="CA211" s="176"/>
      <c r="CB211" s="176"/>
      <c r="CC211" s="176"/>
      <c r="CD211" s="176"/>
      <c r="CE211" s="176"/>
      <c r="CF211" s="176"/>
      <c r="CG211" s="176"/>
      <c r="CH211" s="176"/>
      <c r="CI211" s="176"/>
      <c r="CJ211" s="176"/>
      <c r="CK211" s="176"/>
      <c r="CL211" s="176"/>
      <c r="CM211" s="176"/>
      <c r="CN211" s="176"/>
      <c r="CO211" s="176"/>
      <c r="CP211" s="176"/>
      <c r="CQ211" s="176"/>
      <c r="CR211" s="176"/>
      <c r="CS211" s="176"/>
      <c r="CT211" s="176"/>
    </row>
    <row r="212" spans="1:98" s="178" customFormat="1" hidden="1" outlineLevel="1" x14ac:dyDescent="0.35">
      <c r="A212" s="188" t="s">
        <v>393</v>
      </c>
      <c r="B212" s="189" t="s">
        <v>394</v>
      </c>
      <c r="C212" s="189" t="str">
        <f t="shared" si="1"/>
        <v>KZ Kazakhstan CCC: 0,656</v>
      </c>
      <c r="D212" s="190">
        <v>0.65600000000000003</v>
      </c>
      <c r="E212" s="188" t="s">
        <v>243</v>
      </c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176"/>
      <c r="AV212" s="176"/>
      <c r="AW212" s="176"/>
      <c r="AX212" s="176"/>
      <c r="AY212" s="176"/>
      <c r="AZ212" s="176"/>
      <c r="BA212" s="176"/>
      <c r="BB212" s="176"/>
      <c r="BC212" s="176"/>
      <c r="BD212" s="176"/>
      <c r="BE212" s="176"/>
      <c r="BF212" s="176"/>
      <c r="BG212" s="176"/>
      <c r="BH212" s="176"/>
      <c r="BI212" s="176"/>
      <c r="BJ212" s="176"/>
      <c r="BK212" s="176"/>
      <c r="BL212" s="176"/>
      <c r="BM212" s="176"/>
      <c r="BN212" s="176"/>
      <c r="BO212" s="176"/>
      <c r="BP212" s="176"/>
      <c r="BQ212" s="176"/>
      <c r="BR212" s="176"/>
      <c r="BS212" s="176"/>
      <c r="BT212" s="176"/>
      <c r="BU212" s="176"/>
      <c r="BV212" s="176"/>
      <c r="BW212" s="176"/>
      <c r="BX212" s="176"/>
      <c r="BY212" s="176"/>
      <c r="BZ212" s="176"/>
      <c r="CA212" s="176"/>
      <c r="CB212" s="176"/>
      <c r="CC212" s="176"/>
      <c r="CD212" s="176"/>
      <c r="CE212" s="176"/>
      <c r="CF212" s="176"/>
      <c r="CG212" s="176"/>
      <c r="CH212" s="176"/>
      <c r="CI212" s="176"/>
      <c r="CJ212" s="176"/>
      <c r="CK212" s="176"/>
      <c r="CL212" s="176"/>
      <c r="CM212" s="176"/>
      <c r="CN212" s="176"/>
      <c r="CO212" s="176"/>
      <c r="CP212" s="176"/>
      <c r="CQ212" s="176"/>
      <c r="CR212" s="176"/>
      <c r="CS212" s="176"/>
      <c r="CT212" s="176"/>
    </row>
    <row r="213" spans="1:98" s="178" customFormat="1" hidden="1" outlineLevel="1" x14ac:dyDescent="0.35">
      <c r="A213" s="188" t="s">
        <v>395</v>
      </c>
      <c r="B213" s="189" t="s">
        <v>396</v>
      </c>
      <c r="C213" s="189" t="str">
        <f t="shared" si="1"/>
        <v>KE Kenya CCC: 0,781</v>
      </c>
      <c r="D213" s="190">
        <v>0.78100000000000003</v>
      </c>
      <c r="E213" s="188" t="s">
        <v>243</v>
      </c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  <c r="AA213" s="176"/>
      <c r="AB213" s="176"/>
      <c r="AC213" s="176"/>
      <c r="AD213" s="176"/>
      <c r="AE213" s="176"/>
      <c r="AF213" s="176"/>
      <c r="AG213" s="176"/>
      <c r="AH213" s="176"/>
      <c r="AI213" s="176"/>
      <c r="AJ213" s="176"/>
      <c r="AK213" s="176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176"/>
      <c r="AV213" s="176"/>
      <c r="AW213" s="176"/>
      <c r="AX213" s="176"/>
      <c r="AY213" s="176"/>
      <c r="AZ213" s="176"/>
      <c r="BA213" s="176"/>
      <c r="BB213" s="176"/>
      <c r="BC213" s="176"/>
      <c r="BD213" s="176"/>
      <c r="BE213" s="176"/>
      <c r="BF213" s="176"/>
      <c r="BG213" s="176"/>
      <c r="BH213" s="176"/>
      <c r="BI213" s="176"/>
      <c r="BJ213" s="176"/>
      <c r="BK213" s="176"/>
      <c r="BL213" s="176"/>
      <c r="BM213" s="176"/>
      <c r="BN213" s="176"/>
      <c r="BO213" s="176"/>
      <c r="BP213" s="176"/>
      <c r="BQ213" s="176"/>
      <c r="BR213" s="176"/>
      <c r="BS213" s="176"/>
      <c r="BT213" s="176"/>
      <c r="BU213" s="176"/>
      <c r="BV213" s="176"/>
      <c r="BW213" s="176"/>
      <c r="BX213" s="176"/>
      <c r="BY213" s="176"/>
      <c r="BZ213" s="176"/>
      <c r="CA213" s="176"/>
      <c r="CB213" s="176"/>
      <c r="CC213" s="176"/>
      <c r="CD213" s="176"/>
      <c r="CE213" s="176"/>
      <c r="CF213" s="176"/>
      <c r="CG213" s="176"/>
      <c r="CH213" s="176"/>
      <c r="CI213" s="176"/>
      <c r="CJ213" s="176"/>
      <c r="CK213" s="176"/>
      <c r="CL213" s="176"/>
      <c r="CM213" s="176"/>
      <c r="CN213" s="176"/>
      <c r="CO213" s="176"/>
      <c r="CP213" s="176"/>
      <c r="CQ213" s="176"/>
      <c r="CR213" s="176"/>
      <c r="CS213" s="176"/>
      <c r="CT213" s="176"/>
    </row>
    <row r="214" spans="1:98" s="178" customFormat="1" hidden="1" outlineLevel="1" x14ac:dyDescent="0.35">
      <c r="A214" s="188" t="s">
        <v>397</v>
      </c>
      <c r="B214" s="189" t="s">
        <v>398</v>
      </c>
      <c r="C214" s="189" t="str">
        <f t="shared" si="1"/>
        <v>KR Korea (the Republic of) CCC: 0,871</v>
      </c>
      <c r="D214" s="190">
        <v>0.871</v>
      </c>
      <c r="E214" s="188" t="s">
        <v>243</v>
      </c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176"/>
      <c r="BG214" s="176"/>
      <c r="BH214" s="176"/>
      <c r="BI214" s="176"/>
      <c r="BJ214" s="176"/>
      <c r="BK214" s="176"/>
      <c r="BL214" s="176"/>
      <c r="BM214" s="176"/>
      <c r="BN214" s="176"/>
      <c r="BO214" s="176"/>
      <c r="BP214" s="176"/>
      <c r="BQ214" s="176"/>
      <c r="BR214" s="176"/>
      <c r="BS214" s="176"/>
      <c r="BT214" s="176"/>
      <c r="BU214" s="176"/>
      <c r="BV214" s="176"/>
      <c r="BW214" s="176"/>
      <c r="BX214" s="176"/>
      <c r="BY214" s="176"/>
      <c r="BZ214" s="176"/>
      <c r="CA214" s="176"/>
      <c r="CB214" s="176"/>
      <c r="CC214" s="176"/>
      <c r="CD214" s="176"/>
      <c r="CE214" s="176"/>
      <c r="CF214" s="176"/>
      <c r="CG214" s="176"/>
      <c r="CH214" s="176"/>
      <c r="CI214" s="176"/>
      <c r="CJ214" s="176"/>
      <c r="CK214" s="176"/>
      <c r="CL214" s="176"/>
      <c r="CM214" s="176"/>
      <c r="CN214" s="176"/>
      <c r="CO214" s="176"/>
      <c r="CP214" s="176"/>
      <c r="CQ214" s="176"/>
      <c r="CR214" s="176"/>
      <c r="CS214" s="176"/>
      <c r="CT214" s="176"/>
    </row>
    <row r="215" spans="1:98" s="178" customFormat="1" hidden="1" outlineLevel="1" x14ac:dyDescent="0.35">
      <c r="A215" s="188" t="s">
        <v>399</v>
      </c>
      <c r="B215" s="189" t="s">
        <v>400</v>
      </c>
      <c r="C215" s="189" t="str">
        <f t="shared" si="1"/>
        <v>KG Kyrgyzstan CCC: 0,672</v>
      </c>
      <c r="D215" s="190">
        <v>0.67200000000000004</v>
      </c>
      <c r="E215" s="188" t="s">
        <v>243</v>
      </c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  <c r="AA215" s="176"/>
      <c r="AB215" s="176"/>
      <c r="AC215" s="176"/>
      <c r="AD215" s="176"/>
      <c r="AE215" s="176"/>
      <c r="AF215" s="176"/>
      <c r="AG215" s="176"/>
      <c r="AH215" s="176"/>
      <c r="AI215" s="176"/>
      <c r="AJ215" s="176"/>
      <c r="AK215" s="176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176"/>
      <c r="AV215" s="176"/>
      <c r="AW215" s="176"/>
      <c r="AX215" s="176"/>
      <c r="AY215" s="176"/>
      <c r="AZ215" s="176"/>
      <c r="BA215" s="176"/>
      <c r="BB215" s="176"/>
      <c r="BC215" s="176"/>
      <c r="BD215" s="176"/>
      <c r="BE215" s="176"/>
      <c r="BF215" s="176"/>
      <c r="BG215" s="176"/>
      <c r="BH215" s="176"/>
      <c r="BI215" s="176"/>
      <c r="BJ215" s="176"/>
      <c r="BK215" s="176"/>
      <c r="BL215" s="176"/>
      <c r="BM215" s="176"/>
      <c r="BN215" s="176"/>
      <c r="BO215" s="176"/>
      <c r="BP215" s="176"/>
      <c r="BQ215" s="176"/>
      <c r="BR215" s="176"/>
      <c r="BS215" s="176"/>
      <c r="BT215" s="176"/>
      <c r="BU215" s="176"/>
      <c r="BV215" s="176"/>
      <c r="BW215" s="176"/>
      <c r="BX215" s="176"/>
      <c r="BY215" s="176"/>
      <c r="BZ215" s="176"/>
      <c r="CA215" s="176"/>
      <c r="CB215" s="176"/>
      <c r="CC215" s="176"/>
      <c r="CD215" s="176"/>
      <c r="CE215" s="176"/>
      <c r="CF215" s="176"/>
      <c r="CG215" s="176"/>
      <c r="CH215" s="176"/>
      <c r="CI215" s="176"/>
      <c r="CJ215" s="176"/>
      <c r="CK215" s="176"/>
      <c r="CL215" s="176"/>
      <c r="CM215" s="176"/>
      <c r="CN215" s="176"/>
      <c r="CO215" s="176"/>
      <c r="CP215" s="176"/>
      <c r="CQ215" s="176"/>
      <c r="CR215" s="176"/>
      <c r="CS215" s="176"/>
      <c r="CT215" s="176"/>
    </row>
    <row r="216" spans="1:98" s="178" customFormat="1" hidden="1" outlineLevel="1" x14ac:dyDescent="0.35">
      <c r="A216" s="188" t="s">
        <v>401</v>
      </c>
      <c r="B216" s="189" t="s">
        <v>402</v>
      </c>
      <c r="C216" s="189" t="str">
        <f t="shared" si="1"/>
        <v>LA Lao People's Democratic Republic (the) CCC: 0,819</v>
      </c>
      <c r="D216" s="190">
        <v>0.81899999999999995</v>
      </c>
      <c r="E216" s="188" t="s">
        <v>243</v>
      </c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  <c r="AA216" s="176"/>
      <c r="AB216" s="176"/>
      <c r="AC216" s="176"/>
      <c r="AD216" s="176"/>
      <c r="AE216" s="176"/>
      <c r="AF216" s="176"/>
      <c r="AG216" s="176"/>
      <c r="AH216" s="176"/>
      <c r="AI216" s="176"/>
      <c r="AJ216" s="176"/>
      <c r="AK216" s="176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176"/>
      <c r="AV216" s="176"/>
      <c r="AW216" s="176"/>
      <c r="AX216" s="176"/>
      <c r="AY216" s="176"/>
      <c r="AZ216" s="176"/>
      <c r="BA216" s="176"/>
      <c r="BB216" s="176"/>
      <c r="BC216" s="176"/>
      <c r="BD216" s="176"/>
      <c r="BE216" s="176"/>
      <c r="BF216" s="176"/>
      <c r="BG216" s="176"/>
      <c r="BH216" s="176"/>
      <c r="BI216" s="176"/>
      <c r="BJ216" s="176"/>
      <c r="BK216" s="176"/>
      <c r="BL216" s="176"/>
      <c r="BM216" s="176"/>
      <c r="BN216" s="176"/>
      <c r="BO216" s="176"/>
      <c r="BP216" s="176"/>
      <c r="BQ216" s="176"/>
      <c r="BR216" s="176"/>
      <c r="BS216" s="176"/>
      <c r="BT216" s="176"/>
      <c r="BU216" s="176"/>
      <c r="BV216" s="176"/>
      <c r="BW216" s="176"/>
      <c r="BX216" s="176"/>
      <c r="BY216" s="176"/>
      <c r="BZ216" s="176"/>
      <c r="CA216" s="176"/>
      <c r="CB216" s="176"/>
      <c r="CC216" s="176"/>
      <c r="CD216" s="176"/>
      <c r="CE216" s="176"/>
      <c r="CF216" s="176"/>
      <c r="CG216" s="176"/>
      <c r="CH216" s="176"/>
      <c r="CI216" s="176"/>
      <c r="CJ216" s="176"/>
      <c r="CK216" s="176"/>
      <c r="CL216" s="176"/>
      <c r="CM216" s="176"/>
      <c r="CN216" s="176"/>
      <c r="CO216" s="176"/>
      <c r="CP216" s="176"/>
      <c r="CQ216" s="176"/>
      <c r="CR216" s="176"/>
      <c r="CS216" s="176"/>
      <c r="CT216" s="176"/>
    </row>
    <row r="217" spans="1:98" s="178" customFormat="1" hidden="1" outlineLevel="1" x14ac:dyDescent="0.35">
      <c r="A217" s="188" t="s">
        <v>403</v>
      </c>
      <c r="B217" s="189" t="s">
        <v>404</v>
      </c>
      <c r="C217" s="189" t="str">
        <f t="shared" si="1"/>
        <v>LV Latvia CCC: 0,693</v>
      </c>
      <c r="D217" s="190">
        <v>0.69299999999999995</v>
      </c>
      <c r="E217" s="188" t="s">
        <v>254</v>
      </c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  <c r="AA217" s="176"/>
      <c r="AB217" s="176"/>
      <c r="AC217" s="176"/>
      <c r="AD217" s="176"/>
      <c r="AE217" s="176"/>
      <c r="AF217" s="176"/>
      <c r="AG217" s="176"/>
      <c r="AH217" s="176"/>
      <c r="AI217" s="176"/>
      <c r="AJ217" s="176"/>
      <c r="AK217" s="176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176"/>
      <c r="AV217" s="176"/>
      <c r="AW217" s="176"/>
      <c r="AX217" s="176"/>
      <c r="AY217" s="176"/>
      <c r="AZ217" s="176"/>
      <c r="BA217" s="176"/>
      <c r="BB217" s="176"/>
      <c r="BC217" s="176"/>
      <c r="BD217" s="176"/>
      <c r="BE217" s="176"/>
      <c r="BF217" s="176"/>
      <c r="BG217" s="176"/>
      <c r="BH217" s="176"/>
      <c r="BI217" s="176"/>
      <c r="BJ217" s="176"/>
      <c r="BK217" s="176"/>
      <c r="BL217" s="176"/>
      <c r="BM217" s="176"/>
      <c r="BN217" s="176"/>
      <c r="BO217" s="176"/>
      <c r="BP217" s="176"/>
      <c r="BQ217" s="176"/>
      <c r="BR217" s="176"/>
      <c r="BS217" s="176"/>
      <c r="BT217" s="176"/>
      <c r="BU217" s="176"/>
      <c r="BV217" s="176"/>
      <c r="BW217" s="176"/>
      <c r="BX217" s="176"/>
      <c r="BY217" s="176"/>
      <c r="BZ217" s="176"/>
      <c r="CA217" s="176"/>
      <c r="CB217" s="176"/>
      <c r="CC217" s="176"/>
      <c r="CD217" s="176"/>
      <c r="CE217" s="176"/>
      <c r="CF217" s="176"/>
      <c r="CG217" s="176"/>
      <c r="CH217" s="176"/>
      <c r="CI217" s="176"/>
      <c r="CJ217" s="176"/>
      <c r="CK217" s="176"/>
      <c r="CL217" s="176"/>
      <c r="CM217" s="176"/>
      <c r="CN217" s="176"/>
      <c r="CO217" s="176"/>
      <c r="CP217" s="176"/>
      <c r="CQ217" s="176"/>
      <c r="CR217" s="176"/>
      <c r="CS217" s="176"/>
      <c r="CT217" s="176"/>
    </row>
    <row r="218" spans="1:98" s="178" customFormat="1" hidden="1" outlineLevel="1" x14ac:dyDescent="0.35">
      <c r="A218" s="188" t="s">
        <v>405</v>
      </c>
      <c r="B218" s="189" t="s">
        <v>406</v>
      </c>
      <c r="C218" s="189" t="str">
        <f t="shared" si="1"/>
        <v>LB Lebanon CCC: 1,06</v>
      </c>
      <c r="D218" s="190">
        <v>1.06</v>
      </c>
      <c r="E218" s="188" t="s">
        <v>243</v>
      </c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  <c r="AA218" s="176"/>
      <c r="AB218" s="176"/>
      <c r="AC218" s="176"/>
      <c r="AD218" s="176"/>
      <c r="AE218" s="176"/>
      <c r="AF218" s="176"/>
      <c r="AG218" s="176"/>
      <c r="AH218" s="176"/>
      <c r="AI218" s="176"/>
      <c r="AJ218" s="176"/>
      <c r="AK218" s="176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176"/>
      <c r="AV218" s="176"/>
      <c r="AW218" s="176"/>
      <c r="AX218" s="176"/>
      <c r="AY218" s="176"/>
      <c r="AZ218" s="176"/>
      <c r="BA218" s="176"/>
      <c r="BB218" s="176"/>
      <c r="BC218" s="176"/>
      <c r="BD218" s="176"/>
      <c r="BE218" s="176"/>
      <c r="BF218" s="176"/>
      <c r="BG218" s="176"/>
      <c r="BH218" s="176"/>
      <c r="BI218" s="176"/>
      <c r="BJ218" s="176"/>
      <c r="BK218" s="176"/>
      <c r="BL218" s="176"/>
      <c r="BM218" s="176"/>
      <c r="BN218" s="176"/>
      <c r="BO218" s="176"/>
      <c r="BP218" s="176"/>
      <c r="BQ218" s="176"/>
      <c r="BR218" s="176"/>
      <c r="BS218" s="176"/>
      <c r="BT218" s="176"/>
      <c r="BU218" s="176"/>
      <c r="BV218" s="176"/>
      <c r="BW218" s="176"/>
      <c r="BX218" s="176"/>
      <c r="BY218" s="176"/>
      <c r="BZ218" s="176"/>
      <c r="CA218" s="176"/>
      <c r="CB218" s="176"/>
      <c r="CC218" s="176"/>
      <c r="CD218" s="176"/>
      <c r="CE218" s="176"/>
      <c r="CF218" s="176"/>
      <c r="CG218" s="176"/>
      <c r="CH218" s="176"/>
      <c r="CI218" s="176"/>
      <c r="CJ218" s="176"/>
      <c r="CK218" s="176"/>
      <c r="CL218" s="176"/>
      <c r="CM218" s="176"/>
      <c r="CN218" s="176"/>
      <c r="CO218" s="176"/>
      <c r="CP218" s="176"/>
      <c r="CQ218" s="176"/>
      <c r="CR218" s="176"/>
      <c r="CS218" s="176"/>
      <c r="CT218" s="176"/>
    </row>
    <row r="219" spans="1:98" s="178" customFormat="1" hidden="1" outlineLevel="1" x14ac:dyDescent="0.35">
      <c r="A219" s="188" t="s">
        <v>407</v>
      </c>
      <c r="B219" s="189" t="s">
        <v>408</v>
      </c>
      <c r="C219" s="189" t="str">
        <f t="shared" si="1"/>
        <v>LS Lesotho CCC: 0,513</v>
      </c>
      <c r="D219" s="190">
        <v>0.51300000000000001</v>
      </c>
      <c r="E219" s="188" t="s">
        <v>243</v>
      </c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  <c r="AA219" s="176"/>
      <c r="AB219" s="176"/>
      <c r="AC219" s="176"/>
      <c r="AD219" s="176"/>
      <c r="AE219" s="176"/>
      <c r="AF219" s="176"/>
      <c r="AG219" s="176"/>
      <c r="AH219" s="176"/>
      <c r="AI219" s="176"/>
      <c r="AJ219" s="176"/>
      <c r="AK219" s="176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176"/>
      <c r="AV219" s="176"/>
      <c r="AW219" s="176"/>
      <c r="AX219" s="176"/>
      <c r="AY219" s="176"/>
      <c r="AZ219" s="176"/>
      <c r="BA219" s="176"/>
      <c r="BB219" s="176"/>
      <c r="BC219" s="176"/>
      <c r="BD219" s="176"/>
      <c r="BE219" s="176"/>
      <c r="BF219" s="176"/>
      <c r="BG219" s="176"/>
      <c r="BH219" s="176"/>
      <c r="BI219" s="176"/>
      <c r="BJ219" s="176"/>
      <c r="BK219" s="176"/>
      <c r="BL219" s="176"/>
      <c r="BM219" s="176"/>
      <c r="BN219" s="176"/>
      <c r="BO219" s="176"/>
      <c r="BP219" s="176"/>
      <c r="BQ219" s="176"/>
      <c r="BR219" s="176"/>
      <c r="BS219" s="176"/>
      <c r="BT219" s="176"/>
      <c r="BU219" s="176"/>
      <c r="BV219" s="176"/>
      <c r="BW219" s="176"/>
      <c r="BX219" s="176"/>
      <c r="BY219" s="176"/>
      <c r="BZ219" s="176"/>
      <c r="CA219" s="176"/>
      <c r="CB219" s="176"/>
      <c r="CC219" s="176"/>
      <c r="CD219" s="176"/>
      <c r="CE219" s="176"/>
      <c r="CF219" s="176"/>
      <c r="CG219" s="176"/>
      <c r="CH219" s="176"/>
      <c r="CI219" s="176"/>
      <c r="CJ219" s="176"/>
      <c r="CK219" s="176"/>
      <c r="CL219" s="176"/>
      <c r="CM219" s="176"/>
      <c r="CN219" s="176"/>
      <c r="CO219" s="176"/>
      <c r="CP219" s="176"/>
      <c r="CQ219" s="176"/>
      <c r="CR219" s="176"/>
      <c r="CS219" s="176"/>
      <c r="CT219" s="176"/>
    </row>
    <row r="220" spans="1:98" s="178" customFormat="1" hidden="1" outlineLevel="1" x14ac:dyDescent="0.35">
      <c r="A220" s="188" t="s">
        <v>409</v>
      </c>
      <c r="B220" s="189" t="s">
        <v>410</v>
      </c>
      <c r="C220" s="189" t="str">
        <f t="shared" si="1"/>
        <v>LR Liberia CCC: 1,365</v>
      </c>
      <c r="D220" s="190">
        <v>1.365</v>
      </c>
      <c r="E220" s="188" t="s">
        <v>243</v>
      </c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  <c r="AA220" s="176"/>
      <c r="AB220" s="176"/>
      <c r="AC220" s="176"/>
      <c r="AD220" s="176"/>
      <c r="AE220" s="176"/>
      <c r="AF220" s="176"/>
      <c r="AG220" s="176"/>
      <c r="AH220" s="176"/>
      <c r="AI220" s="176"/>
      <c r="AJ220" s="176"/>
      <c r="AK220" s="176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176"/>
      <c r="AV220" s="176"/>
      <c r="AW220" s="176"/>
      <c r="AX220" s="176"/>
      <c r="AY220" s="176"/>
      <c r="AZ220" s="176"/>
      <c r="BA220" s="176"/>
      <c r="BB220" s="176"/>
      <c r="BC220" s="176"/>
      <c r="BD220" s="176"/>
      <c r="BE220" s="176"/>
      <c r="BF220" s="176"/>
      <c r="BG220" s="176"/>
      <c r="BH220" s="176"/>
      <c r="BI220" s="176"/>
      <c r="BJ220" s="176"/>
      <c r="BK220" s="176"/>
      <c r="BL220" s="176"/>
      <c r="BM220" s="176"/>
      <c r="BN220" s="176"/>
      <c r="BO220" s="176"/>
      <c r="BP220" s="176"/>
      <c r="BQ220" s="176"/>
      <c r="BR220" s="176"/>
      <c r="BS220" s="176"/>
      <c r="BT220" s="176"/>
      <c r="BU220" s="176"/>
      <c r="BV220" s="176"/>
      <c r="BW220" s="176"/>
      <c r="BX220" s="176"/>
      <c r="BY220" s="176"/>
      <c r="BZ220" s="176"/>
      <c r="CA220" s="176"/>
      <c r="CB220" s="176"/>
      <c r="CC220" s="176"/>
      <c r="CD220" s="176"/>
      <c r="CE220" s="176"/>
      <c r="CF220" s="176"/>
      <c r="CG220" s="176"/>
      <c r="CH220" s="176"/>
      <c r="CI220" s="176"/>
      <c r="CJ220" s="176"/>
      <c r="CK220" s="176"/>
      <c r="CL220" s="176"/>
      <c r="CM220" s="176"/>
      <c r="CN220" s="176"/>
      <c r="CO220" s="176"/>
      <c r="CP220" s="176"/>
      <c r="CQ220" s="176"/>
      <c r="CR220" s="176"/>
      <c r="CS220" s="176"/>
      <c r="CT220" s="176"/>
    </row>
    <row r="221" spans="1:98" s="178" customFormat="1" hidden="1" outlineLevel="1" x14ac:dyDescent="0.35">
      <c r="A221" s="188" t="s">
        <v>411</v>
      </c>
      <c r="B221" s="189" t="s">
        <v>412</v>
      </c>
      <c r="C221" s="189" t="str">
        <f t="shared" si="1"/>
        <v xml:space="preserve">LY Libya CCC: </v>
      </c>
      <c r="D221" s="190"/>
      <c r="E221" s="188" t="s">
        <v>243</v>
      </c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  <c r="AA221" s="176"/>
      <c r="AB221" s="176"/>
      <c r="AC221" s="176"/>
      <c r="AD221" s="176"/>
      <c r="AE221" s="176"/>
      <c r="AF221" s="176"/>
      <c r="AG221" s="176"/>
      <c r="AH221" s="176"/>
      <c r="AI221" s="176"/>
      <c r="AJ221" s="176"/>
      <c r="AK221" s="176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176"/>
      <c r="AV221" s="176"/>
      <c r="AW221" s="176"/>
      <c r="AX221" s="176"/>
      <c r="AY221" s="176"/>
      <c r="AZ221" s="176"/>
      <c r="BA221" s="176"/>
      <c r="BB221" s="176"/>
      <c r="BC221" s="176"/>
      <c r="BD221" s="176"/>
      <c r="BE221" s="176"/>
      <c r="BF221" s="176"/>
      <c r="BG221" s="176"/>
      <c r="BH221" s="176"/>
      <c r="BI221" s="176"/>
      <c r="BJ221" s="176"/>
      <c r="BK221" s="176"/>
      <c r="BL221" s="176"/>
      <c r="BM221" s="176"/>
      <c r="BN221" s="176"/>
      <c r="BO221" s="176"/>
      <c r="BP221" s="176"/>
      <c r="BQ221" s="176"/>
      <c r="BR221" s="176"/>
      <c r="BS221" s="176"/>
      <c r="BT221" s="176"/>
      <c r="BU221" s="176"/>
      <c r="BV221" s="176"/>
      <c r="BW221" s="176"/>
      <c r="BX221" s="176"/>
      <c r="BY221" s="176"/>
      <c r="BZ221" s="176"/>
      <c r="CA221" s="176"/>
      <c r="CB221" s="176"/>
      <c r="CC221" s="176"/>
      <c r="CD221" s="176"/>
      <c r="CE221" s="176"/>
      <c r="CF221" s="176"/>
      <c r="CG221" s="176"/>
      <c r="CH221" s="176"/>
      <c r="CI221" s="176"/>
      <c r="CJ221" s="176"/>
      <c r="CK221" s="176"/>
      <c r="CL221" s="176"/>
      <c r="CM221" s="176"/>
      <c r="CN221" s="176"/>
      <c r="CO221" s="176"/>
      <c r="CP221" s="176"/>
      <c r="CQ221" s="176"/>
      <c r="CR221" s="176"/>
      <c r="CS221" s="176"/>
      <c r="CT221" s="176"/>
    </row>
    <row r="222" spans="1:98" s="178" customFormat="1" hidden="1" outlineLevel="1" x14ac:dyDescent="0.35">
      <c r="A222" s="188" t="s">
        <v>413</v>
      </c>
      <c r="B222" s="189" t="s">
        <v>414</v>
      </c>
      <c r="C222" s="189" t="str">
        <f t="shared" si="1"/>
        <v>LI Liechtenstein CCC: 1,173</v>
      </c>
      <c r="D222" s="190">
        <v>1.173</v>
      </c>
      <c r="E222" s="188" t="s">
        <v>243</v>
      </c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176"/>
      <c r="AV222" s="176"/>
      <c r="AW222" s="176"/>
      <c r="AX222" s="176"/>
      <c r="AY222" s="176"/>
      <c r="AZ222" s="176"/>
      <c r="BA222" s="176"/>
      <c r="BB222" s="176"/>
      <c r="BC222" s="176"/>
      <c r="BD222" s="176"/>
      <c r="BE222" s="176"/>
      <c r="BF222" s="176"/>
      <c r="BG222" s="176"/>
      <c r="BH222" s="176"/>
      <c r="BI222" s="176"/>
      <c r="BJ222" s="176"/>
      <c r="BK222" s="176"/>
      <c r="BL222" s="176"/>
      <c r="BM222" s="176"/>
      <c r="BN222" s="176"/>
      <c r="BO222" s="176"/>
      <c r="BP222" s="176"/>
      <c r="BQ222" s="176"/>
      <c r="BR222" s="176"/>
      <c r="BS222" s="176"/>
      <c r="BT222" s="176"/>
      <c r="BU222" s="176"/>
      <c r="BV222" s="176"/>
      <c r="BW222" s="176"/>
      <c r="BX222" s="176"/>
      <c r="BY222" s="176"/>
      <c r="BZ222" s="176"/>
      <c r="CA222" s="176"/>
      <c r="CB222" s="176"/>
      <c r="CC222" s="176"/>
      <c r="CD222" s="176"/>
      <c r="CE222" s="176"/>
      <c r="CF222" s="176"/>
      <c r="CG222" s="176"/>
      <c r="CH222" s="176"/>
      <c r="CI222" s="176"/>
      <c r="CJ222" s="176"/>
      <c r="CK222" s="176"/>
      <c r="CL222" s="176"/>
      <c r="CM222" s="176"/>
      <c r="CN222" s="176"/>
      <c r="CO222" s="176"/>
      <c r="CP222" s="176"/>
      <c r="CQ222" s="176"/>
      <c r="CR222" s="176"/>
      <c r="CS222" s="176"/>
      <c r="CT222" s="176"/>
    </row>
    <row r="223" spans="1:98" s="178" customFormat="1" hidden="1" outlineLevel="1" x14ac:dyDescent="0.35">
      <c r="A223" s="188" t="s">
        <v>415</v>
      </c>
      <c r="B223" s="189" t="s">
        <v>416</v>
      </c>
      <c r="C223" s="189" t="str">
        <f t="shared" si="1"/>
        <v>LT Lithuania CCC: 0,664</v>
      </c>
      <c r="D223" s="190">
        <v>0.66400000000000003</v>
      </c>
      <c r="E223" s="188" t="s">
        <v>254</v>
      </c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176"/>
      <c r="AV223" s="176"/>
      <c r="AW223" s="176"/>
      <c r="AX223" s="176"/>
      <c r="AY223" s="176"/>
      <c r="AZ223" s="176"/>
      <c r="BA223" s="176"/>
      <c r="BB223" s="176"/>
      <c r="BC223" s="176"/>
      <c r="BD223" s="176"/>
      <c r="BE223" s="176"/>
      <c r="BF223" s="176"/>
      <c r="BG223" s="176"/>
      <c r="BH223" s="176"/>
      <c r="BI223" s="176"/>
      <c r="BJ223" s="176"/>
      <c r="BK223" s="176"/>
      <c r="BL223" s="176"/>
      <c r="BM223" s="176"/>
      <c r="BN223" s="176"/>
      <c r="BO223" s="176"/>
      <c r="BP223" s="176"/>
      <c r="BQ223" s="176"/>
      <c r="BR223" s="176"/>
      <c r="BS223" s="176"/>
      <c r="BT223" s="176"/>
      <c r="BU223" s="176"/>
      <c r="BV223" s="176"/>
      <c r="BW223" s="176"/>
      <c r="BX223" s="176"/>
      <c r="BY223" s="176"/>
      <c r="BZ223" s="176"/>
      <c r="CA223" s="176"/>
      <c r="CB223" s="176"/>
      <c r="CC223" s="176"/>
      <c r="CD223" s="176"/>
      <c r="CE223" s="176"/>
      <c r="CF223" s="176"/>
      <c r="CG223" s="176"/>
      <c r="CH223" s="176"/>
      <c r="CI223" s="176"/>
      <c r="CJ223" s="176"/>
      <c r="CK223" s="176"/>
      <c r="CL223" s="176"/>
      <c r="CM223" s="176"/>
      <c r="CN223" s="176"/>
      <c r="CO223" s="176"/>
      <c r="CP223" s="176"/>
      <c r="CQ223" s="176"/>
      <c r="CR223" s="176"/>
      <c r="CS223" s="176"/>
      <c r="CT223" s="176"/>
    </row>
    <row r="224" spans="1:98" s="178" customFormat="1" hidden="1" outlineLevel="1" x14ac:dyDescent="0.35">
      <c r="A224" s="188" t="s">
        <v>417</v>
      </c>
      <c r="B224" s="189" t="s">
        <v>418</v>
      </c>
      <c r="C224" s="189" t="str">
        <f t="shared" si="1"/>
        <v>LU Luxembourg CCC: 0,912</v>
      </c>
      <c r="D224" s="190">
        <v>0.91200000000000003</v>
      </c>
      <c r="E224" s="188" t="s">
        <v>254</v>
      </c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176"/>
      <c r="AV224" s="176"/>
      <c r="AW224" s="176"/>
      <c r="AX224" s="176"/>
      <c r="AY224" s="176"/>
      <c r="AZ224" s="176"/>
      <c r="BA224" s="176"/>
      <c r="BB224" s="176"/>
      <c r="BC224" s="176"/>
      <c r="BD224" s="176"/>
      <c r="BE224" s="176"/>
      <c r="BF224" s="176"/>
      <c r="BG224" s="176"/>
      <c r="BH224" s="176"/>
      <c r="BI224" s="176"/>
      <c r="BJ224" s="176"/>
      <c r="BK224" s="176"/>
      <c r="BL224" s="176"/>
      <c r="BM224" s="176"/>
      <c r="BN224" s="176"/>
      <c r="BO224" s="176"/>
      <c r="BP224" s="176"/>
      <c r="BQ224" s="176"/>
      <c r="BR224" s="176"/>
      <c r="BS224" s="176"/>
      <c r="BT224" s="176"/>
      <c r="BU224" s="176"/>
      <c r="BV224" s="176"/>
      <c r="BW224" s="176"/>
      <c r="BX224" s="176"/>
      <c r="BY224" s="176"/>
      <c r="BZ224" s="176"/>
      <c r="CA224" s="176"/>
      <c r="CB224" s="176"/>
      <c r="CC224" s="176"/>
      <c r="CD224" s="176"/>
      <c r="CE224" s="176"/>
      <c r="CF224" s="176"/>
      <c r="CG224" s="176"/>
      <c r="CH224" s="176"/>
      <c r="CI224" s="176"/>
      <c r="CJ224" s="176"/>
      <c r="CK224" s="176"/>
      <c r="CL224" s="176"/>
      <c r="CM224" s="176"/>
      <c r="CN224" s="176"/>
      <c r="CO224" s="176"/>
      <c r="CP224" s="176"/>
      <c r="CQ224" s="176"/>
      <c r="CR224" s="176"/>
      <c r="CS224" s="176"/>
      <c r="CT224" s="176"/>
    </row>
    <row r="225" spans="1:98" s="178" customFormat="1" hidden="1" outlineLevel="1" x14ac:dyDescent="0.35">
      <c r="A225" s="188" t="s">
        <v>419</v>
      </c>
      <c r="B225" s="189" t="s">
        <v>420</v>
      </c>
      <c r="C225" s="189" t="str">
        <f t="shared" si="1"/>
        <v>MG Madagascar CCC: 0,781</v>
      </c>
      <c r="D225" s="190">
        <v>0.78100000000000003</v>
      </c>
      <c r="E225" s="188" t="s">
        <v>243</v>
      </c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176"/>
      <c r="AV225" s="176"/>
      <c r="AW225" s="176"/>
      <c r="AX225" s="176"/>
      <c r="AY225" s="176"/>
      <c r="AZ225" s="176"/>
      <c r="BA225" s="176"/>
      <c r="BB225" s="176"/>
      <c r="BC225" s="176"/>
      <c r="BD225" s="176"/>
      <c r="BE225" s="176"/>
      <c r="BF225" s="176"/>
      <c r="BG225" s="176"/>
      <c r="BH225" s="176"/>
      <c r="BI225" s="176"/>
      <c r="BJ225" s="176"/>
      <c r="BK225" s="176"/>
      <c r="BL225" s="176"/>
      <c r="BM225" s="176"/>
      <c r="BN225" s="176"/>
      <c r="BO225" s="176"/>
      <c r="BP225" s="176"/>
      <c r="BQ225" s="176"/>
      <c r="BR225" s="176"/>
      <c r="BS225" s="176"/>
      <c r="BT225" s="176"/>
      <c r="BU225" s="176"/>
      <c r="BV225" s="176"/>
      <c r="BW225" s="176"/>
      <c r="BX225" s="176"/>
      <c r="BY225" s="176"/>
      <c r="BZ225" s="176"/>
      <c r="CA225" s="176"/>
      <c r="CB225" s="176"/>
      <c r="CC225" s="176"/>
      <c r="CD225" s="176"/>
      <c r="CE225" s="176"/>
      <c r="CF225" s="176"/>
      <c r="CG225" s="176"/>
      <c r="CH225" s="176"/>
      <c r="CI225" s="176"/>
      <c r="CJ225" s="176"/>
      <c r="CK225" s="176"/>
      <c r="CL225" s="176"/>
      <c r="CM225" s="176"/>
      <c r="CN225" s="176"/>
      <c r="CO225" s="176"/>
      <c r="CP225" s="176"/>
      <c r="CQ225" s="176"/>
      <c r="CR225" s="176"/>
      <c r="CS225" s="176"/>
      <c r="CT225" s="176"/>
    </row>
    <row r="226" spans="1:98" s="178" customFormat="1" hidden="1" outlineLevel="1" x14ac:dyDescent="0.35">
      <c r="A226" s="188" t="s">
        <v>421</v>
      </c>
      <c r="B226" s="189" t="s">
        <v>422</v>
      </c>
      <c r="C226" s="189" t="str">
        <f t="shared" si="1"/>
        <v>MW Malawi CCC: 0,556</v>
      </c>
      <c r="D226" s="190">
        <v>0.55600000000000005</v>
      </c>
      <c r="E226" s="188" t="s">
        <v>243</v>
      </c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176"/>
      <c r="AV226" s="176"/>
      <c r="AW226" s="176"/>
      <c r="AX226" s="176"/>
      <c r="AY226" s="176"/>
      <c r="AZ226" s="176"/>
      <c r="BA226" s="176"/>
      <c r="BB226" s="176"/>
      <c r="BC226" s="176"/>
      <c r="BD226" s="176"/>
      <c r="BE226" s="176"/>
      <c r="BF226" s="176"/>
      <c r="BG226" s="176"/>
      <c r="BH226" s="176"/>
      <c r="BI226" s="176"/>
      <c r="BJ226" s="176"/>
      <c r="BK226" s="176"/>
      <c r="BL226" s="176"/>
      <c r="BM226" s="176"/>
      <c r="BN226" s="176"/>
      <c r="BO226" s="176"/>
      <c r="BP226" s="176"/>
      <c r="BQ226" s="176"/>
      <c r="BR226" s="176"/>
      <c r="BS226" s="176"/>
      <c r="BT226" s="176"/>
      <c r="BU226" s="176"/>
      <c r="BV226" s="176"/>
      <c r="BW226" s="176"/>
      <c r="BX226" s="176"/>
      <c r="BY226" s="176"/>
      <c r="BZ226" s="176"/>
      <c r="CA226" s="176"/>
      <c r="CB226" s="176"/>
      <c r="CC226" s="176"/>
      <c r="CD226" s="176"/>
      <c r="CE226" s="176"/>
      <c r="CF226" s="176"/>
      <c r="CG226" s="176"/>
      <c r="CH226" s="176"/>
      <c r="CI226" s="176"/>
      <c r="CJ226" s="176"/>
      <c r="CK226" s="176"/>
      <c r="CL226" s="176"/>
      <c r="CM226" s="176"/>
      <c r="CN226" s="176"/>
      <c r="CO226" s="176"/>
      <c r="CP226" s="176"/>
      <c r="CQ226" s="176"/>
      <c r="CR226" s="176"/>
      <c r="CS226" s="176"/>
      <c r="CT226" s="176"/>
    </row>
    <row r="227" spans="1:98" s="178" customFormat="1" hidden="1" outlineLevel="1" x14ac:dyDescent="0.35">
      <c r="A227" s="188" t="s">
        <v>423</v>
      </c>
      <c r="B227" s="189" t="s">
        <v>424</v>
      </c>
      <c r="C227" s="189" t="str">
        <f t="shared" si="1"/>
        <v>MY Malaysia CCC: 0,613</v>
      </c>
      <c r="D227" s="190">
        <v>0.61299999999999999</v>
      </c>
      <c r="E227" s="188" t="s">
        <v>243</v>
      </c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176"/>
      <c r="AV227" s="176"/>
      <c r="AW227" s="176"/>
      <c r="AX227" s="176"/>
      <c r="AY227" s="176"/>
      <c r="AZ227" s="176"/>
      <c r="BA227" s="176"/>
      <c r="BB227" s="176"/>
      <c r="BC227" s="176"/>
      <c r="BD227" s="176"/>
      <c r="BE227" s="176"/>
      <c r="BF227" s="176"/>
      <c r="BG227" s="176"/>
      <c r="BH227" s="176"/>
      <c r="BI227" s="176"/>
      <c r="BJ227" s="176"/>
      <c r="BK227" s="176"/>
      <c r="BL227" s="176"/>
      <c r="BM227" s="176"/>
      <c r="BN227" s="176"/>
      <c r="BO227" s="176"/>
      <c r="BP227" s="176"/>
      <c r="BQ227" s="176"/>
      <c r="BR227" s="176"/>
      <c r="BS227" s="176"/>
      <c r="BT227" s="176"/>
      <c r="BU227" s="176"/>
      <c r="BV227" s="176"/>
      <c r="BW227" s="176"/>
      <c r="BX227" s="176"/>
      <c r="BY227" s="176"/>
      <c r="BZ227" s="176"/>
      <c r="CA227" s="176"/>
      <c r="CB227" s="176"/>
      <c r="CC227" s="176"/>
      <c r="CD227" s="176"/>
      <c r="CE227" s="176"/>
      <c r="CF227" s="176"/>
      <c r="CG227" s="176"/>
      <c r="CH227" s="176"/>
      <c r="CI227" s="176"/>
      <c r="CJ227" s="176"/>
      <c r="CK227" s="176"/>
      <c r="CL227" s="176"/>
      <c r="CM227" s="176"/>
      <c r="CN227" s="176"/>
      <c r="CO227" s="176"/>
      <c r="CP227" s="176"/>
      <c r="CQ227" s="176"/>
      <c r="CR227" s="176"/>
      <c r="CS227" s="176"/>
      <c r="CT227" s="176"/>
    </row>
    <row r="228" spans="1:98" s="178" customFormat="1" hidden="1" outlineLevel="1" x14ac:dyDescent="0.35">
      <c r="A228" s="188" t="s">
        <v>425</v>
      </c>
      <c r="B228" s="189" t="s">
        <v>426</v>
      </c>
      <c r="C228" s="189" t="str">
        <f t="shared" si="1"/>
        <v>ML Mali CCC: 0,821</v>
      </c>
      <c r="D228" s="190">
        <v>0.82099999999999995</v>
      </c>
      <c r="E228" s="188" t="s">
        <v>243</v>
      </c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176"/>
      <c r="AV228" s="176"/>
      <c r="AW228" s="176"/>
      <c r="AX228" s="176"/>
      <c r="AY228" s="176"/>
      <c r="AZ228" s="176"/>
      <c r="BA228" s="176"/>
      <c r="BB228" s="176"/>
      <c r="BC228" s="176"/>
      <c r="BD228" s="176"/>
      <c r="BE228" s="176"/>
      <c r="BF228" s="176"/>
      <c r="BG228" s="176"/>
      <c r="BH228" s="176"/>
      <c r="BI228" s="176"/>
      <c r="BJ228" s="176"/>
      <c r="BK228" s="176"/>
      <c r="BL228" s="176"/>
      <c r="BM228" s="176"/>
      <c r="BN228" s="176"/>
      <c r="BO228" s="176"/>
      <c r="BP228" s="176"/>
      <c r="BQ228" s="176"/>
      <c r="BR228" s="176"/>
      <c r="BS228" s="176"/>
      <c r="BT228" s="176"/>
      <c r="BU228" s="176"/>
      <c r="BV228" s="176"/>
      <c r="BW228" s="176"/>
      <c r="BX228" s="176"/>
      <c r="BY228" s="176"/>
      <c r="BZ228" s="176"/>
      <c r="CA228" s="176"/>
      <c r="CB228" s="176"/>
      <c r="CC228" s="176"/>
      <c r="CD228" s="176"/>
      <c r="CE228" s="176"/>
      <c r="CF228" s="176"/>
      <c r="CG228" s="176"/>
      <c r="CH228" s="176"/>
      <c r="CI228" s="176"/>
      <c r="CJ228" s="176"/>
      <c r="CK228" s="176"/>
      <c r="CL228" s="176"/>
      <c r="CM228" s="176"/>
      <c r="CN228" s="176"/>
      <c r="CO228" s="176"/>
      <c r="CP228" s="176"/>
      <c r="CQ228" s="176"/>
      <c r="CR228" s="176"/>
      <c r="CS228" s="176"/>
      <c r="CT228" s="176"/>
    </row>
    <row r="229" spans="1:98" s="178" customFormat="1" hidden="1" outlineLevel="1" x14ac:dyDescent="0.35">
      <c r="A229" s="188" t="s">
        <v>427</v>
      </c>
      <c r="B229" s="189" t="s">
        <v>428</v>
      </c>
      <c r="C229" s="189" t="str">
        <f t="shared" si="1"/>
        <v>MT Malta CCC: 0,804</v>
      </c>
      <c r="D229" s="190">
        <v>0.80400000000000005</v>
      </c>
      <c r="E229" s="188" t="s">
        <v>254</v>
      </c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176"/>
      <c r="AV229" s="176"/>
      <c r="AW229" s="176"/>
      <c r="AX229" s="176"/>
      <c r="AY229" s="176"/>
      <c r="AZ229" s="176"/>
      <c r="BA229" s="176"/>
      <c r="BB229" s="176"/>
      <c r="BC229" s="176"/>
      <c r="BD229" s="176"/>
      <c r="BE229" s="176"/>
      <c r="BF229" s="176"/>
      <c r="BG229" s="176"/>
      <c r="BH229" s="176"/>
      <c r="BI229" s="176"/>
      <c r="BJ229" s="176"/>
      <c r="BK229" s="176"/>
      <c r="BL229" s="176"/>
      <c r="BM229" s="176"/>
      <c r="BN229" s="176"/>
      <c r="BO229" s="176"/>
      <c r="BP229" s="176"/>
      <c r="BQ229" s="176"/>
      <c r="BR229" s="176"/>
      <c r="BS229" s="176"/>
      <c r="BT229" s="176"/>
      <c r="BU229" s="176"/>
      <c r="BV229" s="176"/>
      <c r="BW229" s="176"/>
      <c r="BX229" s="176"/>
      <c r="BY229" s="176"/>
      <c r="BZ229" s="176"/>
      <c r="CA229" s="176"/>
      <c r="CB229" s="176"/>
      <c r="CC229" s="176"/>
      <c r="CD229" s="176"/>
      <c r="CE229" s="176"/>
      <c r="CF229" s="176"/>
      <c r="CG229" s="176"/>
      <c r="CH229" s="176"/>
      <c r="CI229" s="176"/>
      <c r="CJ229" s="176"/>
      <c r="CK229" s="176"/>
      <c r="CL229" s="176"/>
      <c r="CM229" s="176"/>
      <c r="CN229" s="176"/>
      <c r="CO229" s="176"/>
      <c r="CP229" s="176"/>
      <c r="CQ229" s="176"/>
      <c r="CR229" s="176"/>
      <c r="CS229" s="176"/>
      <c r="CT229" s="176"/>
    </row>
    <row r="230" spans="1:98" s="178" customFormat="1" hidden="1" outlineLevel="1" x14ac:dyDescent="0.35">
      <c r="A230" s="188" t="s">
        <v>429</v>
      </c>
      <c r="B230" s="189" t="s">
        <v>430</v>
      </c>
      <c r="C230" s="189" t="str">
        <f t="shared" si="1"/>
        <v>MR Mauritania CCC: 0,621</v>
      </c>
      <c r="D230" s="190">
        <v>0.621</v>
      </c>
      <c r="E230" s="188" t="s">
        <v>243</v>
      </c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176"/>
      <c r="AV230" s="176"/>
      <c r="AW230" s="176"/>
      <c r="AX230" s="176"/>
      <c r="AY230" s="176"/>
      <c r="AZ230" s="176"/>
      <c r="BA230" s="176"/>
      <c r="BB230" s="176"/>
      <c r="BC230" s="176"/>
      <c r="BD230" s="176"/>
      <c r="BE230" s="176"/>
      <c r="BF230" s="176"/>
      <c r="BG230" s="176"/>
      <c r="BH230" s="176"/>
      <c r="BI230" s="176"/>
      <c r="BJ230" s="176"/>
      <c r="BK230" s="176"/>
      <c r="BL230" s="176"/>
      <c r="BM230" s="176"/>
      <c r="BN230" s="176"/>
      <c r="BO230" s="176"/>
      <c r="BP230" s="176"/>
      <c r="BQ230" s="176"/>
      <c r="BR230" s="176"/>
      <c r="BS230" s="176"/>
      <c r="BT230" s="176"/>
      <c r="BU230" s="176"/>
      <c r="BV230" s="176"/>
      <c r="BW230" s="176"/>
      <c r="BX230" s="176"/>
      <c r="BY230" s="176"/>
      <c r="BZ230" s="176"/>
      <c r="CA230" s="176"/>
      <c r="CB230" s="176"/>
      <c r="CC230" s="176"/>
      <c r="CD230" s="176"/>
      <c r="CE230" s="176"/>
      <c r="CF230" s="176"/>
      <c r="CG230" s="176"/>
      <c r="CH230" s="176"/>
      <c r="CI230" s="176"/>
      <c r="CJ230" s="176"/>
      <c r="CK230" s="176"/>
      <c r="CL230" s="176"/>
      <c r="CM230" s="176"/>
      <c r="CN230" s="176"/>
      <c r="CO230" s="176"/>
      <c r="CP230" s="176"/>
      <c r="CQ230" s="176"/>
      <c r="CR230" s="176"/>
      <c r="CS230" s="176"/>
      <c r="CT230" s="176"/>
    </row>
    <row r="231" spans="1:98" s="178" customFormat="1" hidden="1" outlineLevel="1" x14ac:dyDescent="0.35">
      <c r="A231" s="188" t="s">
        <v>431</v>
      </c>
      <c r="B231" s="189" t="s">
        <v>432</v>
      </c>
      <c r="C231" s="189" t="str">
        <f t="shared" si="1"/>
        <v>MU Mauritius CCC: 0,669</v>
      </c>
      <c r="D231" s="190">
        <v>0.66900000000000004</v>
      </c>
      <c r="E231" s="188" t="s">
        <v>243</v>
      </c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  <c r="AA231" s="176"/>
      <c r="AB231" s="176"/>
      <c r="AC231" s="176"/>
      <c r="AD231" s="176"/>
      <c r="AE231" s="176"/>
      <c r="AF231" s="176"/>
      <c r="AG231" s="176"/>
      <c r="AH231" s="176"/>
      <c r="AI231" s="176"/>
      <c r="AJ231" s="176"/>
      <c r="AK231" s="176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176"/>
      <c r="AV231" s="176"/>
      <c r="AW231" s="176"/>
      <c r="AX231" s="176"/>
      <c r="AY231" s="176"/>
      <c r="AZ231" s="176"/>
      <c r="BA231" s="176"/>
      <c r="BB231" s="176"/>
      <c r="BC231" s="176"/>
      <c r="BD231" s="176"/>
      <c r="BE231" s="176"/>
      <c r="BF231" s="176"/>
      <c r="BG231" s="176"/>
      <c r="BH231" s="176"/>
      <c r="BI231" s="176"/>
      <c r="BJ231" s="176"/>
      <c r="BK231" s="176"/>
      <c r="BL231" s="176"/>
      <c r="BM231" s="176"/>
      <c r="BN231" s="176"/>
      <c r="BO231" s="176"/>
      <c r="BP231" s="176"/>
      <c r="BQ231" s="176"/>
      <c r="BR231" s="176"/>
      <c r="BS231" s="176"/>
      <c r="BT231" s="176"/>
      <c r="BU231" s="176"/>
      <c r="BV231" s="176"/>
      <c r="BW231" s="176"/>
      <c r="BX231" s="176"/>
      <c r="BY231" s="176"/>
      <c r="BZ231" s="176"/>
      <c r="CA231" s="176"/>
      <c r="CB231" s="176"/>
      <c r="CC231" s="176"/>
      <c r="CD231" s="176"/>
      <c r="CE231" s="176"/>
      <c r="CF231" s="176"/>
      <c r="CG231" s="176"/>
      <c r="CH231" s="176"/>
      <c r="CI231" s="176"/>
      <c r="CJ231" s="176"/>
      <c r="CK231" s="176"/>
      <c r="CL231" s="176"/>
      <c r="CM231" s="176"/>
      <c r="CN231" s="176"/>
      <c r="CO231" s="176"/>
      <c r="CP231" s="176"/>
      <c r="CQ231" s="176"/>
      <c r="CR231" s="176"/>
      <c r="CS231" s="176"/>
      <c r="CT231" s="176"/>
    </row>
    <row r="232" spans="1:98" s="178" customFormat="1" hidden="1" outlineLevel="1" x14ac:dyDescent="0.35">
      <c r="A232" s="188" t="s">
        <v>433</v>
      </c>
      <c r="B232" s="189" t="s">
        <v>434</v>
      </c>
      <c r="C232" s="189" t="str">
        <f t="shared" si="1"/>
        <v>MX Mexico CCC: 0,55</v>
      </c>
      <c r="D232" s="190">
        <v>0.55000000000000004</v>
      </c>
      <c r="E232" s="188" t="s">
        <v>243</v>
      </c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  <c r="AA232" s="176"/>
      <c r="AB232" s="176"/>
      <c r="AC232" s="176"/>
      <c r="AD232" s="176"/>
      <c r="AE232" s="176"/>
      <c r="AF232" s="176"/>
      <c r="AG232" s="176"/>
      <c r="AH232" s="176"/>
      <c r="AI232" s="176"/>
      <c r="AJ232" s="176"/>
      <c r="AK232" s="176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176"/>
      <c r="AV232" s="176"/>
      <c r="AW232" s="176"/>
      <c r="AX232" s="176"/>
      <c r="AY232" s="176"/>
      <c r="AZ232" s="176"/>
      <c r="BA232" s="176"/>
      <c r="BB232" s="176"/>
      <c r="BC232" s="176"/>
      <c r="BD232" s="176"/>
      <c r="BE232" s="176"/>
      <c r="BF232" s="176"/>
      <c r="BG232" s="176"/>
      <c r="BH232" s="176"/>
      <c r="BI232" s="176"/>
      <c r="BJ232" s="176"/>
      <c r="BK232" s="176"/>
      <c r="BL232" s="176"/>
      <c r="BM232" s="176"/>
      <c r="BN232" s="176"/>
      <c r="BO232" s="176"/>
      <c r="BP232" s="176"/>
      <c r="BQ232" s="176"/>
      <c r="BR232" s="176"/>
      <c r="BS232" s="176"/>
      <c r="BT232" s="176"/>
      <c r="BU232" s="176"/>
      <c r="BV232" s="176"/>
      <c r="BW232" s="176"/>
      <c r="BX232" s="176"/>
      <c r="BY232" s="176"/>
      <c r="BZ232" s="176"/>
      <c r="CA232" s="176"/>
      <c r="CB232" s="176"/>
      <c r="CC232" s="176"/>
      <c r="CD232" s="176"/>
      <c r="CE232" s="176"/>
      <c r="CF232" s="176"/>
      <c r="CG232" s="176"/>
      <c r="CH232" s="176"/>
      <c r="CI232" s="176"/>
      <c r="CJ232" s="176"/>
      <c r="CK232" s="176"/>
      <c r="CL232" s="176"/>
      <c r="CM232" s="176"/>
      <c r="CN232" s="176"/>
      <c r="CO232" s="176"/>
      <c r="CP232" s="176"/>
      <c r="CQ232" s="176"/>
      <c r="CR232" s="176"/>
      <c r="CS232" s="176"/>
      <c r="CT232" s="176"/>
    </row>
    <row r="233" spans="1:98" s="178" customFormat="1" hidden="1" outlineLevel="1" x14ac:dyDescent="0.35">
      <c r="A233" s="188" t="s">
        <v>435</v>
      </c>
      <c r="B233" s="189" t="s">
        <v>436</v>
      </c>
      <c r="C233" s="189" t="str">
        <f t="shared" si="1"/>
        <v>MD Moldova (the Republic of) CCC: 0,577</v>
      </c>
      <c r="D233" s="190">
        <v>0.57699999999999996</v>
      </c>
      <c r="E233" s="188" t="s">
        <v>240</v>
      </c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  <c r="AA233" s="176"/>
      <c r="AB233" s="176"/>
      <c r="AC233" s="176"/>
      <c r="AD233" s="176"/>
      <c r="AE233" s="176"/>
      <c r="AF233" s="176"/>
      <c r="AG233" s="176"/>
      <c r="AH233" s="176"/>
      <c r="AI233" s="176"/>
      <c r="AJ233" s="176"/>
      <c r="AK233" s="176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176"/>
      <c r="AV233" s="176"/>
      <c r="AW233" s="176"/>
      <c r="AX233" s="176"/>
      <c r="AY233" s="176"/>
      <c r="AZ233" s="176"/>
      <c r="BA233" s="176"/>
      <c r="BB233" s="176"/>
      <c r="BC233" s="176"/>
      <c r="BD233" s="176"/>
      <c r="BE233" s="176"/>
      <c r="BF233" s="176"/>
      <c r="BG233" s="176"/>
      <c r="BH233" s="176"/>
      <c r="BI233" s="176"/>
      <c r="BJ233" s="176"/>
      <c r="BK233" s="176"/>
      <c r="BL233" s="176"/>
      <c r="BM233" s="176"/>
      <c r="BN233" s="176"/>
      <c r="BO233" s="176"/>
      <c r="BP233" s="176"/>
      <c r="BQ233" s="176"/>
      <c r="BR233" s="176"/>
      <c r="BS233" s="176"/>
      <c r="BT233" s="176"/>
      <c r="BU233" s="176"/>
      <c r="BV233" s="176"/>
      <c r="BW233" s="176"/>
      <c r="BX233" s="176"/>
      <c r="BY233" s="176"/>
      <c r="BZ233" s="176"/>
      <c r="CA233" s="176"/>
      <c r="CB233" s="176"/>
      <c r="CC233" s="176"/>
      <c r="CD233" s="176"/>
      <c r="CE233" s="176"/>
      <c r="CF233" s="176"/>
      <c r="CG233" s="176"/>
      <c r="CH233" s="176"/>
      <c r="CI233" s="176"/>
      <c r="CJ233" s="176"/>
      <c r="CK233" s="176"/>
      <c r="CL233" s="176"/>
      <c r="CM233" s="176"/>
      <c r="CN233" s="176"/>
      <c r="CO233" s="176"/>
      <c r="CP233" s="176"/>
      <c r="CQ233" s="176"/>
      <c r="CR233" s="176"/>
      <c r="CS233" s="176"/>
      <c r="CT233" s="176"/>
    </row>
    <row r="234" spans="1:98" s="178" customFormat="1" hidden="1" outlineLevel="1" x14ac:dyDescent="0.35">
      <c r="A234" s="188" t="s">
        <v>437</v>
      </c>
      <c r="B234" s="189" t="s">
        <v>438</v>
      </c>
      <c r="C234" s="189" t="str">
        <f t="shared" si="1"/>
        <v>ME Montenegro CCC: 0,562</v>
      </c>
      <c r="D234" s="190">
        <v>0.56200000000000006</v>
      </c>
      <c r="E234" s="188" t="s">
        <v>240</v>
      </c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  <c r="AA234" s="176"/>
      <c r="AB234" s="176"/>
      <c r="AC234" s="176"/>
      <c r="AD234" s="176"/>
      <c r="AE234" s="176"/>
      <c r="AF234" s="176"/>
      <c r="AG234" s="176"/>
      <c r="AH234" s="176"/>
      <c r="AI234" s="176"/>
      <c r="AJ234" s="176"/>
      <c r="AK234" s="176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176"/>
      <c r="AV234" s="176"/>
      <c r="AW234" s="176"/>
      <c r="AX234" s="176"/>
      <c r="AY234" s="176"/>
      <c r="AZ234" s="176"/>
      <c r="BA234" s="176"/>
      <c r="BB234" s="176"/>
      <c r="BC234" s="176"/>
      <c r="BD234" s="176"/>
      <c r="BE234" s="176"/>
      <c r="BF234" s="176"/>
      <c r="BG234" s="176"/>
      <c r="BH234" s="176"/>
      <c r="BI234" s="176"/>
      <c r="BJ234" s="176"/>
      <c r="BK234" s="176"/>
      <c r="BL234" s="176"/>
      <c r="BM234" s="176"/>
      <c r="BN234" s="176"/>
      <c r="BO234" s="176"/>
      <c r="BP234" s="176"/>
      <c r="BQ234" s="176"/>
      <c r="BR234" s="176"/>
      <c r="BS234" s="176"/>
      <c r="BT234" s="176"/>
      <c r="BU234" s="176"/>
      <c r="BV234" s="176"/>
      <c r="BW234" s="176"/>
      <c r="BX234" s="176"/>
      <c r="BY234" s="176"/>
      <c r="BZ234" s="176"/>
      <c r="CA234" s="176"/>
      <c r="CB234" s="176"/>
      <c r="CC234" s="176"/>
      <c r="CD234" s="176"/>
      <c r="CE234" s="176"/>
      <c r="CF234" s="176"/>
      <c r="CG234" s="176"/>
      <c r="CH234" s="176"/>
      <c r="CI234" s="176"/>
      <c r="CJ234" s="176"/>
      <c r="CK234" s="176"/>
      <c r="CL234" s="176"/>
      <c r="CM234" s="176"/>
      <c r="CN234" s="176"/>
      <c r="CO234" s="176"/>
      <c r="CP234" s="176"/>
      <c r="CQ234" s="176"/>
      <c r="CR234" s="176"/>
      <c r="CS234" s="176"/>
      <c r="CT234" s="176"/>
    </row>
    <row r="235" spans="1:98" s="178" customFormat="1" hidden="1" outlineLevel="1" x14ac:dyDescent="0.35">
      <c r="A235" s="188" t="s">
        <v>439</v>
      </c>
      <c r="B235" s="189" t="s">
        <v>440</v>
      </c>
      <c r="C235" s="189" t="str">
        <f t="shared" si="1"/>
        <v>MA Morocco CCC: 0,662</v>
      </c>
      <c r="D235" s="190">
        <v>0.66200000000000003</v>
      </c>
      <c r="E235" s="188" t="s">
        <v>243</v>
      </c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176"/>
      <c r="AV235" s="176"/>
      <c r="AW235" s="176"/>
      <c r="AX235" s="176"/>
      <c r="AY235" s="176"/>
      <c r="AZ235" s="176"/>
      <c r="BA235" s="176"/>
      <c r="BB235" s="176"/>
      <c r="BC235" s="176"/>
      <c r="BD235" s="176"/>
      <c r="BE235" s="176"/>
      <c r="BF235" s="176"/>
      <c r="BG235" s="176"/>
      <c r="BH235" s="176"/>
      <c r="BI235" s="176"/>
      <c r="BJ235" s="176"/>
      <c r="BK235" s="176"/>
      <c r="BL235" s="176"/>
      <c r="BM235" s="176"/>
      <c r="BN235" s="176"/>
      <c r="BO235" s="176"/>
      <c r="BP235" s="176"/>
      <c r="BQ235" s="176"/>
      <c r="BR235" s="176"/>
      <c r="BS235" s="176"/>
      <c r="BT235" s="176"/>
      <c r="BU235" s="176"/>
      <c r="BV235" s="176"/>
      <c r="BW235" s="176"/>
      <c r="BX235" s="176"/>
      <c r="BY235" s="176"/>
      <c r="BZ235" s="176"/>
      <c r="CA235" s="176"/>
      <c r="CB235" s="176"/>
      <c r="CC235" s="176"/>
      <c r="CD235" s="176"/>
      <c r="CE235" s="176"/>
      <c r="CF235" s="176"/>
      <c r="CG235" s="176"/>
      <c r="CH235" s="176"/>
      <c r="CI235" s="176"/>
      <c r="CJ235" s="176"/>
      <c r="CK235" s="176"/>
      <c r="CL235" s="176"/>
      <c r="CM235" s="176"/>
      <c r="CN235" s="176"/>
      <c r="CO235" s="176"/>
      <c r="CP235" s="176"/>
      <c r="CQ235" s="176"/>
      <c r="CR235" s="176"/>
      <c r="CS235" s="176"/>
      <c r="CT235" s="176"/>
    </row>
    <row r="236" spans="1:98" s="178" customFormat="1" hidden="1" outlineLevel="1" x14ac:dyDescent="0.35">
      <c r="A236" s="188" t="s">
        <v>441</v>
      </c>
      <c r="B236" s="189" t="s">
        <v>442</v>
      </c>
      <c r="C236" s="189" t="str">
        <f t="shared" si="1"/>
        <v>MZ Mozambique CCC: 0,654</v>
      </c>
      <c r="D236" s="190">
        <v>0.65400000000000003</v>
      </c>
      <c r="E236" s="188" t="s">
        <v>243</v>
      </c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76"/>
      <c r="AG236" s="176"/>
      <c r="AH236" s="176"/>
      <c r="AI236" s="176"/>
      <c r="AJ236" s="176"/>
      <c r="AK236" s="176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176"/>
      <c r="AV236" s="176"/>
      <c r="AW236" s="176"/>
      <c r="AX236" s="176"/>
      <c r="AY236" s="176"/>
      <c r="AZ236" s="176"/>
      <c r="BA236" s="176"/>
      <c r="BB236" s="176"/>
      <c r="BC236" s="176"/>
      <c r="BD236" s="176"/>
      <c r="BE236" s="176"/>
      <c r="BF236" s="176"/>
      <c r="BG236" s="176"/>
      <c r="BH236" s="176"/>
      <c r="BI236" s="176"/>
      <c r="BJ236" s="176"/>
      <c r="BK236" s="176"/>
      <c r="BL236" s="176"/>
      <c r="BM236" s="176"/>
      <c r="BN236" s="176"/>
      <c r="BO236" s="176"/>
      <c r="BP236" s="176"/>
      <c r="BQ236" s="176"/>
      <c r="BR236" s="176"/>
      <c r="BS236" s="176"/>
      <c r="BT236" s="176"/>
      <c r="BU236" s="176"/>
      <c r="BV236" s="176"/>
      <c r="BW236" s="176"/>
      <c r="BX236" s="176"/>
      <c r="BY236" s="176"/>
      <c r="BZ236" s="176"/>
      <c r="CA236" s="176"/>
      <c r="CB236" s="176"/>
      <c r="CC236" s="176"/>
      <c r="CD236" s="176"/>
      <c r="CE236" s="176"/>
      <c r="CF236" s="176"/>
      <c r="CG236" s="176"/>
      <c r="CH236" s="176"/>
      <c r="CI236" s="176"/>
      <c r="CJ236" s="176"/>
      <c r="CK236" s="176"/>
      <c r="CL236" s="176"/>
      <c r="CM236" s="176"/>
      <c r="CN236" s="176"/>
      <c r="CO236" s="176"/>
      <c r="CP236" s="176"/>
      <c r="CQ236" s="176"/>
      <c r="CR236" s="176"/>
      <c r="CS236" s="176"/>
      <c r="CT236" s="176"/>
    </row>
    <row r="237" spans="1:98" s="178" customFormat="1" hidden="1" outlineLevel="1" x14ac:dyDescent="0.35">
      <c r="A237" s="188" t="s">
        <v>443</v>
      </c>
      <c r="B237" s="189" t="s">
        <v>444</v>
      </c>
      <c r="C237" s="189" t="str">
        <f t="shared" si="1"/>
        <v>MM Myanmar CCC: 0,611</v>
      </c>
      <c r="D237" s="190">
        <v>0.61099999999999999</v>
      </c>
      <c r="E237" s="188" t="s">
        <v>243</v>
      </c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176"/>
      <c r="AV237" s="176"/>
      <c r="AW237" s="176"/>
      <c r="AX237" s="176"/>
      <c r="AY237" s="176"/>
      <c r="AZ237" s="176"/>
      <c r="BA237" s="176"/>
      <c r="BB237" s="176"/>
      <c r="BC237" s="176"/>
      <c r="BD237" s="176"/>
      <c r="BE237" s="176"/>
      <c r="BF237" s="176"/>
      <c r="BG237" s="176"/>
      <c r="BH237" s="176"/>
      <c r="BI237" s="176"/>
      <c r="BJ237" s="176"/>
      <c r="BK237" s="176"/>
      <c r="BL237" s="176"/>
      <c r="BM237" s="176"/>
      <c r="BN237" s="176"/>
      <c r="BO237" s="176"/>
      <c r="BP237" s="176"/>
      <c r="BQ237" s="176"/>
      <c r="BR237" s="176"/>
      <c r="BS237" s="176"/>
      <c r="BT237" s="176"/>
      <c r="BU237" s="176"/>
      <c r="BV237" s="176"/>
      <c r="BW237" s="176"/>
      <c r="BX237" s="176"/>
      <c r="BY237" s="176"/>
      <c r="BZ237" s="176"/>
      <c r="CA237" s="176"/>
      <c r="CB237" s="176"/>
      <c r="CC237" s="176"/>
      <c r="CD237" s="176"/>
      <c r="CE237" s="176"/>
      <c r="CF237" s="176"/>
      <c r="CG237" s="176"/>
      <c r="CH237" s="176"/>
      <c r="CI237" s="176"/>
      <c r="CJ237" s="176"/>
      <c r="CK237" s="176"/>
      <c r="CL237" s="176"/>
      <c r="CM237" s="176"/>
      <c r="CN237" s="176"/>
      <c r="CO237" s="176"/>
      <c r="CP237" s="176"/>
      <c r="CQ237" s="176"/>
      <c r="CR237" s="176"/>
      <c r="CS237" s="176"/>
      <c r="CT237" s="176"/>
    </row>
    <row r="238" spans="1:98" s="178" customFormat="1" hidden="1" outlineLevel="1" x14ac:dyDescent="0.35">
      <c r="A238" s="188" t="s">
        <v>445</v>
      </c>
      <c r="B238" s="189" t="s">
        <v>446</v>
      </c>
      <c r="C238" s="189" t="str">
        <f t="shared" si="1"/>
        <v>NA Namibia CCC: 0,61</v>
      </c>
      <c r="D238" s="190">
        <v>0.61</v>
      </c>
      <c r="E238" s="188" t="s">
        <v>243</v>
      </c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176"/>
      <c r="AV238" s="176"/>
      <c r="AW238" s="176"/>
      <c r="AX238" s="176"/>
      <c r="AY238" s="176"/>
      <c r="AZ238" s="176"/>
      <c r="BA238" s="176"/>
      <c r="BB238" s="176"/>
      <c r="BC238" s="176"/>
      <c r="BD238" s="176"/>
      <c r="BE238" s="176"/>
      <c r="BF238" s="176"/>
      <c r="BG238" s="176"/>
      <c r="BH238" s="176"/>
      <c r="BI238" s="176"/>
      <c r="BJ238" s="176"/>
      <c r="BK238" s="176"/>
      <c r="BL238" s="176"/>
      <c r="BM238" s="176"/>
      <c r="BN238" s="176"/>
      <c r="BO238" s="176"/>
      <c r="BP238" s="176"/>
      <c r="BQ238" s="176"/>
      <c r="BR238" s="176"/>
      <c r="BS238" s="176"/>
      <c r="BT238" s="176"/>
      <c r="BU238" s="176"/>
      <c r="BV238" s="176"/>
      <c r="BW238" s="176"/>
      <c r="BX238" s="176"/>
      <c r="BY238" s="176"/>
      <c r="BZ238" s="176"/>
      <c r="CA238" s="176"/>
      <c r="CB238" s="176"/>
      <c r="CC238" s="176"/>
      <c r="CD238" s="176"/>
      <c r="CE238" s="176"/>
      <c r="CF238" s="176"/>
      <c r="CG238" s="176"/>
      <c r="CH238" s="176"/>
      <c r="CI238" s="176"/>
      <c r="CJ238" s="176"/>
      <c r="CK238" s="176"/>
      <c r="CL238" s="176"/>
      <c r="CM238" s="176"/>
      <c r="CN238" s="176"/>
      <c r="CO238" s="176"/>
      <c r="CP238" s="176"/>
      <c r="CQ238" s="176"/>
      <c r="CR238" s="176"/>
      <c r="CS238" s="176"/>
      <c r="CT238" s="176"/>
    </row>
    <row r="239" spans="1:98" s="178" customFormat="1" hidden="1" outlineLevel="1" x14ac:dyDescent="0.35">
      <c r="A239" s="188" t="s">
        <v>447</v>
      </c>
      <c r="B239" s="189" t="s">
        <v>448</v>
      </c>
      <c r="C239" s="189" t="str">
        <f t="shared" si="1"/>
        <v>NP Nepal CCC: 0,801</v>
      </c>
      <c r="D239" s="190">
        <v>0.80100000000000005</v>
      </c>
      <c r="E239" s="188" t="s">
        <v>243</v>
      </c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176"/>
      <c r="AV239" s="176"/>
      <c r="AW239" s="176"/>
      <c r="AX239" s="176"/>
      <c r="AY239" s="176"/>
      <c r="AZ239" s="176"/>
      <c r="BA239" s="176"/>
      <c r="BB239" s="176"/>
      <c r="BC239" s="176"/>
      <c r="BD239" s="176"/>
      <c r="BE239" s="176"/>
      <c r="BF239" s="176"/>
      <c r="BG239" s="176"/>
      <c r="BH239" s="176"/>
      <c r="BI239" s="176"/>
      <c r="BJ239" s="176"/>
      <c r="BK239" s="176"/>
      <c r="BL239" s="176"/>
      <c r="BM239" s="176"/>
      <c r="BN239" s="176"/>
      <c r="BO239" s="176"/>
      <c r="BP239" s="176"/>
      <c r="BQ239" s="176"/>
      <c r="BR239" s="176"/>
      <c r="BS239" s="176"/>
      <c r="BT239" s="176"/>
      <c r="BU239" s="176"/>
      <c r="BV239" s="176"/>
      <c r="BW239" s="176"/>
      <c r="BX239" s="176"/>
      <c r="BY239" s="176"/>
      <c r="BZ239" s="176"/>
      <c r="CA239" s="176"/>
      <c r="CB239" s="176"/>
      <c r="CC239" s="176"/>
      <c r="CD239" s="176"/>
      <c r="CE239" s="176"/>
      <c r="CF239" s="176"/>
      <c r="CG239" s="176"/>
      <c r="CH239" s="176"/>
      <c r="CI239" s="176"/>
      <c r="CJ239" s="176"/>
      <c r="CK239" s="176"/>
      <c r="CL239" s="176"/>
      <c r="CM239" s="176"/>
      <c r="CN239" s="176"/>
      <c r="CO239" s="176"/>
      <c r="CP239" s="176"/>
      <c r="CQ239" s="176"/>
      <c r="CR239" s="176"/>
      <c r="CS239" s="176"/>
      <c r="CT239" s="176"/>
    </row>
    <row r="240" spans="1:98" s="178" customFormat="1" hidden="1" outlineLevel="1" x14ac:dyDescent="0.35">
      <c r="A240" s="188" t="s">
        <v>449</v>
      </c>
      <c r="B240" s="189" t="s">
        <v>450</v>
      </c>
      <c r="C240" s="189" t="str">
        <f t="shared" si="1"/>
        <v>NL Netherlands (the) CCC: 1</v>
      </c>
      <c r="D240" s="190">
        <v>1</v>
      </c>
      <c r="E240" s="188" t="s">
        <v>254</v>
      </c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176"/>
      <c r="AV240" s="176"/>
      <c r="AW240" s="176"/>
      <c r="AX240" s="176"/>
      <c r="AY240" s="176"/>
      <c r="AZ240" s="176"/>
      <c r="BA240" s="176"/>
      <c r="BB240" s="176"/>
      <c r="BC240" s="176"/>
      <c r="BD240" s="176"/>
      <c r="BE240" s="176"/>
      <c r="BF240" s="176"/>
      <c r="BG240" s="176"/>
      <c r="BH240" s="176"/>
      <c r="BI240" s="176"/>
      <c r="BJ240" s="176"/>
      <c r="BK240" s="176"/>
      <c r="BL240" s="176"/>
      <c r="BM240" s="176"/>
      <c r="BN240" s="176"/>
      <c r="BO240" s="176"/>
      <c r="BP240" s="176"/>
      <c r="BQ240" s="176"/>
      <c r="BR240" s="176"/>
      <c r="BS240" s="176"/>
      <c r="BT240" s="176"/>
      <c r="BU240" s="176"/>
      <c r="BV240" s="176"/>
      <c r="BW240" s="176"/>
      <c r="BX240" s="176"/>
      <c r="BY240" s="176"/>
      <c r="BZ240" s="176"/>
      <c r="CA240" s="176"/>
      <c r="CB240" s="176"/>
      <c r="CC240" s="176"/>
      <c r="CD240" s="176"/>
      <c r="CE240" s="176"/>
      <c r="CF240" s="176"/>
      <c r="CG240" s="176"/>
      <c r="CH240" s="176"/>
      <c r="CI240" s="176"/>
      <c r="CJ240" s="176"/>
      <c r="CK240" s="176"/>
      <c r="CL240" s="176"/>
      <c r="CM240" s="176"/>
      <c r="CN240" s="176"/>
      <c r="CO240" s="176"/>
      <c r="CP240" s="176"/>
      <c r="CQ240" s="176"/>
      <c r="CR240" s="176"/>
      <c r="CS240" s="176"/>
      <c r="CT240" s="176"/>
    </row>
    <row r="241" spans="1:98" s="178" customFormat="1" hidden="1" outlineLevel="1" x14ac:dyDescent="0.35">
      <c r="A241" s="188" t="s">
        <v>451</v>
      </c>
      <c r="B241" s="189" t="s">
        <v>452</v>
      </c>
      <c r="C241" s="189" t="str">
        <f t="shared" si="1"/>
        <v>NC New Caledonia CCC: 0,98</v>
      </c>
      <c r="D241" s="190">
        <v>0.98</v>
      </c>
      <c r="E241" s="188" t="s">
        <v>243</v>
      </c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176"/>
      <c r="AV241" s="176"/>
      <c r="AW241" s="176"/>
      <c r="AX241" s="176"/>
      <c r="AY241" s="176"/>
      <c r="AZ241" s="176"/>
      <c r="BA241" s="176"/>
      <c r="BB241" s="176"/>
      <c r="BC241" s="176"/>
      <c r="BD241" s="176"/>
      <c r="BE241" s="176"/>
      <c r="BF241" s="176"/>
      <c r="BG241" s="176"/>
      <c r="BH241" s="176"/>
      <c r="BI241" s="176"/>
      <c r="BJ241" s="176"/>
      <c r="BK241" s="176"/>
      <c r="BL241" s="176"/>
      <c r="BM241" s="176"/>
      <c r="BN241" s="176"/>
      <c r="BO241" s="176"/>
      <c r="BP241" s="176"/>
      <c r="BQ241" s="176"/>
      <c r="BR241" s="176"/>
      <c r="BS241" s="176"/>
      <c r="BT241" s="176"/>
      <c r="BU241" s="176"/>
      <c r="BV241" s="176"/>
      <c r="BW241" s="176"/>
      <c r="BX241" s="176"/>
      <c r="BY241" s="176"/>
      <c r="BZ241" s="176"/>
      <c r="CA241" s="176"/>
      <c r="CB241" s="176"/>
      <c r="CC241" s="176"/>
      <c r="CD241" s="176"/>
      <c r="CE241" s="176"/>
      <c r="CF241" s="176"/>
      <c r="CG241" s="176"/>
      <c r="CH241" s="176"/>
      <c r="CI241" s="176"/>
      <c r="CJ241" s="176"/>
      <c r="CK241" s="176"/>
      <c r="CL241" s="176"/>
      <c r="CM241" s="176"/>
      <c r="CN241" s="176"/>
      <c r="CO241" s="176"/>
      <c r="CP241" s="176"/>
      <c r="CQ241" s="176"/>
      <c r="CR241" s="176"/>
      <c r="CS241" s="176"/>
      <c r="CT241" s="176"/>
    </row>
    <row r="242" spans="1:98" s="178" customFormat="1" hidden="1" outlineLevel="1" x14ac:dyDescent="0.35">
      <c r="A242" s="188" t="s">
        <v>453</v>
      </c>
      <c r="B242" s="189" t="s">
        <v>454</v>
      </c>
      <c r="C242" s="189" t="str">
        <f t="shared" si="1"/>
        <v>NZ New Zealand CCC: 0,902</v>
      </c>
      <c r="D242" s="190">
        <v>0.90200000000000002</v>
      </c>
      <c r="E242" s="188" t="s">
        <v>243</v>
      </c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176"/>
      <c r="AV242" s="176"/>
      <c r="AW242" s="176"/>
      <c r="AX242" s="176"/>
      <c r="AY242" s="176"/>
      <c r="AZ242" s="176"/>
      <c r="BA242" s="176"/>
      <c r="BB242" s="176"/>
      <c r="BC242" s="176"/>
      <c r="BD242" s="176"/>
      <c r="BE242" s="176"/>
      <c r="BF242" s="176"/>
      <c r="BG242" s="176"/>
      <c r="BH242" s="176"/>
      <c r="BI242" s="176"/>
      <c r="BJ242" s="176"/>
      <c r="BK242" s="176"/>
      <c r="BL242" s="176"/>
      <c r="BM242" s="176"/>
      <c r="BN242" s="176"/>
      <c r="BO242" s="176"/>
      <c r="BP242" s="176"/>
      <c r="BQ242" s="176"/>
      <c r="BR242" s="176"/>
      <c r="BS242" s="176"/>
      <c r="BT242" s="176"/>
      <c r="BU242" s="176"/>
      <c r="BV242" s="176"/>
      <c r="BW242" s="176"/>
      <c r="BX242" s="176"/>
      <c r="BY242" s="176"/>
      <c r="BZ242" s="176"/>
      <c r="CA242" s="176"/>
      <c r="CB242" s="176"/>
      <c r="CC242" s="176"/>
      <c r="CD242" s="176"/>
      <c r="CE242" s="176"/>
      <c r="CF242" s="176"/>
      <c r="CG242" s="176"/>
      <c r="CH242" s="176"/>
      <c r="CI242" s="176"/>
      <c r="CJ242" s="176"/>
      <c r="CK242" s="176"/>
      <c r="CL242" s="176"/>
      <c r="CM242" s="176"/>
      <c r="CN242" s="176"/>
      <c r="CO242" s="176"/>
      <c r="CP242" s="176"/>
      <c r="CQ242" s="176"/>
      <c r="CR242" s="176"/>
      <c r="CS242" s="176"/>
      <c r="CT242" s="176"/>
    </row>
    <row r="243" spans="1:98" s="178" customFormat="1" hidden="1" outlineLevel="1" x14ac:dyDescent="0.35">
      <c r="A243" s="188" t="s">
        <v>455</v>
      </c>
      <c r="B243" s="189" t="s">
        <v>456</v>
      </c>
      <c r="C243" s="189" t="str">
        <f t="shared" si="1"/>
        <v>NI Nicaragua CCC: 0,614</v>
      </c>
      <c r="D243" s="190">
        <v>0.61399999999999999</v>
      </c>
      <c r="E243" s="188" t="s">
        <v>243</v>
      </c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176"/>
      <c r="AV243" s="176"/>
      <c r="AW243" s="176"/>
      <c r="AX243" s="176"/>
      <c r="AY243" s="176"/>
      <c r="AZ243" s="176"/>
      <c r="BA243" s="176"/>
      <c r="BB243" s="176"/>
      <c r="BC243" s="176"/>
      <c r="BD243" s="176"/>
      <c r="BE243" s="176"/>
      <c r="BF243" s="176"/>
      <c r="BG243" s="176"/>
      <c r="BH243" s="176"/>
      <c r="BI243" s="176"/>
      <c r="BJ243" s="176"/>
      <c r="BK243" s="176"/>
      <c r="BL243" s="176"/>
      <c r="BM243" s="176"/>
      <c r="BN243" s="176"/>
      <c r="BO243" s="176"/>
      <c r="BP243" s="176"/>
      <c r="BQ243" s="176"/>
      <c r="BR243" s="176"/>
      <c r="BS243" s="176"/>
      <c r="BT243" s="176"/>
      <c r="BU243" s="176"/>
      <c r="BV243" s="176"/>
      <c r="BW243" s="176"/>
      <c r="BX243" s="176"/>
      <c r="BY243" s="176"/>
      <c r="BZ243" s="176"/>
      <c r="CA243" s="176"/>
      <c r="CB243" s="176"/>
      <c r="CC243" s="176"/>
      <c r="CD243" s="176"/>
      <c r="CE243" s="176"/>
      <c r="CF243" s="176"/>
      <c r="CG243" s="176"/>
      <c r="CH243" s="176"/>
      <c r="CI243" s="176"/>
      <c r="CJ243" s="176"/>
      <c r="CK243" s="176"/>
      <c r="CL243" s="176"/>
      <c r="CM243" s="176"/>
      <c r="CN243" s="176"/>
      <c r="CO243" s="176"/>
      <c r="CP243" s="176"/>
      <c r="CQ243" s="176"/>
      <c r="CR243" s="176"/>
      <c r="CS243" s="176"/>
      <c r="CT243" s="176"/>
    </row>
    <row r="244" spans="1:98" s="178" customFormat="1" hidden="1" outlineLevel="1" x14ac:dyDescent="0.35">
      <c r="A244" s="188" t="s">
        <v>457</v>
      </c>
      <c r="B244" s="189" t="s">
        <v>458</v>
      </c>
      <c r="C244" s="189" t="str">
        <f t="shared" si="1"/>
        <v>NE Niger (the) CCC: 0,73</v>
      </c>
      <c r="D244" s="190">
        <v>0.73</v>
      </c>
      <c r="E244" s="188" t="s">
        <v>243</v>
      </c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176"/>
      <c r="AV244" s="176"/>
      <c r="AW244" s="176"/>
      <c r="AX244" s="176"/>
      <c r="AY244" s="176"/>
      <c r="AZ244" s="176"/>
      <c r="BA244" s="176"/>
      <c r="BB244" s="176"/>
      <c r="BC244" s="176"/>
      <c r="BD244" s="176"/>
      <c r="BE244" s="176"/>
      <c r="BF244" s="176"/>
      <c r="BG244" s="176"/>
      <c r="BH244" s="176"/>
      <c r="BI244" s="176"/>
      <c r="BJ244" s="176"/>
      <c r="BK244" s="176"/>
      <c r="BL244" s="176"/>
      <c r="BM244" s="176"/>
      <c r="BN244" s="176"/>
      <c r="BO244" s="176"/>
      <c r="BP244" s="176"/>
      <c r="BQ244" s="176"/>
      <c r="BR244" s="176"/>
      <c r="BS244" s="176"/>
      <c r="BT244" s="176"/>
      <c r="BU244" s="176"/>
      <c r="BV244" s="176"/>
      <c r="BW244" s="176"/>
      <c r="BX244" s="176"/>
      <c r="BY244" s="176"/>
      <c r="BZ244" s="176"/>
      <c r="CA244" s="176"/>
      <c r="CB244" s="176"/>
      <c r="CC244" s="176"/>
      <c r="CD244" s="176"/>
      <c r="CE244" s="176"/>
      <c r="CF244" s="176"/>
      <c r="CG244" s="176"/>
      <c r="CH244" s="176"/>
      <c r="CI244" s="176"/>
      <c r="CJ244" s="176"/>
      <c r="CK244" s="176"/>
      <c r="CL244" s="176"/>
      <c r="CM244" s="176"/>
      <c r="CN244" s="176"/>
      <c r="CO244" s="176"/>
      <c r="CP244" s="176"/>
      <c r="CQ244" s="176"/>
      <c r="CR244" s="176"/>
      <c r="CS244" s="176"/>
      <c r="CT244" s="176"/>
    </row>
    <row r="245" spans="1:98" s="178" customFormat="1" hidden="1" outlineLevel="1" x14ac:dyDescent="0.35">
      <c r="A245" s="188" t="s">
        <v>459</v>
      </c>
      <c r="B245" s="189" t="s">
        <v>460</v>
      </c>
      <c r="C245" s="189" t="str">
        <f t="shared" si="1"/>
        <v>NG Nigeria CCC: 0,777</v>
      </c>
      <c r="D245" s="190">
        <v>0.77700000000000002</v>
      </c>
      <c r="E245" s="188" t="s">
        <v>243</v>
      </c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176"/>
      <c r="AV245" s="176"/>
      <c r="AW245" s="176"/>
      <c r="AX245" s="176"/>
      <c r="AY245" s="176"/>
      <c r="AZ245" s="176"/>
      <c r="BA245" s="176"/>
      <c r="BB245" s="176"/>
      <c r="BC245" s="176"/>
      <c r="BD245" s="176"/>
      <c r="BE245" s="176"/>
      <c r="BF245" s="176"/>
      <c r="BG245" s="176"/>
      <c r="BH245" s="176"/>
      <c r="BI245" s="176"/>
      <c r="BJ245" s="176"/>
      <c r="BK245" s="176"/>
      <c r="BL245" s="176"/>
      <c r="BM245" s="176"/>
      <c r="BN245" s="176"/>
      <c r="BO245" s="176"/>
      <c r="BP245" s="176"/>
      <c r="BQ245" s="176"/>
      <c r="BR245" s="176"/>
      <c r="BS245" s="176"/>
      <c r="BT245" s="176"/>
      <c r="BU245" s="176"/>
      <c r="BV245" s="176"/>
      <c r="BW245" s="176"/>
      <c r="BX245" s="176"/>
      <c r="BY245" s="176"/>
      <c r="BZ245" s="176"/>
      <c r="CA245" s="176"/>
      <c r="CB245" s="176"/>
      <c r="CC245" s="176"/>
      <c r="CD245" s="176"/>
      <c r="CE245" s="176"/>
      <c r="CF245" s="176"/>
      <c r="CG245" s="176"/>
      <c r="CH245" s="176"/>
      <c r="CI245" s="176"/>
      <c r="CJ245" s="176"/>
      <c r="CK245" s="176"/>
      <c r="CL245" s="176"/>
      <c r="CM245" s="176"/>
      <c r="CN245" s="176"/>
      <c r="CO245" s="176"/>
      <c r="CP245" s="176"/>
      <c r="CQ245" s="176"/>
      <c r="CR245" s="176"/>
      <c r="CS245" s="176"/>
      <c r="CT245" s="176"/>
    </row>
    <row r="246" spans="1:98" s="178" customFormat="1" hidden="1" outlineLevel="1" x14ac:dyDescent="0.35">
      <c r="A246" s="188" t="s">
        <v>461</v>
      </c>
      <c r="B246" s="189" t="s">
        <v>462</v>
      </c>
      <c r="C246" s="189" t="str">
        <f t="shared" si="1"/>
        <v>MK North Macedonia CCC: 0,463</v>
      </c>
      <c r="D246" s="190">
        <v>0.46300000000000002</v>
      </c>
      <c r="E246" s="188" t="s">
        <v>240</v>
      </c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176"/>
      <c r="AV246" s="176"/>
      <c r="AW246" s="176"/>
      <c r="AX246" s="176"/>
      <c r="AY246" s="176"/>
      <c r="AZ246" s="176"/>
      <c r="BA246" s="176"/>
      <c r="BB246" s="176"/>
      <c r="BC246" s="176"/>
      <c r="BD246" s="176"/>
      <c r="BE246" s="176"/>
      <c r="BF246" s="176"/>
      <c r="BG246" s="176"/>
      <c r="BH246" s="176"/>
      <c r="BI246" s="176"/>
      <c r="BJ246" s="176"/>
      <c r="BK246" s="176"/>
      <c r="BL246" s="176"/>
      <c r="BM246" s="176"/>
      <c r="BN246" s="176"/>
      <c r="BO246" s="176"/>
      <c r="BP246" s="176"/>
      <c r="BQ246" s="176"/>
      <c r="BR246" s="176"/>
      <c r="BS246" s="176"/>
      <c r="BT246" s="176"/>
      <c r="BU246" s="176"/>
      <c r="BV246" s="176"/>
      <c r="BW246" s="176"/>
      <c r="BX246" s="176"/>
      <c r="BY246" s="176"/>
      <c r="BZ246" s="176"/>
      <c r="CA246" s="176"/>
      <c r="CB246" s="176"/>
      <c r="CC246" s="176"/>
      <c r="CD246" s="176"/>
      <c r="CE246" s="176"/>
      <c r="CF246" s="176"/>
      <c r="CG246" s="176"/>
      <c r="CH246" s="176"/>
      <c r="CI246" s="176"/>
      <c r="CJ246" s="176"/>
      <c r="CK246" s="176"/>
      <c r="CL246" s="176"/>
      <c r="CM246" s="176"/>
      <c r="CN246" s="176"/>
      <c r="CO246" s="176"/>
      <c r="CP246" s="176"/>
      <c r="CQ246" s="176"/>
      <c r="CR246" s="176"/>
      <c r="CS246" s="176"/>
      <c r="CT246" s="176"/>
    </row>
    <row r="247" spans="1:98" s="178" customFormat="1" hidden="1" outlineLevel="1" x14ac:dyDescent="0.35">
      <c r="A247" s="188" t="s">
        <v>463</v>
      </c>
      <c r="B247" s="189" t="s">
        <v>464</v>
      </c>
      <c r="C247" s="189" t="str">
        <f t="shared" si="1"/>
        <v>NO Norway CCC: 1,174</v>
      </c>
      <c r="D247" s="190">
        <v>1.1739999999999999</v>
      </c>
      <c r="E247" s="188" t="s">
        <v>240</v>
      </c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176"/>
      <c r="AV247" s="176"/>
      <c r="AW247" s="176"/>
      <c r="AX247" s="176"/>
      <c r="AY247" s="176"/>
      <c r="AZ247" s="176"/>
      <c r="BA247" s="176"/>
      <c r="BB247" s="176"/>
      <c r="BC247" s="176"/>
      <c r="BD247" s="176"/>
      <c r="BE247" s="176"/>
      <c r="BF247" s="176"/>
      <c r="BG247" s="176"/>
      <c r="BH247" s="176"/>
      <c r="BI247" s="176"/>
      <c r="BJ247" s="176"/>
      <c r="BK247" s="176"/>
      <c r="BL247" s="176"/>
      <c r="BM247" s="176"/>
      <c r="BN247" s="176"/>
      <c r="BO247" s="176"/>
      <c r="BP247" s="176"/>
      <c r="BQ247" s="176"/>
      <c r="BR247" s="176"/>
      <c r="BS247" s="176"/>
      <c r="BT247" s="176"/>
      <c r="BU247" s="176"/>
      <c r="BV247" s="176"/>
      <c r="BW247" s="176"/>
      <c r="BX247" s="176"/>
      <c r="BY247" s="176"/>
      <c r="BZ247" s="176"/>
      <c r="CA247" s="176"/>
      <c r="CB247" s="176"/>
      <c r="CC247" s="176"/>
      <c r="CD247" s="176"/>
      <c r="CE247" s="176"/>
      <c r="CF247" s="176"/>
      <c r="CG247" s="176"/>
      <c r="CH247" s="176"/>
      <c r="CI247" s="176"/>
      <c r="CJ247" s="176"/>
      <c r="CK247" s="176"/>
      <c r="CL247" s="176"/>
      <c r="CM247" s="176"/>
      <c r="CN247" s="176"/>
      <c r="CO247" s="176"/>
      <c r="CP247" s="176"/>
      <c r="CQ247" s="176"/>
      <c r="CR247" s="176"/>
      <c r="CS247" s="176"/>
      <c r="CT247" s="176"/>
    </row>
    <row r="248" spans="1:98" s="178" customFormat="1" hidden="1" outlineLevel="1" x14ac:dyDescent="0.35">
      <c r="A248" s="188" t="s">
        <v>465</v>
      </c>
      <c r="B248" s="189" t="s">
        <v>466</v>
      </c>
      <c r="C248" s="189" t="str">
        <f t="shared" si="1"/>
        <v>PK Pakistan CCC: 0,5</v>
      </c>
      <c r="D248" s="190">
        <v>0.5</v>
      </c>
      <c r="E248" s="188" t="s">
        <v>243</v>
      </c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176"/>
      <c r="AV248" s="176"/>
      <c r="AW248" s="176"/>
      <c r="AX248" s="176"/>
      <c r="AY248" s="176"/>
      <c r="AZ248" s="176"/>
      <c r="BA248" s="176"/>
      <c r="BB248" s="176"/>
      <c r="BC248" s="176"/>
      <c r="BD248" s="176"/>
      <c r="BE248" s="176"/>
      <c r="BF248" s="176"/>
      <c r="BG248" s="176"/>
      <c r="BH248" s="176"/>
      <c r="BI248" s="176"/>
      <c r="BJ248" s="176"/>
      <c r="BK248" s="176"/>
      <c r="BL248" s="176"/>
      <c r="BM248" s="176"/>
      <c r="BN248" s="176"/>
      <c r="BO248" s="176"/>
      <c r="BP248" s="176"/>
      <c r="BQ248" s="176"/>
      <c r="BR248" s="176"/>
      <c r="BS248" s="176"/>
      <c r="BT248" s="176"/>
      <c r="BU248" s="176"/>
      <c r="BV248" s="176"/>
      <c r="BW248" s="176"/>
      <c r="BX248" s="176"/>
      <c r="BY248" s="176"/>
      <c r="BZ248" s="176"/>
      <c r="CA248" s="176"/>
      <c r="CB248" s="176"/>
      <c r="CC248" s="176"/>
      <c r="CD248" s="176"/>
      <c r="CE248" s="176"/>
      <c r="CF248" s="176"/>
      <c r="CG248" s="176"/>
      <c r="CH248" s="176"/>
      <c r="CI248" s="176"/>
      <c r="CJ248" s="176"/>
      <c r="CK248" s="176"/>
      <c r="CL248" s="176"/>
      <c r="CM248" s="176"/>
      <c r="CN248" s="176"/>
      <c r="CO248" s="176"/>
      <c r="CP248" s="176"/>
      <c r="CQ248" s="176"/>
      <c r="CR248" s="176"/>
      <c r="CS248" s="176"/>
      <c r="CT248" s="176"/>
    </row>
    <row r="249" spans="1:98" s="178" customFormat="1" hidden="1" outlineLevel="1" x14ac:dyDescent="0.35">
      <c r="A249" s="188" t="s">
        <v>467</v>
      </c>
      <c r="B249" s="189" t="s">
        <v>466</v>
      </c>
      <c r="C249" s="189" t="str">
        <f t="shared" si="1"/>
        <v>PS Pakistan CCC: 1,026</v>
      </c>
      <c r="D249" s="190">
        <v>1.026</v>
      </c>
      <c r="E249" s="188" t="s">
        <v>243</v>
      </c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176"/>
      <c r="AV249" s="176"/>
      <c r="AW249" s="176"/>
      <c r="AX249" s="176"/>
      <c r="AY249" s="176"/>
      <c r="AZ249" s="176"/>
      <c r="BA249" s="176"/>
      <c r="BB249" s="176"/>
      <c r="BC249" s="176"/>
      <c r="BD249" s="176"/>
      <c r="BE249" s="176"/>
      <c r="BF249" s="176"/>
      <c r="BG249" s="176"/>
      <c r="BH249" s="176"/>
      <c r="BI249" s="176"/>
      <c r="BJ249" s="176"/>
      <c r="BK249" s="176"/>
      <c r="BL249" s="176"/>
      <c r="BM249" s="176"/>
      <c r="BN249" s="176"/>
      <c r="BO249" s="176"/>
      <c r="BP249" s="176"/>
      <c r="BQ249" s="176"/>
      <c r="BR249" s="176"/>
      <c r="BS249" s="176"/>
      <c r="BT249" s="176"/>
      <c r="BU249" s="176"/>
      <c r="BV249" s="176"/>
      <c r="BW249" s="176"/>
      <c r="BX249" s="176"/>
      <c r="BY249" s="176"/>
      <c r="BZ249" s="176"/>
      <c r="CA249" s="176"/>
      <c r="CB249" s="176"/>
      <c r="CC249" s="176"/>
      <c r="CD249" s="176"/>
      <c r="CE249" s="176"/>
      <c r="CF249" s="176"/>
      <c r="CG249" s="176"/>
      <c r="CH249" s="176"/>
      <c r="CI249" s="176"/>
      <c r="CJ249" s="176"/>
      <c r="CK249" s="176"/>
      <c r="CL249" s="176"/>
      <c r="CM249" s="176"/>
      <c r="CN249" s="176"/>
      <c r="CO249" s="176"/>
      <c r="CP249" s="176"/>
      <c r="CQ249" s="176"/>
      <c r="CR249" s="176"/>
      <c r="CS249" s="176"/>
      <c r="CT249" s="176"/>
    </row>
    <row r="250" spans="1:98" s="178" customFormat="1" hidden="1" outlineLevel="1" x14ac:dyDescent="0.35">
      <c r="A250" s="188" t="s">
        <v>468</v>
      </c>
      <c r="B250" s="189" t="s">
        <v>469</v>
      </c>
      <c r="C250" s="189" t="str">
        <f t="shared" si="1"/>
        <v>PA Panama CCC: 0,701</v>
      </c>
      <c r="D250" s="190">
        <v>0.70099999999999996</v>
      </c>
      <c r="E250" s="188" t="s">
        <v>243</v>
      </c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176"/>
      <c r="AV250" s="176"/>
      <c r="AW250" s="176"/>
      <c r="AX250" s="176"/>
      <c r="AY250" s="176"/>
      <c r="AZ250" s="176"/>
      <c r="BA250" s="176"/>
      <c r="BB250" s="176"/>
      <c r="BC250" s="176"/>
      <c r="BD250" s="176"/>
      <c r="BE250" s="176"/>
      <c r="BF250" s="176"/>
      <c r="BG250" s="176"/>
      <c r="BH250" s="176"/>
      <c r="BI250" s="176"/>
      <c r="BJ250" s="176"/>
      <c r="BK250" s="176"/>
      <c r="BL250" s="176"/>
      <c r="BM250" s="176"/>
      <c r="BN250" s="176"/>
      <c r="BO250" s="176"/>
      <c r="BP250" s="176"/>
      <c r="BQ250" s="176"/>
      <c r="BR250" s="176"/>
      <c r="BS250" s="176"/>
      <c r="BT250" s="176"/>
      <c r="BU250" s="176"/>
      <c r="BV250" s="176"/>
      <c r="BW250" s="176"/>
      <c r="BX250" s="176"/>
      <c r="BY250" s="176"/>
      <c r="BZ250" s="176"/>
      <c r="CA250" s="176"/>
      <c r="CB250" s="176"/>
      <c r="CC250" s="176"/>
      <c r="CD250" s="176"/>
      <c r="CE250" s="176"/>
      <c r="CF250" s="176"/>
      <c r="CG250" s="176"/>
      <c r="CH250" s="176"/>
      <c r="CI250" s="176"/>
      <c r="CJ250" s="176"/>
      <c r="CK250" s="176"/>
      <c r="CL250" s="176"/>
      <c r="CM250" s="176"/>
      <c r="CN250" s="176"/>
      <c r="CO250" s="176"/>
      <c r="CP250" s="176"/>
      <c r="CQ250" s="176"/>
      <c r="CR250" s="176"/>
      <c r="CS250" s="176"/>
      <c r="CT250" s="176"/>
    </row>
    <row r="251" spans="1:98" s="178" customFormat="1" hidden="1" outlineLevel="1" x14ac:dyDescent="0.35">
      <c r="A251" s="188" t="s">
        <v>470</v>
      </c>
      <c r="B251" s="189" t="s">
        <v>471</v>
      </c>
      <c r="C251" s="189" t="str">
        <f t="shared" si="1"/>
        <v>PG Papua New Guinea CCC: 0,911</v>
      </c>
      <c r="D251" s="190">
        <v>0.91100000000000003</v>
      </c>
      <c r="E251" s="188" t="s">
        <v>243</v>
      </c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176"/>
      <c r="AV251" s="176"/>
      <c r="AW251" s="176"/>
      <c r="AX251" s="176"/>
      <c r="AY251" s="176"/>
      <c r="AZ251" s="176"/>
      <c r="BA251" s="176"/>
      <c r="BB251" s="176"/>
      <c r="BC251" s="176"/>
      <c r="BD251" s="176"/>
      <c r="BE251" s="176"/>
      <c r="BF251" s="176"/>
      <c r="BG251" s="176"/>
      <c r="BH251" s="176"/>
      <c r="BI251" s="176"/>
      <c r="BJ251" s="176"/>
      <c r="BK251" s="176"/>
      <c r="BL251" s="176"/>
      <c r="BM251" s="176"/>
      <c r="BN251" s="176"/>
      <c r="BO251" s="176"/>
      <c r="BP251" s="176"/>
      <c r="BQ251" s="176"/>
      <c r="BR251" s="176"/>
      <c r="BS251" s="176"/>
      <c r="BT251" s="176"/>
      <c r="BU251" s="176"/>
      <c r="BV251" s="176"/>
      <c r="BW251" s="176"/>
      <c r="BX251" s="176"/>
      <c r="BY251" s="176"/>
      <c r="BZ251" s="176"/>
      <c r="CA251" s="176"/>
      <c r="CB251" s="176"/>
      <c r="CC251" s="176"/>
      <c r="CD251" s="176"/>
      <c r="CE251" s="176"/>
      <c r="CF251" s="176"/>
      <c r="CG251" s="176"/>
      <c r="CH251" s="176"/>
      <c r="CI251" s="176"/>
      <c r="CJ251" s="176"/>
      <c r="CK251" s="176"/>
      <c r="CL251" s="176"/>
      <c r="CM251" s="176"/>
      <c r="CN251" s="176"/>
      <c r="CO251" s="176"/>
      <c r="CP251" s="176"/>
      <c r="CQ251" s="176"/>
      <c r="CR251" s="176"/>
      <c r="CS251" s="176"/>
      <c r="CT251" s="176"/>
    </row>
    <row r="252" spans="1:98" s="178" customFormat="1" hidden="1" outlineLevel="1" x14ac:dyDescent="0.35">
      <c r="A252" s="188" t="s">
        <v>472</v>
      </c>
      <c r="B252" s="189" t="s">
        <v>473</v>
      </c>
      <c r="C252" s="189" t="str">
        <f t="shared" si="1"/>
        <v>PY Paraguay CCC: 0,575</v>
      </c>
      <c r="D252" s="190">
        <v>0.57499999999999996</v>
      </c>
      <c r="E252" s="188" t="s">
        <v>243</v>
      </c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  <c r="AA252" s="176"/>
      <c r="AB252" s="176"/>
      <c r="AC252" s="176"/>
      <c r="AD252" s="176"/>
      <c r="AE252" s="176"/>
      <c r="AF252" s="176"/>
      <c r="AG252" s="176"/>
      <c r="AH252" s="176"/>
      <c r="AI252" s="176"/>
      <c r="AJ252" s="176"/>
      <c r="AK252" s="176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176"/>
      <c r="AV252" s="176"/>
      <c r="AW252" s="176"/>
      <c r="AX252" s="176"/>
      <c r="AY252" s="176"/>
      <c r="AZ252" s="176"/>
      <c r="BA252" s="176"/>
      <c r="BB252" s="176"/>
      <c r="BC252" s="176"/>
      <c r="BD252" s="176"/>
      <c r="BE252" s="176"/>
      <c r="BF252" s="176"/>
      <c r="BG252" s="176"/>
      <c r="BH252" s="176"/>
      <c r="BI252" s="176"/>
      <c r="BJ252" s="176"/>
      <c r="BK252" s="176"/>
      <c r="BL252" s="176"/>
      <c r="BM252" s="176"/>
      <c r="BN252" s="176"/>
      <c r="BO252" s="176"/>
      <c r="BP252" s="176"/>
      <c r="BQ252" s="176"/>
      <c r="BR252" s="176"/>
      <c r="BS252" s="176"/>
      <c r="BT252" s="176"/>
      <c r="BU252" s="176"/>
      <c r="BV252" s="176"/>
      <c r="BW252" s="176"/>
      <c r="BX252" s="176"/>
      <c r="BY252" s="176"/>
      <c r="BZ252" s="176"/>
      <c r="CA252" s="176"/>
      <c r="CB252" s="176"/>
      <c r="CC252" s="176"/>
      <c r="CD252" s="176"/>
      <c r="CE252" s="176"/>
      <c r="CF252" s="176"/>
      <c r="CG252" s="176"/>
      <c r="CH252" s="176"/>
      <c r="CI252" s="176"/>
      <c r="CJ252" s="176"/>
      <c r="CK252" s="176"/>
      <c r="CL252" s="176"/>
      <c r="CM252" s="176"/>
      <c r="CN252" s="176"/>
      <c r="CO252" s="176"/>
      <c r="CP252" s="176"/>
      <c r="CQ252" s="176"/>
      <c r="CR252" s="176"/>
      <c r="CS252" s="176"/>
      <c r="CT252" s="176"/>
    </row>
    <row r="253" spans="1:98" s="178" customFormat="1" hidden="1" outlineLevel="1" x14ac:dyDescent="0.35">
      <c r="A253" s="188" t="s">
        <v>474</v>
      </c>
      <c r="B253" s="189" t="s">
        <v>475</v>
      </c>
      <c r="C253" s="189" t="str">
        <f t="shared" si="1"/>
        <v>PE Peru CCC: 0,803</v>
      </c>
      <c r="D253" s="190">
        <v>0.80300000000000005</v>
      </c>
      <c r="E253" s="188" t="s">
        <v>243</v>
      </c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  <c r="AA253" s="176"/>
      <c r="AB253" s="176"/>
      <c r="AC253" s="176"/>
      <c r="AD253" s="176"/>
      <c r="AE253" s="176"/>
      <c r="AF253" s="176"/>
      <c r="AG253" s="176"/>
      <c r="AH253" s="176"/>
      <c r="AI253" s="176"/>
      <c r="AJ253" s="176"/>
      <c r="AK253" s="176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176"/>
      <c r="AV253" s="176"/>
      <c r="AW253" s="176"/>
      <c r="AX253" s="176"/>
      <c r="AY253" s="176"/>
      <c r="AZ253" s="176"/>
      <c r="BA253" s="176"/>
      <c r="BB253" s="176"/>
      <c r="BC253" s="176"/>
      <c r="BD253" s="176"/>
      <c r="BE253" s="176"/>
      <c r="BF253" s="176"/>
      <c r="BG253" s="176"/>
      <c r="BH253" s="176"/>
      <c r="BI253" s="176"/>
      <c r="BJ253" s="176"/>
      <c r="BK253" s="176"/>
      <c r="BL253" s="176"/>
      <c r="BM253" s="176"/>
      <c r="BN253" s="176"/>
      <c r="BO253" s="176"/>
      <c r="BP253" s="176"/>
      <c r="BQ253" s="176"/>
      <c r="BR253" s="176"/>
      <c r="BS253" s="176"/>
      <c r="BT253" s="176"/>
      <c r="BU253" s="176"/>
      <c r="BV253" s="176"/>
      <c r="BW253" s="176"/>
      <c r="BX253" s="176"/>
      <c r="BY253" s="176"/>
      <c r="BZ253" s="176"/>
      <c r="CA253" s="176"/>
      <c r="CB253" s="176"/>
      <c r="CC253" s="176"/>
      <c r="CD253" s="176"/>
      <c r="CE253" s="176"/>
      <c r="CF253" s="176"/>
      <c r="CG253" s="176"/>
      <c r="CH253" s="176"/>
      <c r="CI253" s="176"/>
      <c r="CJ253" s="176"/>
      <c r="CK253" s="176"/>
      <c r="CL253" s="176"/>
      <c r="CM253" s="176"/>
      <c r="CN253" s="176"/>
      <c r="CO253" s="176"/>
      <c r="CP253" s="176"/>
      <c r="CQ253" s="176"/>
      <c r="CR253" s="176"/>
      <c r="CS253" s="176"/>
      <c r="CT253" s="176"/>
    </row>
    <row r="254" spans="1:98" s="178" customFormat="1" hidden="1" outlineLevel="1" x14ac:dyDescent="0.35">
      <c r="A254" s="188" t="s">
        <v>476</v>
      </c>
      <c r="B254" s="189" t="s">
        <v>477</v>
      </c>
      <c r="C254" s="189" t="str">
        <f t="shared" si="1"/>
        <v>PH Philippines (the) CCC: 0,742</v>
      </c>
      <c r="D254" s="190">
        <v>0.74199999999999999</v>
      </c>
      <c r="E254" s="188" t="s">
        <v>243</v>
      </c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  <c r="AA254" s="176"/>
      <c r="AB254" s="176"/>
      <c r="AC254" s="176"/>
      <c r="AD254" s="176"/>
      <c r="AE254" s="176"/>
      <c r="AF254" s="176"/>
      <c r="AG254" s="176"/>
      <c r="AH254" s="176"/>
      <c r="AI254" s="176"/>
      <c r="AJ254" s="176"/>
      <c r="AK254" s="176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176"/>
      <c r="AV254" s="176"/>
      <c r="AW254" s="176"/>
      <c r="AX254" s="176"/>
      <c r="AY254" s="176"/>
      <c r="AZ254" s="176"/>
      <c r="BA254" s="176"/>
      <c r="BB254" s="176"/>
      <c r="BC254" s="176"/>
      <c r="BD254" s="176"/>
      <c r="BE254" s="176"/>
      <c r="BF254" s="176"/>
      <c r="BG254" s="176"/>
      <c r="BH254" s="176"/>
      <c r="BI254" s="176"/>
      <c r="BJ254" s="176"/>
      <c r="BK254" s="176"/>
      <c r="BL254" s="176"/>
      <c r="BM254" s="176"/>
      <c r="BN254" s="176"/>
      <c r="BO254" s="176"/>
      <c r="BP254" s="176"/>
      <c r="BQ254" s="176"/>
      <c r="BR254" s="176"/>
      <c r="BS254" s="176"/>
      <c r="BT254" s="176"/>
      <c r="BU254" s="176"/>
      <c r="BV254" s="176"/>
      <c r="BW254" s="176"/>
      <c r="BX254" s="176"/>
      <c r="BY254" s="176"/>
      <c r="BZ254" s="176"/>
      <c r="CA254" s="176"/>
      <c r="CB254" s="176"/>
      <c r="CC254" s="176"/>
      <c r="CD254" s="176"/>
      <c r="CE254" s="176"/>
      <c r="CF254" s="176"/>
      <c r="CG254" s="176"/>
      <c r="CH254" s="176"/>
      <c r="CI254" s="176"/>
      <c r="CJ254" s="176"/>
      <c r="CK254" s="176"/>
      <c r="CL254" s="176"/>
      <c r="CM254" s="176"/>
      <c r="CN254" s="176"/>
      <c r="CO254" s="176"/>
      <c r="CP254" s="176"/>
      <c r="CQ254" s="176"/>
      <c r="CR254" s="176"/>
      <c r="CS254" s="176"/>
      <c r="CT254" s="176"/>
    </row>
    <row r="255" spans="1:98" s="178" customFormat="1" hidden="1" outlineLevel="1" x14ac:dyDescent="0.35">
      <c r="A255" s="188" t="s">
        <v>478</v>
      </c>
      <c r="B255" s="189" t="s">
        <v>479</v>
      </c>
      <c r="C255" s="189" t="str">
        <f t="shared" si="1"/>
        <v>PL Poland CCC: 0,643</v>
      </c>
      <c r="D255" s="190">
        <v>0.64300000000000002</v>
      </c>
      <c r="E255" s="188" t="s">
        <v>254</v>
      </c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  <c r="AA255" s="176"/>
      <c r="AB255" s="176"/>
      <c r="AC255" s="176"/>
      <c r="AD255" s="176"/>
      <c r="AE255" s="176"/>
      <c r="AF255" s="176"/>
      <c r="AG255" s="176"/>
      <c r="AH255" s="176"/>
      <c r="AI255" s="176"/>
      <c r="AJ255" s="176"/>
      <c r="AK255" s="176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176"/>
      <c r="AV255" s="176"/>
      <c r="AW255" s="176"/>
      <c r="AX255" s="176"/>
      <c r="AY255" s="176"/>
      <c r="AZ255" s="176"/>
      <c r="BA255" s="176"/>
      <c r="BB255" s="176"/>
      <c r="BC255" s="176"/>
      <c r="BD255" s="176"/>
      <c r="BE255" s="176"/>
      <c r="BF255" s="176"/>
      <c r="BG255" s="176"/>
      <c r="BH255" s="176"/>
      <c r="BI255" s="176"/>
      <c r="BJ255" s="176"/>
      <c r="BK255" s="176"/>
      <c r="BL255" s="176"/>
      <c r="BM255" s="176"/>
      <c r="BN255" s="176"/>
      <c r="BO255" s="176"/>
      <c r="BP255" s="176"/>
      <c r="BQ255" s="176"/>
      <c r="BR255" s="176"/>
      <c r="BS255" s="176"/>
      <c r="BT255" s="176"/>
      <c r="BU255" s="176"/>
      <c r="BV255" s="176"/>
      <c r="BW255" s="176"/>
      <c r="BX255" s="176"/>
      <c r="BY255" s="176"/>
      <c r="BZ255" s="176"/>
      <c r="CA255" s="176"/>
      <c r="CB255" s="176"/>
      <c r="CC255" s="176"/>
      <c r="CD255" s="176"/>
      <c r="CE255" s="176"/>
      <c r="CF255" s="176"/>
      <c r="CG255" s="176"/>
      <c r="CH255" s="176"/>
      <c r="CI255" s="176"/>
      <c r="CJ255" s="176"/>
      <c r="CK255" s="176"/>
      <c r="CL255" s="176"/>
      <c r="CM255" s="176"/>
      <c r="CN255" s="176"/>
      <c r="CO255" s="176"/>
      <c r="CP255" s="176"/>
      <c r="CQ255" s="176"/>
      <c r="CR255" s="176"/>
      <c r="CS255" s="176"/>
      <c r="CT255" s="176"/>
    </row>
    <row r="256" spans="1:98" s="178" customFormat="1" hidden="1" outlineLevel="1" x14ac:dyDescent="0.35">
      <c r="A256" s="188" t="s">
        <v>480</v>
      </c>
      <c r="B256" s="189" t="s">
        <v>481</v>
      </c>
      <c r="C256" s="189" t="str">
        <f t="shared" si="1"/>
        <v>PT Portugal CCC: 0,769</v>
      </c>
      <c r="D256" s="190">
        <v>0.76900000000000002</v>
      </c>
      <c r="E256" s="188" t="s">
        <v>254</v>
      </c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  <c r="AA256" s="176"/>
      <c r="AB256" s="176"/>
      <c r="AC256" s="176"/>
      <c r="AD256" s="176"/>
      <c r="AE256" s="176"/>
      <c r="AF256" s="176"/>
      <c r="AG256" s="176"/>
      <c r="AH256" s="176"/>
      <c r="AI256" s="176"/>
      <c r="AJ256" s="176"/>
      <c r="AK256" s="176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176"/>
      <c r="AV256" s="176"/>
      <c r="AW256" s="176"/>
      <c r="AX256" s="176"/>
      <c r="AY256" s="176"/>
      <c r="AZ256" s="176"/>
      <c r="BA256" s="176"/>
      <c r="BB256" s="176"/>
      <c r="BC256" s="176"/>
      <c r="BD256" s="176"/>
      <c r="BE256" s="176"/>
      <c r="BF256" s="176"/>
      <c r="BG256" s="176"/>
      <c r="BH256" s="176"/>
      <c r="BI256" s="176"/>
      <c r="BJ256" s="176"/>
      <c r="BK256" s="176"/>
      <c r="BL256" s="176"/>
      <c r="BM256" s="176"/>
      <c r="BN256" s="176"/>
      <c r="BO256" s="176"/>
      <c r="BP256" s="176"/>
      <c r="BQ256" s="176"/>
      <c r="BR256" s="176"/>
      <c r="BS256" s="176"/>
      <c r="BT256" s="176"/>
      <c r="BU256" s="176"/>
      <c r="BV256" s="176"/>
      <c r="BW256" s="176"/>
      <c r="BX256" s="176"/>
      <c r="BY256" s="176"/>
      <c r="BZ256" s="176"/>
      <c r="CA256" s="176"/>
      <c r="CB256" s="176"/>
      <c r="CC256" s="176"/>
      <c r="CD256" s="176"/>
      <c r="CE256" s="176"/>
      <c r="CF256" s="176"/>
      <c r="CG256" s="176"/>
      <c r="CH256" s="176"/>
      <c r="CI256" s="176"/>
      <c r="CJ256" s="176"/>
      <c r="CK256" s="176"/>
      <c r="CL256" s="176"/>
      <c r="CM256" s="176"/>
      <c r="CN256" s="176"/>
      <c r="CO256" s="176"/>
      <c r="CP256" s="176"/>
      <c r="CQ256" s="176"/>
      <c r="CR256" s="176"/>
      <c r="CS256" s="176"/>
      <c r="CT256" s="176"/>
    </row>
    <row r="257" spans="1:98" s="178" customFormat="1" hidden="1" outlineLevel="1" x14ac:dyDescent="0.35">
      <c r="A257" s="188" t="s">
        <v>482</v>
      </c>
      <c r="B257" s="189" t="s">
        <v>483</v>
      </c>
      <c r="C257" s="189" t="str">
        <f t="shared" si="1"/>
        <v>RO Romania CCC: 0,597</v>
      </c>
      <c r="D257" s="190">
        <v>0.59699999999999998</v>
      </c>
      <c r="E257" s="188" t="s">
        <v>254</v>
      </c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  <c r="AA257" s="176"/>
      <c r="AB257" s="176"/>
      <c r="AC257" s="176"/>
      <c r="AD257" s="176"/>
      <c r="AE257" s="176"/>
      <c r="AF257" s="176"/>
      <c r="AG257" s="176"/>
      <c r="AH257" s="176"/>
      <c r="AI257" s="176"/>
      <c r="AJ257" s="176"/>
      <c r="AK257" s="176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176"/>
      <c r="AV257" s="176"/>
      <c r="AW257" s="176"/>
      <c r="AX257" s="176"/>
      <c r="AY257" s="176"/>
      <c r="AZ257" s="176"/>
      <c r="BA257" s="176"/>
      <c r="BB257" s="176"/>
      <c r="BC257" s="176"/>
      <c r="BD257" s="176"/>
      <c r="BE257" s="176"/>
      <c r="BF257" s="176"/>
      <c r="BG257" s="176"/>
      <c r="BH257" s="176"/>
      <c r="BI257" s="176"/>
      <c r="BJ257" s="176"/>
      <c r="BK257" s="176"/>
      <c r="BL257" s="176"/>
      <c r="BM257" s="176"/>
      <c r="BN257" s="176"/>
      <c r="BO257" s="176"/>
      <c r="BP257" s="176"/>
      <c r="BQ257" s="176"/>
      <c r="BR257" s="176"/>
      <c r="BS257" s="176"/>
      <c r="BT257" s="176"/>
      <c r="BU257" s="176"/>
      <c r="BV257" s="176"/>
      <c r="BW257" s="176"/>
      <c r="BX257" s="176"/>
      <c r="BY257" s="176"/>
      <c r="BZ257" s="176"/>
      <c r="CA257" s="176"/>
      <c r="CB257" s="176"/>
      <c r="CC257" s="176"/>
      <c r="CD257" s="176"/>
      <c r="CE257" s="176"/>
      <c r="CF257" s="176"/>
      <c r="CG257" s="176"/>
      <c r="CH257" s="176"/>
      <c r="CI257" s="176"/>
      <c r="CJ257" s="176"/>
      <c r="CK257" s="176"/>
      <c r="CL257" s="176"/>
      <c r="CM257" s="176"/>
      <c r="CN257" s="176"/>
      <c r="CO257" s="176"/>
      <c r="CP257" s="176"/>
      <c r="CQ257" s="176"/>
      <c r="CR257" s="176"/>
      <c r="CS257" s="176"/>
      <c r="CT257" s="176"/>
    </row>
    <row r="258" spans="1:98" s="178" customFormat="1" hidden="1" outlineLevel="1" x14ac:dyDescent="0.35">
      <c r="A258" s="188" t="s">
        <v>484</v>
      </c>
      <c r="B258" s="189" t="s">
        <v>485</v>
      </c>
      <c r="C258" s="189" t="str">
        <f t="shared" si="1"/>
        <v>RU Russian Federation (the) CCC: 0,888</v>
      </c>
      <c r="D258" s="190">
        <v>0.88800000000000001</v>
      </c>
      <c r="E258" s="188" t="s">
        <v>243</v>
      </c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176"/>
      <c r="AV258" s="176"/>
      <c r="AW258" s="176"/>
      <c r="AX258" s="176"/>
      <c r="AY258" s="176"/>
      <c r="AZ258" s="176"/>
      <c r="BA258" s="176"/>
      <c r="BB258" s="176"/>
      <c r="BC258" s="176"/>
      <c r="BD258" s="176"/>
      <c r="BE258" s="176"/>
      <c r="BF258" s="176"/>
      <c r="BG258" s="176"/>
      <c r="BH258" s="176"/>
      <c r="BI258" s="176"/>
      <c r="BJ258" s="176"/>
      <c r="BK258" s="176"/>
      <c r="BL258" s="176"/>
      <c r="BM258" s="176"/>
      <c r="BN258" s="176"/>
      <c r="BO258" s="176"/>
      <c r="BP258" s="176"/>
      <c r="BQ258" s="176"/>
      <c r="BR258" s="176"/>
      <c r="BS258" s="176"/>
      <c r="BT258" s="176"/>
      <c r="BU258" s="176"/>
      <c r="BV258" s="176"/>
      <c r="BW258" s="176"/>
      <c r="BX258" s="176"/>
      <c r="BY258" s="176"/>
      <c r="BZ258" s="176"/>
      <c r="CA258" s="176"/>
      <c r="CB258" s="176"/>
      <c r="CC258" s="176"/>
      <c r="CD258" s="176"/>
      <c r="CE258" s="176"/>
      <c r="CF258" s="176"/>
      <c r="CG258" s="176"/>
      <c r="CH258" s="176"/>
      <c r="CI258" s="176"/>
      <c r="CJ258" s="176"/>
      <c r="CK258" s="176"/>
      <c r="CL258" s="176"/>
      <c r="CM258" s="176"/>
      <c r="CN258" s="176"/>
      <c r="CO258" s="176"/>
      <c r="CP258" s="176"/>
      <c r="CQ258" s="176"/>
      <c r="CR258" s="176"/>
      <c r="CS258" s="176"/>
      <c r="CT258" s="176"/>
    </row>
    <row r="259" spans="1:98" s="178" customFormat="1" hidden="1" outlineLevel="1" x14ac:dyDescent="0.35">
      <c r="A259" s="188" t="s">
        <v>486</v>
      </c>
      <c r="B259" s="189" t="s">
        <v>487</v>
      </c>
      <c r="C259" s="189" t="str">
        <f t="shared" si="1"/>
        <v>RW Rwanda CCC: 0,745</v>
      </c>
      <c r="D259" s="190">
        <v>0.745</v>
      </c>
      <c r="E259" s="188" t="s">
        <v>243</v>
      </c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176"/>
      <c r="AV259" s="176"/>
      <c r="AW259" s="176"/>
      <c r="AX259" s="176"/>
      <c r="AY259" s="176"/>
      <c r="AZ259" s="176"/>
      <c r="BA259" s="176"/>
      <c r="BB259" s="176"/>
      <c r="BC259" s="176"/>
      <c r="BD259" s="176"/>
      <c r="BE259" s="176"/>
      <c r="BF259" s="176"/>
      <c r="BG259" s="176"/>
      <c r="BH259" s="176"/>
      <c r="BI259" s="176"/>
      <c r="BJ259" s="176"/>
      <c r="BK259" s="176"/>
      <c r="BL259" s="176"/>
      <c r="BM259" s="176"/>
      <c r="BN259" s="176"/>
      <c r="BO259" s="176"/>
      <c r="BP259" s="176"/>
      <c r="BQ259" s="176"/>
      <c r="BR259" s="176"/>
      <c r="BS259" s="176"/>
      <c r="BT259" s="176"/>
      <c r="BU259" s="176"/>
      <c r="BV259" s="176"/>
      <c r="BW259" s="176"/>
      <c r="BX259" s="176"/>
      <c r="BY259" s="176"/>
      <c r="BZ259" s="176"/>
      <c r="CA259" s="176"/>
      <c r="CB259" s="176"/>
      <c r="CC259" s="176"/>
      <c r="CD259" s="176"/>
      <c r="CE259" s="176"/>
      <c r="CF259" s="176"/>
      <c r="CG259" s="176"/>
      <c r="CH259" s="176"/>
      <c r="CI259" s="176"/>
      <c r="CJ259" s="176"/>
      <c r="CK259" s="176"/>
      <c r="CL259" s="176"/>
      <c r="CM259" s="176"/>
      <c r="CN259" s="176"/>
      <c r="CO259" s="176"/>
      <c r="CP259" s="176"/>
      <c r="CQ259" s="176"/>
      <c r="CR259" s="176"/>
      <c r="CS259" s="176"/>
      <c r="CT259" s="176"/>
    </row>
    <row r="260" spans="1:98" s="178" customFormat="1" hidden="1" outlineLevel="1" x14ac:dyDescent="0.35">
      <c r="A260" s="188" t="s">
        <v>488</v>
      </c>
      <c r="B260" s="189" t="s">
        <v>489</v>
      </c>
      <c r="C260" s="189" t="str">
        <f t="shared" si="1"/>
        <v>WS Samoa CCC: 0,75</v>
      </c>
      <c r="D260" s="190">
        <v>0.75</v>
      </c>
      <c r="E260" s="188" t="s">
        <v>243</v>
      </c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176"/>
      <c r="AV260" s="176"/>
      <c r="AW260" s="176"/>
      <c r="AX260" s="176"/>
      <c r="AY260" s="176"/>
      <c r="AZ260" s="176"/>
      <c r="BA260" s="176"/>
      <c r="BB260" s="176"/>
      <c r="BC260" s="176"/>
      <c r="BD260" s="176"/>
      <c r="BE260" s="176"/>
      <c r="BF260" s="176"/>
      <c r="BG260" s="176"/>
      <c r="BH260" s="176"/>
      <c r="BI260" s="176"/>
      <c r="BJ260" s="176"/>
      <c r="BK260" s="176"/>
      <c r="BL260" s="176"/>
      <c r="BM260" s="176"/>
      <c r="BN260" s="176"/>
      <c r="BO260" s="176"/>
      <c r="BP260" s="176"/>
      <c r="BQ260" s="176"/>
      <c r="BR260" s="176"/>
      <c r="BS260" s="176"/>
      <c r="BT260" s="176"/>
      <c r="BU260" s="176"/>
      <c r="BV260" s="176"/>
      <c r="BW260" s="176"/>
      <c r="BX260" s="176"/>
      <c r="BY260" s="176"/>
      <c r="BZ260" s="176"/>
      <c r="CA260" s="176"/>
      <c r="CB260" s="176"/>
      <c r="CC260" s="176"/>
      <c r="CD260" s="176"/>
      <c r="CE260" s="176"/>
      <c r="CF260" s="176"/>
      <c r="CG260" s="176"/>
      <c r="CH260" s="176"/>
      <c r="CI260" s="176"/>
      <c r="CJ260" s="176"/>
      <c r="CK260" s="176"/>
      <c r="CL260" s="176"/>
      <c r="CM260" s="176"/>
      <c r="CN260" s="176"/>
      <c r="CO260" s="176"/>
      <c r="CP260" s="176"/>
      <c r="CQ260" s="176"/>
      <c r="CR260" s="176"/>
      <c r="CS260" s="176"/>
      <c r="CT260" s="176"/>
    </row>
    <row r="261" spans="1:98" s="178" customFormat="1" hidden="1" outlineLevel="1" x14ac:dyDescent="0.35">
      <c r="A261" s="188" t="s">
        <v>490</v>
      </c>
      <c r="B261" s="189" t="s">
        <v>491</v>
      </c>
      <c r="C261" s="189" t="str">
        <f t="shared" si="1"/>
        <v>SA Saudi Arabia CCC: 0,761</v>
      </c>
      <c r="D261" s="190">
        <v>0.76100000000000001</v>
      </c>
      <c r="E261" s="188" t="s">
        <v>243</v>
      </c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176"/>
      <c r="AV261" s="176"/>
      <c r="AW261" s="176"/>
      <c r="AX261" s="176"/>
      <c r="AY261" s="176"/>
      <c r="AZ261" s="176"/>
      <c r="BA261" s="176"/>
      <c r="BB261" s="176"/>
      <c r="BC261" s="176"/>
      <c r="BD261" s="176"/>
      <c r="BE261" s="176"/>
      <c r="BF261" s="176"/>
      <c r="BG261" s="176"/>
      <c r="BH261" s="176"/>
      <c r="BI261" s="176"/>
      <c r="BJ261" s="176"/>
      <c r="BK261" s="176"/>
      <c r="BL261" s="176"/>
      <c r="BM261" s="176"/>
      <c r="BN261" s="176"/>
      <c r="BO261" s="176"/>
      <c r="BP261" s="176"/>
      <c r="BQ261" s="176"/>
      <c r="BR261" s="176"/>
      <c r="BS261" s="176"/>
      <c r="BT261" s="176"/>
      <c r="BU261" s="176"/>
      <c r="BV261" s="176"/>
      <c r="BW261" s="176"/>
      <c r="BX261" s="176"/>
      <c r="BY261" s="176"/>
      <c r="BZ261" s="176"/>
      <c r="CA261" s="176"/>
      <c r="CB261" s="176"/>
      <c r="CC261" s="176"/>
      <c r="CD261" s="176"/>
      <c r="CE261" s="176"/>
      <c r="CF261" s="176"/>
      <c r="CG261" s="176"/>
      <c r="CH261" s="176"/>
      <c r="CI261" s="176"/>
      <c r="CJ261" s="176"/>
      <c r="CK261" s="176"/>
      <c r="CL261" s="176"/>
      <c r="CM261" s="176"/>
      <c r="CN261" s="176"/>
      <c r="CO261" s="176"/>
      <c r="CP261" s="176"/>
      <c r="CQ261" s="176"/>
      <c r="CR261" s="176"/>
      <c r="CS261" s="176"/>
      <c r="CT261" s="176"/>
    </row>
    <row r="262" spans="1:98" s="178" customFormat="1" hidden="1" outlineLevel="1" x14ac:dyDescent="0.35">
      <c r="A262" s="188" t="s">
        <v>492</v>
      </c>
      <c r="B262" s="189" t="s">
        <v>493</v>
      </c>
      <c r="C262" s="189" t="str">
        <f t="shared" si="1"/>
        <v>SN Senegal CCC: 0,898</v>
      </c>
      <c r="D262" s="190">
        <v>0.89800000000000002</v>
      </c>
      <c r="E262" s="188" t="s">
        <v>243</v>
      </c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176"/>
      <c r="AV262" s="176"/>
      <c r="AW262" s="176"/>
      <c r="AX262" s="176"/>
      <c r="AY262" s="176"/>
      <c r="AZ262" s="176"/>
      <c r="BA262" s="176"/>
      <c r="BB262" s="176"/>
      <c r="BC262" s="176"/>
      <c r="BD262" s="176"/>
      <c r="BE262" s="176"/>
      <c r="BF262" s="176"/>
      <c r="BG262" s="176"/>
      <c r="BH262" s="176"/>
      <c r="BI262" s="176"/>
      <c r="BJ262" s="176"/>
      <c r="BK262" s="176"/>
      <c r="BL262" s="176"/>
      <c r="BM262" s="176"/>
      <c r="BN262" s="176"/>
      <c r="BO262" s="176"/>
      <c r="BP262" s="176"/>
      <c r="BQ262" s="176"/>
      <c r="BR262" s="176"/>
      <c r="BS262" s="176"/>
      <c r="BT262" s="176"/>
      <c r="BU262" s="176"/>
      <c r="BV262" s="176"/>
      <c r="BW262" s="176"/>
      <c r="BX262" s="176"/>
      <c r="BY262" s="176"/>
      <c r="BZ262" s="176"/>
      <c r="CA262" s="176"/>
      <c r="CB262" s="176"/>
      <c r="CC262" s="176"/>
      <c r="CD262" s="176"/>
      <c r="CE262" s="176"/>
      <c r="CF262" s="176"/>
      <c r="CG262" s="176"/>
      <c r="CH262" s="176"/>
      <c r="CI262" s="176"/>
      <c r="CJ262" s="176"/>
      <c r="CK262" s="176"/>
      <c r="CL262" s="176"/>
      <c r="CM262" s="176"/>
      <c r="CN262" s="176"/>
      <c r="CO262" s="176"/>
      <c r="CP262" s="176"/>
      <c r="CQ262" s="176"/>
      <c r="CR262" s="176"/>
      <c r="CS262" s="176"/>
      <c r="CT262" s="176"/>
    </row>
    <row r="263" spans="1:98" s="178" customFormat="1" hidden="1" outlineLevel="1" x14ac:dyDescent="0.35">
      <c r="A263" s="188" t="s">
        <v>494</v>
      </c>
      <c r="B263" s="189" t="s">
        <v>495</v>
      </c>
      <c r="C263" s="189" t="str">
        <f t="shared" si="1"/>
        <v>RS Serbia CCC: 0,526</v>
      </c>
      <c r="D263" s="190">
        <v>0.52600000000000002</v>
      </c>
      <c r="E263" s="188" t="s">
        <v>240</v>
      </c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176"/>
      <c r="AV263" s="176"/>
      <c r="AW263" s="176"/>
      <c r="AX263" s="176"/>
      <c r="AY263" s="176"/>
      <c r="AZ263" s="176"/>
      <c r="BA263" s="176"/>
      <c r="BB263" s="176"/>
      <c r="BC263" s="176"/>
      <c r="BD263" s="176"/>
      <c r="BE263" s="176"/>
      <c r="BF263" s="176"/>
      <c r="BG263" s="176"/>
      <c r="BH263" s="176"/>
      <c r="BI263" s="176"/>
      <c r="BJ263" s="176"/>
      <c r="BK263" s="176"/>
      <c r="BL263" s="176"/>
      <c r="BM263" s="176"/>
      <c r="BN263" s="176"/>
      <c r="BO263" s="176"/>
      <c r="BP263" s="176"/>
      <c r="BQ263" s="176"/>
      <c r="BR263" s="176"/>
      <c r="BS263" s="176"/>
      <c r="BT263" s="176"/>
      <c r="BU263" s="176"/>
      <c r="BV263" s="176"/>
      <c r="BW263" s="176"/>
      <c r="BX263" s="176"/>
      <c r="BY263" s="176"/>
      <c r="BZ263" s="176"/>
      <c r="CA263" s="176"/>
      <c r="CB263" s="176"/>
      <c r="CC263" s="176"/>
      <c r="CD263" s="176"/>
      <c r="CE263" s="176"/>
      <c r="CF263" s="176"/>
      <c r="CG263" s="176"/>
      <c r="CH263" s="176"/>
      <c r="CI263" s="176"/>
      <c r="CJ263" s="176"/>
      <c r="CK263" s="176"/>
      <c r="CL263" s="176"/>
      <c r="CM263" s="176"/>
      <c r="CN263" s="176"/>
      <c r="CO263" s="176"/>
      <c r="CP263" s="176"/>
      <c r="CQ263" s="176"/>
      <c r="CR263" s="176"/>
      <c r="CS263" s="176"/>
      <c r="CT263" s="176"/>
    </row>
    <row r="264" spans="1:98" s="178" customFormat="1" hidden="1" outlineLevel="1" x14ac:dyDescent="0.35">
      <c r="A264" s="188" t="s">
        <v>496</v>
      </c>
      <c r="B264" s="189" t="s">
        <v>497</v>
      </c>
      <c r="C264" s="189" t="str">
        <f t="shared" ref="C264:C302" si="2">A264&amp;" "&amp;B264&amp;" "&amp;"CCC: "&amp;D264</f>
        <v>SL Sierra Leone CCC: 0,977</v>
      </c>
      <c r="D264" s="190">
        <v>0.97699999999999998</v>
      </c>
      <c r="E264" s="188" t="s">
        <v>243</v>
      </c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176"/>
      <c r="AV264" s="176"/>
      <c r="AW264" s="176"/>
      <c r="AX264" s="176"/>
      <c r="AY264" s="176"/>
      <c r="AZ264" s="176"/>
      <c r="BA264" s="176"/>
      <c r="BB264" s="176"/>
      <c r="BC264" s="176"/>
      <c r="BD264" s="176"/>
      <c r="BE264" s="176"/>
      <c r="BF264" s="176"/>
      <c r="BG264" s="176"/>
      <c r="BH264" s="176"/>
      <c r="BI264" s="176"/>
      <c r="BJ264" s="176"/>
      <c r="BK264" s="176"/>
      <c r="BL264" s="176"/>
      <c r="BM264" s="176"/>
      <c r="BN264" s="176"/>
      <c r="BO264" s="176"/>
      <c r="BP264" s="176"/>
      <c r="BQ264" s="176"/>
      <c r="BR264" s="176"/>
      <c r="BS264" s="176"/>
      <c r="BT264" s="176"/>
      <c r="BU264" s="176"/>
      <c r="BV264" s="176"/>
      <c r="BW264" s="176"/>
      <c r="BX264" s="176"/>
      <c r="BY264" s="176"/>
      <c r="BZ264" s="176"/>
      <c r="CA264" s="176"/>
      <c r="CB264" s="176"/>
      <c r="CC264" s="176"/>
      <c r="CD264" s="176"/>
      <c r="CE264" s="176"/>
      <c r="CF264" s="176"/>
      <c r="CG264" s="176"/>
      <c r="CH264" s="176"/>
      <c r="CI264" s="176"/>
      <c r="CJ264" s="176"/>
      <c r="CK264" s="176"/>
      <c r="CL264" s="176"/>
      <c r="CM264" s="176"/>
      <c r="CN264" s="176"/>
      <c r="CO264" s="176"/>
      <c r="CP264" s="176"/>
      <c r="CQ264" s="176"/>
      <c r="CR264" s="176"/>
      <c r="CS264" s="176"/>
      <c r="CT264" s="176"/>
    </row>
    <row r="265" spans="1:98" s="178" customFormat="1" hidden="1" outlineLevel="1" x14ac:dyDescent="0.35">
      <c r="A265" s="188" t="s">
        <v>498</v>
      </c>
      <c r="B265" s="189" t="s">
        <v>499</v>
      </c>
      <c r="C265" s="189" t="str">
        <f t="shared" si="2"/>
        <v>SG Singapore CCC: 1,135</v>
      </c>
      <c r="D265" s="190">
        <v>1.135</v>
      </c>
      <c r="E265" s="188" t="s">
        <v>243</v>
      </c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176"/>
      <c r="AV265" s="176"/>
      <c r="AW265" s="176"/>
      <c r="AX265" s="176"/>
      <c r="AY265" s="176"/>
      <c r="AZ265" s="176"/>
      <c r="BA265" s="176"/>
      <c r="BB265" s="176"/>
      <c r="BC265" s="176"/>
      <c r="BD265" s="176"/>
      <c r="BE265" s="176"/>
      <c r="BF265" s="176"/>
      <c r="BG265" s="176"/>
      <c r="BH265" s="176"/>
      <c r="BI265" s="176"/>
      <c r="BJ265" s="176"/>
      <c r="BK265" s="176"/>
      <c r="BL265" s="176"/>
      <c r="BM265" s="176"/>
      <c r="BN265" s="176"/>
      <c r="BO265" s="176"/>
      <c r="BP265" s="176"/>
      <c r="BQ265" s="176"/>
      <c r="BR265" s="176"/>
      <c r="BS265" s="176"/>
      <c r="BT265" s="176"/>
      <c r="BU265" s="176"/>
      <c r="BV265" s="176"/>
      <c r="BW265" s="176"/>
      <c r="BX265" s="176"/>
      <c r="BY265" s="176"/>
      <c r="BZ265" s="176"/>
      <c r="CA265" s="176"/>
      <c r="CB265" s="176"/>
      <c r="CC265" s="176"/>
      <c r="CD265" s="176"/>
      <c r="CE265" s="176"/>
      <c r="CF265" s="176"/>
      <c r="CG265" s="176"/>
      <c r="CH265" s="176"/>
      <c r="CI265" s="176"/>
      <c r="CJ265" s="176"/>
      <c r="CK265" s="176"/>
      <c r="CL265" s="176"/>
      <c r="CM265" s="176"/>
      <c r="CN265" s="176"/>
      <c r="CO265" s="176"/>
      <c r="CP265" s="176"/>
      <c r="CQ265" s="176"/>
      <c r="CR265" s="176"/>
      <c r="CS265" s="176"/>
      <c r="CT265" s="176"/>
    </row>
    <row r="266" spans="1:98" s="178" customFormat="1" hidden="1" outlineLevel="1" x14ac:dyDescent="0.35">
      <c r="A266" s="188" t="s">
        <v>500</v>
      </c>
      <c r="B266" s="189" t="s">
        <v>501</v>
      </c>
      <c r="C266" s="189" t="str">
        <f t="shared" si="2"/>
        <v>SK Slovakia CCC: 0,713</v>
      </c>
      <c r="D266" s="190">
        <v>0.71299999999999997</v>
      </c>
      <c r="E266" s="188" t="s">
        <v>254</v>
      </c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176"/>
      <c r="AV266" s="176"/>
      <c r="AW266" s="176"/>
      <c r="AX266" s="176"/>
      <c r="AY266" s="176"/>
      <c r="AZ266" s="176"/>
      <c r="BA266" s="176"/>
      <c r="BB266" s="176"/>
      <c r="BC266" s="176"/>
      <c r="BD266" s="176"/>
      <c r="BE266" s="176"/>
      <c r="BF266" s="176"/>
      <c r="BG266" s="176"/>
      <c r="BH266" s="176"/>
      <c r="BI266" s="176"/>
      <c r="BJ266" s="176"/>
      <c r="BK266" s="176"/>
      <c r="BL266" s="176"/>
      <c r="BM266" s="176"/>
      <c r="BN266" s="176"/>
      <c r="BO266" s="176"/>
      <c r="BP266" s="176"/>
      <c r="BQ266" s="176"/>
      <c r="BR266" s="176"/>
      <c r="BS266" s="176"/>
      <c r="BT266" s="176"/>
      <c r="BU266" s="176"/>
      <c r="BV266" s="176"/>
      <c r="BW266" s="176"/>
      <c r="BX266" s="176"/>
      <c r="BY266" s="176"/>
      <c r="BZ266" s="176"/>
      <c r="CA266" s="176"/>
      <c r="CB266" s="176"/>
      <c r="CC266" s="176"/>
      <c r="CD266" s="176"/>
      <c r="CE266" s="176"/>
      <c r="CF266" s="176"/>
      <c r="CG266" s="176"/>
      <c r="CH266" s="176"/>
      <c r="CI266" s="176"/>
      <c r="CJ266" s="176"/>
      <c r="CK266" s="176"/>
      <c r="CL266" s="176"/>
      <c r="CM266" s="176"/>
      <c r="CN266" s="176"/>
      <c r="CO266" s="176"/>
      <c r="CP266" s="176"/>
      <c r="CQ266" s="176"/>
      <c r="CR266" s="176"/>
      <c r="CS266" s="176"/>
      <c r="CT266" s="176"/>
    </row>
    <row r="267" spans="1:98" s="178" customFormat="1" hidden="1" outlineLevel="1" x14ac:dyDescent="0.35">
      <c r="A267" s="188" t="s">
        <v>502</v>
      </c>
      <c r="B267" s="189" t="s">
        <v>503</v>
      </c>
      <c r="C267" s="189" t="str">
        <f t="shared" si="2"/>
        <v>SI Slovenia CCC: 0,76</v>
      </c>
      <c r="D267" s="190">
        <v>0.76</v>
      </c>
      <c r="E267" s="188" t="s">
        <v>254</v>
      </c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  <c r="AA267" s="176"/>
      <c r="AB267" s="176"/>
      <c r="AC267" s="176"/>
      <c r="AD267" s="176"/>
      <c r="AE267" s="176"/>
      <c r="AF267" s="176"/>
      <c r="AG267" s="176"/>
      <c r="AH267" s="176"/>
      <c r="AI267" s="176"/>
      <c r="AJ267" s="176"/>
      <c r="AK267" s="176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176"/>
      <c r="AV267" s="176"/>
      <c r="AW267" s="176"/>
      <c r="AX267" s="176"/>
      <c r="AY267" s="176"/>
      <c r="AZ267" s="176"/>
      <c r="BA267" s="176"/>
      <c r="BB267" s="176"/>
      <c r="BC267" s="176"/>
      <c r="BD267" s="176"/>
      <c r="BE267" s="176"/>
      <c r="BF267" s="176"/>
      <c r="BG267" s="176"/>
      <c r="BH267" s="176"/>
      <c r="BI267" s="176"/>
      <c r="BJ267" s="176"/>
      <c r="BK267" s="176"/>
      <c r="BL267" s="176"/>
      <c r="BM267" s="176"/>
      <c r="BN267" s="176"/>
      <c r="BO267" s="176"/>
      <c r="BP267" s="176"/>
      <c r="BQ267" s="176"/>
      <c r="BR267" s="176"/>
      <c r="BS267" s="176"/>
      <c r="BT267" s="176"/>
      <c r="BU267" s="176"/>
      <c r="BV267" s="176"/>
      <c r="BW267" s="176"/>
      <c r="BX267" s="176"/>
      <c r="BY267" s="176"/>
      <c r="BZ267" s="176"/>
      <c r="CA267" s="176"/>
      <c r="CB267" s="176"/>
      <c r="CC267" s="176"/>
      <c r="CD267" s="176"/>
      <c r="CE267" s="176"/>
      <c r="CF267" s="176"/>
      <c r="CG267" s="176"/>
      <c r="CH267" s="176"/>
      <c r="CI267" s="176"/>
      <c r="CJ267" s="176"/>
      <c r="CK267" s="176"/>
      <c r="CL267" s="176"/>
      <c r="CM267" s="176"/>
      <c r="CN267" s="176"/>
      <c r="CO267" s="176"/>
      <c r="CP267" s="176"/>
      <c r="CQ267" s="176"/>
      <c r="CR267" s="176"/>
      <c r="CS267" s="176"/>
      <c r="CT267" s="176"/>
    </row>
    <row r="268" spans="1:98" s="178" customFormat="1" hidden="1" outlineLevel="1" x14ac:dyDescent="0.35">
      <c r="A268" s="188" t="s">
        <v>504</v>
      </c>
      <c r="B268" s="189" t="s">
        <v>505</v>
      </c>
      <c r="C268" s="189" t="str">
        <f t="shared" si="2"/>
        <v>SB Solomon Islands CCC: 1,028</v>
      </c>
      <c r="D268" s="190">
        <v>1.028</v>
      </c>
      <c r="E268" s="188" t="s">
        <v>243</v>
      </c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  <c r="AA268" s="176"/>
      <c r="AB268" s="176"/>
      <c r="AC268" s="176"/>
      <c r="AD268" s="176"/>
      <c r="AE268" s="176"/>
      <c r="AF268" s="176"/>
      <c r="AG268" s="176"/>
      <c r="AH268" s="176"/>
      <c r="AI268" s="176"/>
      <c r="AJ268" s="176"/>
      <c r="AK268" s="176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176"/>
      <c r="AV268" s="176"/>
      <c r="AW268" s="176"/>
      <c r="AX268" s="176"/>
      <c r="AY268" s="176"/>
      <c r="AZ268" s="176"/>
      <c r="BA268" s="176"/>
      <c r="BB268" s="176"/>
      <c r="BC268" s="176"/>
      <c r="BD268" s="176"/>
      <c r="BE268" s="176"/>
      <c r="BF268" s="176"/>
      <c r="BG268" s="176"/>
      <c r="BH268" s="176"/>
      <c r="BI268" s="176"/>
      <c r="BJ268" s="176"/>
      <c r="BK268" s="176"/>
      <c r="BL268" s="176"/>
      <c r="BM268" s="176"/>
      <c r="BN268" s="176"/>
      <c r="BO268" s="176"/>
      <c r="BP268" s="176"/>
      <c r="BQ268" s="176"/>
      <c r="BR268" s="176"/>
      <c r="BS268" s="176"/>
      <c r="BT268" s="176"/>
      <c r="BU268" s="176"/>
      <c r="BV268" s="176"/>
      <c r="BW268" s="176"/>
      <c r="BX268" s="176"/>
      <c r="BY268" s="176"/>
      <c r="BZ268" s="176"/>
      <c r="CA268" s="176"/>
      <c r="CB268" s="176"/>
      <c r="CC268" s="176"/>
      <c r="CD268" s="176"/>
      <c r="CE268" s="176"/>
      <c r="CF268" s="176"/>
      <c r="CG268" s="176"/>
      <c r="CH268" s="176"/>
      <c r="CI268" s="176"/>
      <c r="CJ268" s="176"/>
      <c r="CK268" s="176"/>
      <c r="CL268" s="176"/>
      <c r="CM268" s="176"/>
      <c r="CN268" s="176"/>
      <c r="CO268" s="176"/>
      <c r="CP268" s="176"/>
      <c r="CQ268" s="176"/>
      <c r="CR268" s="176"/>
      <c r="CS268" s="176"/>
      <c r="CT268" s="176"/>
    </row>
    <row r="269" spans="1:98" s="178" customFormat="1" hidden="1" outlineLevel="1" x14ac:dyDescent="0.35">
      <c r="A269" s="188" t="s">
        <v>506</v>
      </c>
      <c r="B269" s="189" t="s">
        <v>507</v>
      </c>
      <c r="C269" s="189" t="str">
        <f t="shared" si="2"/>
        <v>ZA South Africa CCC: 0,505</v>
      </c>
      <c r="D269" s="190">
        <v>0.505</v>
      </c>
      <c r="E269" s="188" t="s">
        <v>243</v>
      </c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  <c r="AA269" s="176"/>
      <c r="AB269" s="176"/>
      <c r="AC269" s="176"/>
      <c r="AD269" s="176"/>
      <c r="AE269" s="176"/>
      <c r="AF269" s="176"/>
      <c r="AG269" s="176"/>
      <c r="AH269" s="176"/>
      <c r="AI269" s="176"/>
      <c r="AJ269" s="176"/>
      <c r="AK269" s="176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176"/>
      <c r="AV269" s="176"/>
      <c r="AW269" s="176"/>
      <c r="AX269" s="176"/>
      <c r="AY269" s="176"/>
      <c r="AZ269" s="176"/>
      <c r="BA269" s="176"/>
      <c r="BB269" s="176"/>
      <c r="BC269" s="176"/>
      <c r="BD269" s="176"/>
      <c r="BE269" s="176"/>
      <c r="BF269" s="176"/>
      <c r="BG269" s="176"/>
      <c r="BH269" s="176"/>
      <c r="BI269" s="176"/>
      <c r="BJ269" s="176"/>
      <c r="BK269" s="176"/>
      <c r="BL269" s="176"/>
      <c r="BM269" s="176"/>
      <c r="BN269" s="176"/>
      <c r="BO269" s="176"/>
      <c r="BP269" s="176"/>
      <c r="BQ269" s="176"/>
      <c r="BR269" s="176"/>
      <c r="BS269" s="176"/>
      <c r="BT269" s="176"/>
      <c r="BU269" s="176"/>
      <c r="BV269" s="176"/>
      <c r="BW269" s="176"/>
      <c r="BX269" s="176"/>
      <c r="BY269" s="176"/>
      <c r="BZ269" s="176"/>
      <c r="CA269" s="176"/>
      <c r="CB269" s="176"/>
      <c r="CC269" s="176"/>
      <c r="CD269" s="176"/>
      <c r="CE269" s="176"/>
      <c r="CF269" s="176"/>
      <c r="CG269" s="176"/>
      <c r="CH269" s="176"/>
      <c r="CI269" s="176"/>
      <c r="CJ269" s="176"/>
      <c r="CK269" s="176"/>
      <c r="CL269" s="176"/>
      <c r="CM269" s="176"/>
      <c r="CN269" s="176"/>
      <c r="CO269" s="176"/>
      <c r="CP269" s="176"/>
      <c r="CQ269" s="176"/>
      <c r="CR269" s="176"/>
      <c r="CS269" s="176"/>
      <c r="CT269" s="176"/>
    </row>
    <row r="270" spans="1:98" s="178" customFormat="1" hidden="1" outlineLevel="1" x14ac:dyDescent="0.35">
      <c r="A270" s="188" t="s">
        <v>508</v>
      </c>
      <c r="B270" s="189" t="s">
        <v>509</v>
      </c>
      <c r="C270" s="189" t="str">
        <f t="shared" si="2"/>
        <v>ES Spain CCC: 0,833</v>
      </c>
      <c r="D270" s="190">
        <v>0.83299999999999996</v>
      </c>
      <c r="E270" s="188" t="s">
        <v>254</v>
      </c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176"/>
      <c r="AV270" s="176"/>
      <c r="AW270" s="176"/>
      <c r="AX270" s="176"/>
      <c r="AY270" s="176"/>
      <c r="AZ270" s="176"/>
      <c r="BA270" s="176"/>
      <c r="BB270" s="176"/>
      <c r="BC270" s="176"/>
      <c r="BD270" s="176"/>
      <c r="BE270" s="176"/>
      <c r="BF270" s="176"/>
      <c r="BG270" s="176"/>
      <c r="BH270" s="176"/>
      <c r="BI270" s="176"/>
      <c r="BJ270" s="176"/>
      <c r="BK270" s="176"/>
      <c r="BL270" s="176"/>
      <c r="BM270" s="176"/>
      <c r="BN270" s="176"/>
      <c r="BO270" s="176"/>
      <c r="BP270" s="176"/>
      <c r="BQ270" s="176"/>
      <c r="BR270" s="176"/>
      <c r="BS270" s="176"/>
      <c r="BT270" s="176"/>
      <c r="BU270" s="176"/>
      <c r="BV270" s="176"/>
      <c r="BW270" s="176"/>
      <c r="BX270" s="176"/>
      <c r="BY270" s="176"/>
      <c r="BZ270" s="176"/>
      <c r="CA270" s="176"/>
      <c r="CB270" s="176"/>
      <c r="CC270" s="176"/>
      <c r="CD270" s="176"/>
      <c r="CE270" s="176"/>
      <c r="CF270" s="176"/>
      <c r="CG270" s="176"/>
      <c r="CH270" s="176"/>
      <c r="CI270" s="176"/>
      <c r="CJ270" s="176"/>
      <c r="CK270" s="176"/>
      <c r="CL270" s="176"/>
      <c r="CM270" s="176"/>
      <c r="CN270" s="176"/>
      <c r="CO270" s="176"/>
      <c r="CP270" s="176"/>
      <c r="CQ270" s="176"/>
      <c r="CR270" s="176"/>
      <c r="CS270" s="176"/>
      <c r="CT270" s="176"/>
    </row>
    <row r="271" spans="1:98" s="178" customFormat="1" hidden="1" outlineLevel="1" x14ac:dyDescent="0.35">
      <c r="A271" s="188" t="s">
        <v>510</v>
      </c>
      <c r="B271" s="189" t="s">
        <v>511</v>
      </c>
      <c r="C271" s="189" t="str">
        <f t="shared" si="2"/>
        <v>LK Sri Lanka CCC: 0,706</v>
      </c>
      <c r="D271" s="190">
        <v>0.70599999999999996</v>
      </c>
      <c r="E271" s="188" t="s">
        <v>243</v>
      </c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  <c r="AA271" s="176"/>
      <c r="AB271" s="176"/>
      <c r="AC271" s="176"/>
      <c r="AD271" s="176"/>
      <c r="AE271" s="176"/>
      <c r="AF271" s="176"/>
      <c r="AG271" s="176"/>
      <c r="AH271" s="176"/>
      <c r="AI271" s="176"/>
      <c r="AJ271" s="176"/>
      <c r="AK271" s="176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176"/>
      <c r="AV271" s="176"/>
      <c r="AW271" s="176"/>
      <c r="AX271" s="176"/>
      <c r="AY271" s="176"/>
      <c r="AZ271" s="176"/>
      <c r="BA271" s="176"/>
      <c r="BB271" s="176"/>
      <c r="BC271" s="176"/>
      <c r="BD271" s="176"/>
      <c r="BE271" s="176"/>
      <c r="BF271" s="176"/>
      <c r="BG271" s="176"/>
      <c r="BH271" s="176"/>
      <c r="BI271" s="176"/>
      <c r="BJ271" s="176"/>
      <c r="BK271" s="176"/>
      <c r="BL271" s="176"/>
      <c r="BM271" s="176"/>
      <c r="BN271" s="176"/>
      <c r="BO271" s="176"/>
      <c r="BP271" s="176"/>
      <c r="BQ271" s="176"/>
      <c r="BR271" s="176"/>
      <c r="BS271" s="176"/>
      <c r="BT271" s="176"/>
      <c r="BU271" s="176"/>
      <c r="BV271" s="176"/>
      <c r="BW271" s="176"/>
      <c r="BX271" s="176"/>
      <c r="BY271" s="176"/>
      <c r="BZ271" s="176"/>
      <c r="CA271" s="176"/>
      <c r="CB271" s="176"/>
      <c r="CC271" s="176"/>
      <c r="CD271" s="176"/>
      <c r="CE271" s="176"/>
      <c r="CF271" s="176"/>
      <c r="CG271" s="176"/>
      <c r="CH271" s="176"/>
      <c r="CI271" s="176"/>
      <c r="CJ271" s="176"/>
      <c r="CK271" s="176"/>
      <c r="CL271" s="176"/>
      <c r="CM271" s="176"/>
      <c r="CN271" s="176"/>
      <c r="CO271" s="176"/>
      <c r="CP271" s="176"/>
      <c r="CQ271" s="176"/>
      <c r="CR271" s="176"/>
      <c r="CS271" s="176"/>
      <c r="CT271" s="176"/>
    </row>
    <row r="272" spans="1:98" s="178" customFormat="1" hidden="1" outlineLevel="1" x14ac:dyDescent="0.35">
      <c r="A272" s="188" t="s">
        <v>512</v>
      </c>
      <c r="B272" s="189" t="s">
        <v>513</v>
      </c>
      <c r="C272" s="189" t="str">
        <f t="shared" si="2"/>
        <v>SD Sudan (the) CCC: 0,984</v>
      </c>
      <c r="D272" s="190">
        <v>0.98399999999999999</v>
      </c>
      <c r="E272" s="188" t="s">
        <v>243</v>
      </c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176"/>
      <c r="AV272" s="176"/>
      <c r="AW272" s="176"/>
      <c r="AX272" s="176"/>
      <c r="AY272" s="176"/>
      <c r="AZ272" s="176"/>
      <c r="BA272" s="176"/>
      <c r="BB272" s="176"/>
      <c r="BC272" s="176"/>
      <c r="BD272" s="176"/>
      <c r="BE272" s="176"/>
      <c r="BF272" s="176"/>
      <c r="BG272" s="176"/>
      <c r="BH272" s="176"/>
      <c r="BI272" s="176"/>
      <c r="BJ272" s="176"/>
      <c r="BK272" s="176"/>
      <c r="BL272" s="176"/>
      <c r="BM272" s="176"/>
      <c r="BN272" s="176"/>
      <c r="BO272" s="176"/>
      <c r="BP272" s="176"/>
      <c r="BQ272" s="176"/>
      <c r="BR272" s="176"/>
      <c r="BS272" s="176"/>
      <c r="BT272" s="176"/>
      <c r="BU272" s="176"/>
      <c r="BV272" s="176"/>
      <c r="BW272" s="176"/>
      <c r="BX272" s="176"/>
      <c r="BY272" s="176"/>
      <c r="BZ272" s="176"/>
      <c r="CA272" s="176"/>
      <c r="CB272" s="176"/>
      <c r="CC272" s="176"/>
      <c r="CD272" s="176"/>
      <c r="CE272" s="176"/>
      <c r="CF272" s="176"/>
      <c r="CG272" s="176"/>
      <c r="CH272" s="176"/>
      <c r="CI272" s="176"/>
      <c r="CJ272" s="176"/>
      <c r="CK272" s="176"/>
      <c r="CL272" s="176"/>
      <c r="CM272" s="176"/>
      <c r="CN272" s="176"/>
      <c r="CO272" s="176"/>
      <c r="CP272" s="176"/>
      <c r="CQ272" s="176"/>
      <c r="CR272" s="176"/>
      <c r="CS272" s="176"/>
      <c r="CT272" s="176"/>
    </row>
    <row r="273" spans="1:98" s="178" customFormat="1" hidden="1" outlineLevel="1" x14ac:dyDescent="0.35">
      <c r="A273" s="188" t="s">
        <v>514</v>
      </c>
      <c r="B273" s="189" t="s">
        <v>515</v>
      </c>
      <c r="C273" s="189" t="str">
        <f t="shared" si="2"/>
        <v>SR Suriname CCC: 0,63</v>
      </c>
      <c r="D273" s="190">
        <v>0.63</v>
      </c>
      <c r="E273" s="188" t="s">
        <v>243</v>
      </c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176"/>
      <c r="AV273" s="176"/>
      <c r="AW273" s="176"/>
      <c r="AX273" s="176"/>
      <c r="AY273" s="176"/>
      <c r="AZ273" s="176"/>
      <c r="BA273" s="176"/>
      <c r="BB273" s="176"/>
      <c r="BC273" s="176"/>
      <c r="BD273" s="176"/>
      <c r="BE273" s="176"/>
      <c r="BF273" s="176"/>
      <c r="BG273" s="176"/>
      <c r="BH273" s="176"/>
      <c r="BI273" s="176"/>
      <c r="BJ273" s="176"/>
      <c r="BK273" s="176"/>
      <c r="BL273" s="176"/>
      <c r="BM273" s="176"/>
      <c r="BN273" s="176"/>
      <c r="BO273" s="176"/>
      <c r="BP273" s="176"/>
      <c r="BQ273" s="176"/>
      <c r="BR273" s="176"/>
      <c r="BS273" s="176"/>
      <c r="BT273" s="176"/>
      <c r="BU273" s="176"/>
      <c r="BV273" s="176"/>
      <c r="BW273" s="176"/>
      <c r="BX273" s="176"/>
      <c r="BY273" s="176"/>
      <c r="BZ273" s="176"/>
      <c r="CA273" s="176"/>
      <c r="CB273" s="176"/>
      <c r="CC273" s="176"/>
      <c r="CD273" s="176"/>
      <c r="CE273" s="176"/>
      <c r="CF273" s="176"/>
      <c r="CG273" s="176"/>
      <c r="CH273" s="176"/>
      <c r="CI273" s="176"/>
      <c r="CJ273" s="176"/>
      <c r="CK273" s="176"/>
      <c r="CL273" s="176"/>
      <c r="CM273" s="176"/>
      <c r="CN273" s="176"/>
      <c r="CO273" s="176"/>
      <c r="CP273" s="176"/>
      <c r="CQ273" s="176"/>
      <c r="CR273" s="176"/>
      <c r="CS273" s="176"/>
      <c r="CT273" s="176"/>
    </row>
    <row r="274" spans="1:98" s="178" customFormat="1" hidden="1" outlineLevel="1" x14ac:dyDescent="0.35">
      <c r="A274" s="188" t="s">
        <v>516</v>
      </c>
      <c r="B274" s="189" t="s">
        <v>517</v>
      </c>
      <c r="C274" s="189" t="str">
        <f t="shared" si="2"/>
        <v>SE Sweden CCC: 1,144</v>
      </c>
      <c r="D274" s="190">
        <v>1.1439999999999999</v>
      </c>
      <c r="E274" s="188" t="s">
        <v>254</v>
      </c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176"/>
      <c r="AV274" s="176"/>
      <c r="AW274" s="176"/>
      <c r="AX274" s="176"/>
      <c r="AY274" s="176"/>
      <c r="AZ274" s="176"/>
      <c r="BA274" s="176"/>
      <c r="BB274" s="176"/>
      <c r="BC274" s="176"/>
      <c r="BD274" s="176"/>
      <c r="BE274" s="176"/>
      <c r="BF274" s="176"/>
      <c r="BG274" s="176"/>
      <c r="BH274" s="176"/>
      <c r="BI274" s="176"/>
      <c r="BJ274" s="176"/>
      <c r="BK274" s="176"/>
      <c r="BL274" s="176"/>
      <c r="BM274" s="176"/>
      <c r="BN274" s="176"/>
      <c r="BO274" s="176"/>
      <c r="BP274" s="176"/>
      <c r="BQ274" s="176"/>
      <c r="BR274" s="176"/>
      <c r="BS274" s="176"/>
      <c r="BT274" s="176"/>
      <c r="BU274" s="176"/>
      <c r="BV274" s="176"/>
      <c r="BW274" s="176"/>
      <c r="BX274" s="176"/>
      <c r="BY274" s="176"/>
      <c r="BZ274" s="176"/>
      <c r="CA274" s="176"/>
      <c r="CB274" s="176"/>
      <c r="CC274" s="176"/>
      <c r="CD274" s="176"/>
      <c r="CE274" s="176"/>
      <c r="CF274" s="176"/>
      <c r="CG274" s="176"/>
      <c r="CH274" s="176"/>
      <c r="CI274" s="176"/>
      <c r="CJ274" s="176"/>
      <c r="CK274" s="176"/>
      <c r="CL274" s="176"/>
      <c r="CM274" s="176"/>
      <c r="CN274" s="176"/>
      <c r="CO274" s="176"/>
      <c r="CP274" s="176"/>
      <c r="CQ274" s="176"/>
      <c r="CR274" s="176"/>
      <c r="CS274" s="176"/>
      <c r="CT274" s="176"/>
    </row>
    <row r="275" spans="1:98" s="178" customFormat="1" hidden="1" outlineLevel="1" x14ac:dyDescent="0.35">
      <c r="A275" s="188" t="s">
        <v>518</v>
      </c>
      <c r="B275" s="189" t="s">
        <v>519</v>
      </c>
      <c r="C275" s="189" t="str">
        <f t="shared" si="2"/>
        <v>CH Switzerland CCC: 1,173</v>
      </c>
      <c r="D275" s="190">
        <v>1.173</v>
      </c>
      <c r="E275" s="188" t="s">
        <v>240</v>
      </c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176"/>
      <c r="AV275" s="176"/>
      <c r="AW275" s="176"/>
      <c r="AX275" s="176"/>
      <c r="AY275" s="176"/>
      <c r="AZ275" s="176"/>
      <c r="BA275" s="176"/>
      <c r="BB275" s="176"/>
      <c r="BC275" s="176"/>
      <c r="BD275" s="176"/>
      <c r="BE275" s="176"/>
      <c r="BF275" s="176"/>
      <c r="BG275" s="176"/>
      <c r="BH275" s="176"/>
      <c r="BI275" s="176"/>
      <c r="BJ275" s="176"/>
      <c r="BK275" s="176"/>
      <c r="BL275" s="176"/>
      <c r="BM275" s="176"/>
      <c r="BN275" s="176"/>
      <c r="BO275" s="176"/>
      <c r="BP275" s="176"/>
      <c r="BQ275" s="176"/>
      <c r="BR275" s="176"/>
      <c r="BS275" s="176"/>
      <c r="BT275" s="176"/>
      <c r="BU275" s="176"/>
      <c r="BV275" s="176"/>
      <c r="BW275" s="176"/>
      <c r="BX275" s="176"/>
      <c r="BY275" s="176"/>
      <c r="BZ275" s="176"/>
      <c r="CA275" s="176"/>
      <c r="CB275" s="176"/>
      <c r="CC275" s="176"/>
      <c r="CD275" s="176"/>
      <c r="CE275" s="176"/>
      <c r="CF275" s="176"/>
      <c r="CG275" s="176"/>
      <c r="CH275" s="176"/>
      <c r="CI275" s="176"/>
      <c r="CJ275" s="176"/>
      <c r="CK275" s="176"/>
      <c r="CL275" s="176"/>
      <c r="CM275" s="176"/>
      <c r="CN275" s="176"/>
      <c r="CO275" s="176"/>
      <c r="CP275" s="176"/>
      <c r="CQ275" s="176"/>
      <c r="CR275" s="176"/>
      <c r="CS275" s="176"/>
      <c r="CT275" s="176"/>
    </row>
    <row r="276" spans="1:98" s="178" customFormat="1" hidden="1" outlineLevel="1" x14ac:dyDescent="0.35">
      <c r="A276" s="188" t="s">
        <v>520</v>
      </c>
      <c r="B276" s="189" t="s">
        <v>521</v>
      </c>
      <c r="C276" s="189" t="str">
        <f t="shared" si="2"/>
        <v xml:space="preserve">SY Syrian Arab Republic (the) CCC: </v>
      </c>
      <c r="D276" s="190"/>
      <c r="E276" s="188" t="s">
        <v>243</v>
      </c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176"/>
      <c r="AV276" s="176"/>
      <c r="AW276" s="176"/>
      <c r="AX276" s="176"/>
      <c r="AY276" s="176"/>
      <c r="AZ276" s="176"/>
      <c r="BA276" s="176"/>
      <c r="BB276" s="176"/>
      <c r="BC276" s="176"/>
      <c r="BD276" s="176"/>
      <c r="BE276" s="176"/>
      <c r="BF276" s="176"/>
      <c r="BG276" s="176"/>
      <c r="BH276" s="176"/>
      <c r="BI276" s="176"/>
      <c r="BJ276" s="176"/>
      <c r="BK276" s="176"/>
      <c r="BL276" s="176"/>
      <c r="BM276" s="176"/>
      <c r="BN276" s="176"/>
      <c r="BO276" s="176"/>
      <c r="BP276" s="176"/>
      <c r="BQ276" s="176"/>
      <c r="BR276" s="176"/>
      <c r="BS276" s="176"/>
      <c r="BT276" s="176"/>
      <c r="BU276" s="176"/>
      <c r="BV276" s="176"/>
      <c r="BW276" s="176"/>
      <c r="BX276" s="176"/>
      <c r="BY276" s="176"/>
      <c r="BZ276" s="176"/>
      <c r="CA276" s="176"/>
      <c r="CB276" s="176"/>
      <c r="CC276" s="176"/>
      <c r="CD276" s="176"/>
      <c r="CE276" s="176"/>
      <c r="CF276" s="176"/>
      <c r="CG276" s="176"/>
      <c r="CH276" s="176"/>
      <c r="CI276" s="176"/>
      <c r="CJ276" s="176"/>
      <c r="CK276" s="176"/>
      <c r="CL276" s="176"/>
      <c r="CM276" s="176"/>
      <c r="CN276" s="176"/>
      <c r="CO276" s="176"/>
      <c r="CP276" s="176"/>
      <c r="CQ276" s="176"/>
      <c r="CR276" s="176"/>
      <c r="CS276" s="176"/>
      <c r="CT276" s="176"/>
    </row>
    <row r="277" spans="1:98" s="178" customFormat="1" hidden="1" outlineLevel="1" x14ac:dyDescent="0.35">
      <c r="A277" s="188" t="s">
        <v>522</v>
      </c>
      <c r="B277" s="189" t="s">
        <v>523</v>
      </c>
      <c r="C277" s="189" t="str">
        <f t="shared" si="2"/>
        <v>TW Taiwan (Province of China) CCC: 0,773</v>
      </c>
      <c r="D277" s="190">
        <v>0.77300000000000002</v>
      </c>
      <c r="E277" s="188" t="s">
        <v>243</v>
      </c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  <c r="AA277" s="176"/>
      <c r="AB277" s="176"/>
      <c r="AC277" s="176"/>
      <c r="AD277" s="176"/>
      <c r="AE277" s="176"/>
      <c r="AF277" s="176"/>
      <c r="AG277" s="176"/>
      <c r="AH277" s="176"/>
      <c r="AI277" s="176"/>
      <c r="AJ277" s="176"/>
      <c r="AK277" s="176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176"/>
      <c r="AV277" s="176"/>
      <c r="AW277" s="176"/>
      <c r="AX277" s="176"/>
      <c r="AY277" s="176"/>
      <c r="AZ277" s="176"/>
      <c r="BA277" s="176"/>
      <c r="BB277" s="176"/>
      <c r="BC277" s="176"/>
      <c r="BD277" s="176"/>
      <c r="BE277" s="176"/>
      <c r="BF277" s="176"/>
      <c r="BG277" s="176"/>
      <c r="BH277" s="176"/>
      <c r="BI277" s="176"/>
      <c r="BJ277" s="176"/>
      <c r="BK277" s="176"/>
      <c r="BL277" s="176"/>
      <c r="BM277" s="176"/>
      <c r="BN277" s="176"/>
      <c r="BO277" s="176"/>
      <c r="BP277" s="176"/>
      <c r="BQ277" s="176"/>
      <c r="BR277" s="176"/>
      <c r="BS277" s="176"/>
      <c r="BT277" s="176"/>
      <c r="BU277" s="176"/>
      <c r="BV277" s="176"/>
      <c r="BW277" s="176"/>
      <c r="BX277" s="176"/>
      <c r="BY277" s="176"/>
      <c r="BZ277" s="176"/>
      <c r="CA277" s="176"/>
      <c r="CB277" s="176"/>
      <c r="CC277" s="176"/>
      <c r="CD277" s="176"/>
      <c r="CE277" s="176"/>
      <c r="CF277" s="176"/>
      <c r="CG277" s="176"/>
      <c r="CH277" s="176"/>
      <c r="CI277" s="176"/>
      <c r="CJ277" s="176"/>
      <c r="CK277" s="176"/>
      <c r="CL277" s="176"/>
      <c r="CM277" s="176"/>
      <c r="CN277" s="176"/>
      <c r="CO277" s="176"/>
      <c r="CP277" s="176"/>
      <c r="CQ277" s="176"/>
      <c r="CR277" s="176"/>
      <c r="CS277" s="176"/>
      <c r="CT277" s="176"/>
    </row>
    <row r="278" spans="1:98" s="178" customFormat="1" hidden="1" outlineLevel="1" x14ac:dyDescent="0.35">
      <c r="A278" s="188" t="s">
        <v>524</v>
      </c>
      <c r="B278" s="189" t="s">
        <v>525</v>
      </c>
      <c r="C278" s="189" t="str">
        <f t="shared" si="2"/>
        <v>TJ Tajikistan CCC: 0,533</v>
      </c>
      <c r="D278" s="190">
        <v>0.53300000000000003</v>
      </c>
      <c r="E278" s="188" t="s">
        <v>243</v>
      </c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  <c r="AA278" s="176"/>
      <c r="AB278" s="176"/>
      <c r="AC278" s="176"/>
      <c r="AD278" s="176"/>
      <c r="AE278" s="176"/>
      <c r="AF278" s="176"/>
      <c r="AG278" s="176"/>
      <c r="AH278" s="176"/>
      <c r="AI278" s="176"/>
      <c r="AJ278" s="176"/>
      <c r="AK278" s="176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176"/>
      <c r="AV278" s="176"/>
      <c r="AW278" s="176"/>
      <c r="AX278" s="176"/>
      <c r="AY278" s="176"/>
      <c r="AZ278" s="176"/>
      <c r="BA278" s="176"/>
      <c r="BB278" s="176"/>
      <c r="BC278" s="176"/>
      <c r="BD278" s="176"/>
      <c r="BE278" s="176"/>
      <c r="BF278" s="176"/>
      <c r="BG278" s="176"/>
      <c r="BH278" s="176"/>
      <c r="BI278" s="176"/>
      <c r="BJ278" s="176"/>
      <c r="BK278" s="176"/>
      <c r="BL278" s="176"/>
      <c r="BM278" s="176"/>
      <c r="BN278" s="176"/>
      <c r="BO278" s="176"/>
      <c r="BP278" s="176"/>
      <c r="BQ278" s="176"/>
      <c r="BR278" s="176"/>
      <c r="BS278" s="176"/>
      <c r="BT278" s="176"/>
      <c r="BU278" s="176"/>
      <c r="BV278" s="176"/>
      <c r="BW278" s="176"/>
      <c r="BX278" s="176"/>
      <c r="BY278" s="176"/>
      <c r="BZ278" s="176"/>
      <c r="CA278" s="176"/>
      <c r="CB278" s="176"/>
      <c r="CC278" s="176"/>
      <c r="CD278" s="176"/>
      <c r="CE278" s="176"/>
      <c r="CF278" s="176"/>
      <c r="CG278" s="176"/>
      <c r="CH278" s="176"/>
      <c r="CI278" s="176"/>
      <c r="CJ278" s="176"/>
      <c r="CK278" s="176"/>
      <c r="CL278" s="176"/>
      <c r="CM278" s="176"/>
      <c r="CN278" s="176"/>
      <c r="CO278" s="176"/>
      <c r="CP278" s="176"/>
      <c r="CQ278" s="176"/>
      <c r="CR278" s="176"/>
      <c r="CS278" s="176"/>
      <c r="CT278" s="176"/>
    </row>
    <row r="279" spans="1:98" s="178" customFormat="1" hidden="1" outlineLevel="1" x14ac:dyDescent="0.35">
      <c r="A279" s="188" t="s">
        <v>526</v>
      </c>
      <c r="B279" s="189" t="s">
        <v>527</v>
      </c>
      <c r="C279" s="189" t="str">
        <f t="shared" si="2"/>
        <v>TZ Tanzania, the United Republic of CCC: 0,62</v>
      </c>
      <c r="D279" s="190">
        <v>0.62</v>
      </c>
      <c r="E279" s="188" t="s">
        <v>243</v>
      </c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  <c r="AA279" s="176"/>
      <c r="AB279" s="176"/>
      <c r="AC279" s="176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</row>
    <row r="280" spans="1:98" s="178" customFormat="1" hidden="1" outlineLevel="1" x14ac:dyDescent="0.35">
      <c r="A280" s="188" t="s">
        <v>528</v>
      </c>
      <c r="B280" s="189" t="s">
        <v>529</v>
      </c>
      <c r="C280" s="189" t="str">
        <f t="shared" si="2"/>
        <v>TH Thailand CCC: 0,719</v>
      </c>
      <c r="D280" s="190">
        <v>0.71899999999999997</v>
      </c>
      <c r="E280" s="188" t="s">
        <v>243</v>
      </c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  <c r="AA280" s="176"/>
      <c r="AB280" s="176"/>
      <c r="AC280" s="176"/>
      <c r="AD280" s="176"/>
      <c r="AE280" s="176"/>
      <c r="AF280" s="176"/>
      <c r="AG280" s="176"/>
      <c r="AH280" s="176"/>
      <c r="AI280" s="176"/>
      <c r="AJ280" s="176"/>
      <c r="AK280" s="176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176"/>
      <c r="AV280" s="176"/>
      <c r="AW280" s="176"/>
      <c r="AX280" s="176"/>
      <c r="AY280" s="176"/>
      <c r="AZ280" s="176"/>
      <c r="BA280" s="176"/>
      <c r="BB280" s="176"/>
      <c r="BC280" s="176"/>
      <c r="BD280" s="176"/>
      <c r="BE280" s="176"/>
      <c r="BF280" s="176"/>
      <c r="BG280" s="176"/>
      <c r="BH280" s="176"/>
      <c r="BI280" s="176"/>
      <c r="BJ280" s="176"/>
      <c r="BK280" s="176"/>
      <c r="BL280" s="176"/>
      <c r="BM280" s="176"/>
      <c r="BN280" s="176"/>
      <c r="BO280" s="176"/>
      <c r="BP280" s="176"/>
      <c r="BQ280" s="176"/>
      <c r="BR280" s="176"/>
      <c r="BS280" s="176"/>
      <c r="BT280" s="176"/>
      <c r="BU280" s="176"/>
      <c r="BV280" s="176"/>
      <c r="BW280" s="176"/>
      <c r="BX280" s="176"/>
      <c r="BY280" s="176"/>
      <c r="BZ280" s="176"/>
      <c r="CA280" s="176"/>
      <c r="CB280" s="176"/>
      <c r="CC280" s="176"/>
      <c r="CD280" s="176"/>
      <c r="CE280" s="176"/>
      <c r="CF280" s="176"/>
      <c r="CG280" s="176"/>
      <c r="CH280" s="176"/>
      <c r="CI280" s="176"/>
      <c r="CJ280" s="176"/>
      <c r="CK280" s="176"/>
      <c r="CL280" s="176"/>
      <c r="CM280" s="176"/>
      <c r="CN280" s="176"/>
      <c r="CO280" s="176"/>
      <c r="CP280" s="176"/>
      <c r="CQ280" s="176"/>
      <c r="CR280" s="176"/>
      <c r="CS280" s="176"/>
      <c r="CT280" s="176"/>
    </row>
    <row r="281" spans="1:98" s="178" customFormat="1" hidden="1" outlineLevel="1" x14ac:dyDescent="0.35">
      <c r="A281" s="188" t="s">
        <v>530</v>
      </c>
      <c r="B281" s="189" t="s">
        <v>531</v>
      </c>
      <c r="C281" s="189" t="str">
        <f t="shared" si="2"/>
        <v>TL Timor-Leste CCC: 0,809</v>
      </c>
      <c r="D281" s="190">
        <v>0.80900000000000005</v>
      </c>
      <c r="E281" s="188" t="s">
        <v>243</v>
      </c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  <c r="AA281" s="176"/>
      <c r="AB281" s="176"/>
      <c r="AC281" s="176"/>
      <c r="AD281" s="176"/>
      <c r="AE281" s="176"/>
      <c r="AF281" s="176"/>
      <c r="AG281" s="176"/>
      <c r="AH281" s="176"/>
      <c r="AI281" s="176"/>
      <c r="AJ281" s="176"/>
      <c r="AK281" s="176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176"/>
      <c r="AV281" s="176"/>
      <c r="AW281" s="176"/>
      <c r="AX281" s="176"/>
      <c r="AY281" s="176"/>
      <c r="AZ281" s="176"/>
      <c r="BA281" s="176"/>
      <c r="BB281" s="176"/>
      <c r="BC281" s="176"/>
      <c r="BD281" s="176"/>
      <c r="BE281" s="176"/>
      <c r="BF281" s="176"/>
      <c r="BG281" s="176"/>
      <c r="BH281" s="176"/>
      <c r="BI281" s="176"/>
      <c r="BJ281" s="176"/>
      <c r="BK281" s="176"/>
      <c r="BL281" s="176"/>
      <c r="BM281" s="176"/>
      <c r="BN281" s="176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176"/>
      <c r="CH281" s="176"/>
      <c r="CI281" s="176"/>
      <c r="CJ281" s="176"/>
      <c r="CK281" s="176"/>
      <c r="CL281" s="176"/>
      <c r="CM281" s="176"/>
      <c r="CN281" s="176"/>
      <c r="CO281" s="176"/>
      <c r="CP281" s="176"/>
      <c r="CQ281" s="176"/>
      <c r="CR281" s="176"/>
      <c r="CS281" s="176"/>
      <c r="CT281" s="176"/>
    </row>
    <row r="282" spans="1:98" s="178" customFormat="1" hidden="1" outlineLevel="1" x14ac:dyDescent="0.35">
      <c r="A282" s="188" t="s">
        <v>532</v>
      </c>
      <c r="B282" s="189" t="s">
        <v>533</v>
      </c>
      <c r="C282" s="189" t="str">
        <f t="shared" si="2"/>
        <v>TG Togo CCC: 0,755</v>
      </c>
      <c r="D282" s="190">
        <v>0.755</v>
      </c>
      <c r="E282" s="188" t="s">
        <v>243</v>
      </c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  <c r="AA282" s="176"/>
      <c r="AB282" s="176"/>
      <c r="AC282" s="176"/>
      <c r="AD282" s="176"/>
      <c r="AE282" s="176"/>
      <c r="AF282" s="176"/>
      <c r="AG282" s="176"/>
      <c r="AH282" s="176"/>
      <c r="AI282" s="176"/>
      <c r="AJ282" s="176"/>
      <c r="AK282" s="176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176"/>
      <c r="AV282" s="176"/>
      <c r="AW282" s="176"/>
      <c r="AX282" s="176"/>
      <c r="AY282" s="176"/>
      <c r="AZ282" s="176"/>
      <c r="BA282" s="176"/>
      <c r="BB282" s="176"/>
      <c r="BC282" s="176"/>
      <c r="BD282" s="176"/>
      <c r="BE282" s="176"/>
      <c r="BF282" s="176"/>
      <c r="BG282" s="176"/>
      <c r="BH282" s="176"/>
      <c r="BI282" s="176"/>
      <c r="BJ282" s="176"/>
      <c r="BK282" s="176"/>
      <c r="BL282" s="176"/>
      <c r="BM282" s="176"/>
      <c r="BN282" s="176"/>
      <c r="BO282" s="176"/>
      <c r="BP282" s="176"/>
      <c r="BQ282" s="176"/>
      <c r="BR282" s="176"/>
      <c r="BS282" s="176"/>
      <c r="BT282" s="176"/>
      <c r="BU282" s="176"/>
      <c r="BV282" s="176"/>
      <c r="BW282" s="176"/>
      <c r="BX282" s="176"/>
      <c r="BY282" s="176"/>
      <c r="BZ282" s="176"/>
      <c r="CA282" s="176"/>
      <c r="CB282" s="176"/>
      <c r="CC282" s="176"/>
      <c r="CD282" s="176"/>
      <c r="CE282" s="176"/>
      <c r="CF282" s="176"/>
      <c r="CG282" s="176"/>
      <c r="CH282" s="176"/>
      <c r="CI282" s="176"/>
      <c r="CJ282" s="176"/>
      <c r="CK282" s="176"/>
      <c r="CL282" s="176"/>
      <c r="CM282" s="176"/>
      <c r="CN282" s="176"/>
      <c r="CO282" s="176"/>
      <c r="CP282" s="176"/>
      <c r="CQ282" s="176"/>
      <c r="CR282" s="176"/>
      <c r="CS282" s="176"/>
      <c r="CT282" s="176"/>
    </row>
    <row r="283" spans="1:98" s="178" customFormat="1" hidden="1" outlineLevel="1" x14ac:dyDescent="0.35">
      <c r="A283" s="188" t="s">
        <v>534</v>
      </c>
      <c r="B283" s="189" t="s">
        <v>535</v>
      </c>
      <c r="C283" s="189" t="str">
        <f t="shared" si="2"/>
        <v xml:space="preserve">TO Tonga CCC: </v>
      </c>
      <c r="D283" s="190"/>
      <c r="E283" s="188" t="s">
        <v>243</v>
      </c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  <c r="AH283" s="176"/>
      <c r="AI283" s="176"/>
      <c r="AJ283" s="176"/>
      <c r="AK283" s="176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176"/>
      <c r="AV283" s="176"/>
      <c r="AW283" s="176"/>
      <c r="AX283" s="176"/>
      <c r="AY283" s="176"/>
      <c r="AZ283" s="176"/>
      <c r="BA283" s="176"/>
      <c r="BB283" s="176"/>
      <c r="BC283" s="176"/>
      <c r="BD283" s="176"/>
      <c r="BE283" s="176"/>
      <c r="BF283" s="176"/>
      <c r="BG283" s="176"/>
      <c r="BH283" s="176"/>
      <c r="BI283" s="176"/>
      <c r="BJ283" s="176"/>
      <c r="BK283" s="176"/>
      <c r="BL283" s="176"/>
      <c r="BM283" s="176"/>
      <c r="BN283" s="176"/>
      <c r="BO283" s="176"/>
      <c r="BP283" s="176"/>
      <c r="BQ283" s="176"/>
      <c r="BR283" s="176"/>
      <c r="BS283" s="176"/>
      <c r="BT283" s="176"/>
      <c r="BU283" s="176"/>
      <c r="BV283" s="176"/>
      <c r="BW283" s="176"/>
      <c r="BX283" s="176"/>
      <c r="BY283" s="176"/>
      <c r="BZ283" s="176"/>
      <c r="CA283" s="176"/>
      <c r="CB283" s="176"/>
      <c r="CC283" s="176"/>
      <c r="CD283" s="176"/>
      <c r="CE283" s="176"/>
      <c r="CF283" s="176"/>
      <c r="CG283" s="176"/>
      <c r="CH283" s="176"/>
      <c r="CI283" s="176"/>
      <c r="CJ283" s="176"/>
      <c r="CK283" s="176"/>
      <c r="CL283" s="176"/>
      <c r="CM283" s="176"/>
      <c r="CN283" s="176"/>
      <c r="CO283" s="176"/>
      <c r="CP283" s="176"/>
      <c r="CQ283" s="176"/>
      <c r="CR283" s="176"/>
      <c r="CS283" s="176"/>
      <c r="CT283" s="176"/>
    </row>
    <row r="284" spans="1:98" s="178" customFormat="1" hidden="1" outlineLevel="1" x14ac:dyDescent="0.35">
      <c r="A284" s="188" t="s">
        <v>536</v>
      </c>
      <c r="B284" s="189" t="s">
        <v>537</v>
      </c>
      <c r="C284" s="189" t="str">
        <f t="shared" si="2"/>
        <v>TT Trinidad and Tobago CCC: 0,746</v>
      </c>
      <c r="D284" s="190">
        <v>0.746</v>
      </c>
      <c r="E284" s="188" t="s">
        <v>243</v>
      </c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  <c r="AA284" s="176"/>
      <c r="AB284" s="176"/>
      <c r="AC284" s="176"/>
      <c r="AD284" s="176"/>
      <c r="AE284" s="176"/>
      <c r="AF284" s="176"/>
      <c r="AG284" s="176"/>
      <c r="AH284" s="176"/>
      <c r="AI284" s="176"/>
      <c r="AJ284" s="176"/>
      <c r="AK284" s="176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176"/>
      <c r="AV284" s="176"/>
      <c r="AW284" s="176"/>
      <c r="AX284" s="176"/>
      <c r="AY284" s="176"/>
      <c r="AZ284" s="176"/>
      <c r="BA284" s="176"/>
      <c r="BB284" s="176"/>
      <c r="BC284" s="176"/>
      <c r="BD284" s="176"/>
      <c r="BE284" s="176"/>
      <c r="BF284" s="176"/>
      <c r="BG284" s="176"/>
      <c r="BH284" s="176"/>
      <c r="BI284" s="176"/>
      <c r="BJ284" s="176"/>
      <c r="BK284" s="176"/>
      <c r="BL284" s="176"/>
      <c r="BM284" s="176"/>
      <c r="BN284" s="176"/>
      <c r="BO284" s="176"/>
      <c r="BP284" s="176"/>
      <c r="BQ284" s="176"/>
      <c r="BR284" s="176"/>
      <c r="BS284" s="176"/>
      <c r="BT284" s="176"/>
      <c r="BU284" s="176"/>
      <c r="BV284" s="176"/>
      <c r="BW284" s="176"/>
      <c r="BX284" s="176"/>
      <c r="BY284" s="176"/>
      <c r="BZ284" s="176"/>
      <c r="CA284" s="176"/>
      <c r="CB284" s="176"/>
      <c r="CC284" s="176"/>
      <c r="CD284" s="176"/>
      <c r="CE284" s="176"/>
      <c r="CF284" s="176"/>
      <c r="CG284" s="176"/>
      <c r="CH284" s="176"/>
      <c r="CI284" s="176"/>
      <c r="CJ284" s="176"/>
      <c r="CK284" s="176"/>
      <c r="CL284" s="176"/>
      <c r="CM284" s="176"/>
      <c r="CN284" s="176"/>
      <c r="CO284" s="176"/>
      <c r="CP284" s="176"/>
      <c r="CQ284" s="176"/>
      <c r="CR284" s="176"/>
      <c r="CS284" s="176"/>
      <c r="CT284" s="176"/>
    </row>
    <row r="285" spans="1:98" s="178" customFormat="1" hidden="1" outlineLevel="1" x14ac:dyDescent="0.35">
      <c r="A285" s="188" t="s">
        <v>538</v>
      </c>
      <c r="B285" s="189" t="s">
        <v>539</v>
      </c>
      <c r="C285" s="189" t="str">
        <f t="shared" si="2"/>
        <v>TN Tunisia CCC: 0,615</v>
      </c>
      <c r="D285" s="190">
        <v>0.61499999999999999</v>
      </c>
      <c r="E285" s="188" t="s">
        <v>240</v>
      </c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  <c r="AA285" s="176"/>
      <c r="AB285" s="176"/>
      <c r="AC285" s="176"/>
      <c r="AD285" s="176"/>
      <c r="AE285" s="176"/>
      <c r="AF285" s="176"/>
      <c r="AG285" s="176"/>
      <c r="AH285" s="176"/>
      <c r="AI285" s="176"/>
      <c r="AJ285" s="176"/>
      <c r="AK285" s="176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176"/>
      <c r="AV285" s="176"/>
      <c r="AW285" s="176"/>
      <c r="AX285" s="176"/>
      <c r="AY285" s="176"/>
      <c r="AZ285" s="176"/>
      <c r="BA285" s="176"/>
      <c r="BB285" s="176"/>
      <c r="BC285" s="176"/>
      <c r="BD285" s="176"/>
      <c r="BE285" s="176"/>
      <c r="BF285" s="176"/>
      <c r="BG285" s="176"/>
      <c r="BH285" s="176"/>
      <c r="BI285" s="176"/>
      <c r="BJ285" s="176"/>
      <c r="BK285" s="176"/>
      <c r="BL285" s="176"/>
      <c r="BM285" s="176"/>
      <c r="BN285" s="176"/>
      <c r="BO285" s="176"/>
      <c r="BP285" s="176"/>
      <c r="BQ285" s="176"/>
      <c r="BR285" s="176"/>
      <c r="BS285" s="176"/>
      <c r="BT285" s="176"/>
      <c r="BU285" s="176"/>
      <c r="BV285" s="176"/>
      <c r="BW285" s="176"/>
      <c r="BX285" s="176"/>
      <c r="BY285" s="176"/>
      <c r="BZ285" s="176"/>
      <c r="CA285" s="176"/>
      <c r="CB285" s="176"/>
      <c r="CC285" s="176"/>
      <c r="CD285" s="176"/>
      <c r="CE285" s="176"/>
      <c r="CF285" s="176"/>
      <c r="CG285" s="176"/>
      <c r="CH285" s="176"/>
      <c r="CI285" s="176"/>
      <c r="CJ285" s="176"/>
      <c r="CK285" s="176"/>
      <c r="CL285" s="176"/>
      <c r="CM285" s="176"/>
      <c r="CN285" s="176"/>
      <c r="CO285" s="176"/>
      <c r="CP285" s="176"/>
      <c r="CQ285" s="176"/>
      <c r="CR285" s="176"/>
      <c r="CS285" s="176"/>
      <c r="CT285" s="176"/>
    </row>
    <row r="286" spans="1:98" s="178" customFormat="1" hidden="1" outlineLevel="1" x14ac:dyDescent="0.35">
      <c r="A286" s="188" t="s">
        <v>540</v>
      </c>
      <c r="B286" s="189" t="s">
        <v>541</v>
      </c>
      <c r="C286" s="189" t="str">
        <f t="shared" si="2"/>
        <v>TR Turkey CCC: 0,589</v>
      </c>
      <c r="D286" s="190">
        <v>0.58899999999999997</v>
      </c>
      <c r="E286" s="188" t="s">
        <v>240</v>
      </c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  <c r="AA286" s="176"/>
      <c r="AB286" s="176"/>
      <c r="AC286" s="176"/>
      <c r="AD286" s="176"/>
      <c r="AE286" s="176"/>
      <c r="AF286" s="176"/>
      <c r="AG286" s="176"/>
      <c r="AH286" s="176"/>
      <c r="AI286" s="176"/>
      <c r="AJ286" s="176"/>
      <c r="AK286" s="176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176"/>
      <c r="AV286" s="176"/>
      <c r="AW286" s="176"/>
      <c r="AX286" s="176"/>
      <c r="AY286" s="176"/>
      <c r="AZ286" s="176"/>
      <c r="BA286" s="176"/>
      <c r="BB286" s="176"/>
      <c r="BC286" s="176"/>
      <c r="BD286" s="176"/>
      <c r="BE286" s="176"/>
      <c r="BF286" s="176"/>
      <c r="BG286" s="176"/>
      <c r="BH286" s="176"/>
      <c r="BI286" s="176"/>
      <c r="BJ286" s="176"/>
      <c r="BK286" s="176"/>
      <c r="BL286" s="176"/>
      <c r="BM286" s="176"/>
      <c r="BN286" s="176"/>
      <c r="BO286" s="176"/>
      <c r="BP286" s="176"/>
      <c r="BQ286" s="176"/>
      <c r="BR286" s="176"/>
      <c r="BS286" s="176"/>
      <c r="BT286" s="176"/>
      <c r="BU286" s="176"/>
      <c r="BV286" s="176"/>
      <c r="BW286" s="176"/>
      <c r="BX286" s="176"/>
      <c r="BY286" s="176"/>
      <c r="BZ286" s="176"/>
      <c r="CA286" s="176"/>
      <c r="CB286" s="176"/>
      <c r="CC286" s="176"/>
      <c r="CD286" s="176"/>
      <c r="CE286" s="176"/>
      <c r="CF286" s="176"/>
      <c r="CG286" s="176"/>
      <c r="CH286" s="176"/>
      <c r="CI286" s="176"/>
      <c r="CJ286" s="176"/>
      <c r="CK286" s="176"/>
      <c r="CL286" s="176"/>
      <c r="CM286" s="176"/>
      <c r="CN286" s="176"/>
      <c r="CO286" s="176"/>
      <c r="CP286" s="176"/>
      <c r="CQ286" s="176"/>
      <c r="CR286" s="176"/>
      <c r="CS286" s="176"/>
      <c r="CT286" s="176"/>
    </row>
    <row r="287" spans="1:98" s="178" customFormat="1" hidden="1" outlineLevel="1" x14ac:dyDescent="0.35">
      <c r="A287" s="188" t="s">
        <v>542</v>
      </c>
      <c r="B287" s="189" t="s">
        <v>543</v>
      </c>
      <c r="C287" s="189" t="str">
        <f t="shared" si="2"/>
        <v>TM Turkmenistan CCC: 0,756</v>
      </c>
      <c r="D287" s="190">
        <v>0.75600000000000001</v>
      </c>
      <c r="E287" s="188" t="s">
        <v>243</v>
      </c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  <c r="AA287" s="176"/>
      <c r="AB287" s="176"/>
      <c r="AC287" s="176"/>
      <c r="AD287" s="176"/>
      <c r="AE287" s="176"/>
      <c r="AF287" s="176"/>
      <c r="AG287" s="176"/>
      <c r="AH287" s="176"/>
      <c r="AI287" s="176"/>
      <c r="AJ287" s="176"/>
      <c r="AK287" s="176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176"/>
      <c r="AV287" s="176"/>
      <c r="AW287" s="176"/>
      <c r="AX287" s="176"/>
      <c r="AY287" s="176"/>
      <c r="AZ287" s="176"/>
      <c r="BA287" s="176"/>
      <c r="BB287" s="176"/>
      <c r="BC287" s="176"/>
      <c r="BD287" s="176"/>
      <c r="BE287" s="176"/>
      <c r="BF287" s="176"/>
      <c r="BG287" s="176"/>
      <c r="BH287" s="176"/>
      <c r="BI287" s="176"/>
      <c r="BJ287" s="176"/>
      <c r="BK287" s="176"/>
      <c r="BL287" s="176"/>
      <c r="BM287" s="176"/>
      <c r="BN287" s="176"/>
      <c r="BO287" s="176"/>
      <c r="BP287" s="176"/>
      <c r="BQ287" s="176"/>
      <c r="BR287" s="176"/>
      <c r="BS287" s="176"/>
      <c r="BT287" s="176"/>
      <c r="BU287" s="176"/>
      <c r="BV287" s="176"/>
      <c r="BW287" s="176"/>
      <c r="BX287" s="176"/>
      <c r="BY287" s="176"/>
      <c r="BZ287" s="176"/>
      <c r="CA287" s="176"/>
      <c r="CB287" s="176"/>
      <c r="CC287" s="176"/>
      <c r="CD287" s="176"/>
      <c r="CE287" s="176"/>
      <c r="CF287" s="176"/>
      <c r="CG287" s="176"/>
      <c r="CH287" s="176"/>
      <c r="CI287" s="176"/>
      <c r="CJ287" s="176"/>
      <c r="CK287" s="176"/>
      <c r="CL287" s="176"/>
      <c r="CM287" s="176"/>
      <c r="CN287" s="176"/>
      <c r="CO287" s="176"/>
      <c r="CP287" s="176"/>
      <c r="CQ287" s="176"/>
      <c r="CR287" s="176"/>
      <c r="CS287" s="176"/>
      <c r="CT287" s="176"/>
    </row>
    <row r="288" spans="1:98" s="178" customFormat="1" hidden="1" outlineLevel="1" x14ac:dyDescent="0.35">
      <c r="A288" s="188" t="s">
        <v>544</v>
      </c>
      <c r="B288" s="189" t="s">
        <v>545</v>
      </c>
      <c r="C288" s="189" t="str">
        <f t="shared" si="2"/>
        <v>UG Uganda CCC: 0,613</v>
      </c>
      <c r="D288" s="190">
        <v>0.61299999999999999</v>
      </c>
      <c r="E288" s="188" t="s">
        <v>243</v>
      </c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  <c r="AA288" s="176"/>
      <c r="AB288" s="176"/>
      <c r="AC288" s="176"/>
      <c r="AD288" s="176"/>
      <c r="AE288" s="176"/>
      <c r="AF288" s="176"/>
      <c r="AG288" s="176"/>
      <c r="AH288" s="176"/>
      <c r="AI288" s="176"/>
      <c r="AJ288" s="176"/>
      <c r="AK288" s="176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176"/>
      <c r="AV288" s="176"/>
      <c r="AW288" s="176"/>
      <c r="AX288" s="176"/>
      <c r="AY288" s="176"/>
      <c r="AZ288" s="176"/>
      <c r="BA288" s="176"/>
      <c r="BB288" s="176"/>
      <c r="BC288" s="176"/>
      <c r="BD288" s="176"/>
      <c r="BE288" s="176"/>
      <c r="BF288" s="176"/>
      <c r="BG288" s="176"/>
      <c r="BH288" s="176"/>
      <c r="BI288" s="176"/>
      <c r="BJ288" s="176"/>
      <c r="BK288" s="176"/>
      <c r="BL288" s="176"/>
      <c r="BM288" s="176"/>
      <c r="BN288" s="176"/>
      <c r="BO288" s="176"/>
      <c r="BP288" s="176"/>
      <c r="BQ288" s="176"/>
      <c r="BR288" s="176"/>
      <c r="BS288" s="176"/>
      <c r="BT288" s="176"/>
      <c r="BU288" s="176"/>
      <c r="BV288" s="176"/>
      <c r="BW288" s="176"/>
      <c r="BX288" s="176"/>
      <c r="BY288" s="176"/>
      <c r="BZ288" s="176"/>
      <c r="CA288" s="176"/>
      <c r="CB288" s="176"/>
      <c r="CC288" s="176"/>
      <c r="CD288" s="176"/>
      <c r="CE288" s="176"/>
      <c r="CF288" s="176"/>
      <c r="CG288" s="176"/>
      <c r="CH288" s="176"/>
      <c r="CI288" s="176"/>
      <c r="CJ288" s="176"/>
      <c r="CK288" s="176"/>
      <c r="CL288" s="176"/>
      <c r="CM288" s="176"/>
      <c r="CN288" s="176"/>
      <c r="CO288" s="176"/>
      <c r="CP288" s="176"/>
      <c r="CQ288" s="176"/>
      <c r="CR288" s="176"/>
      <c r="CS288" s="176"/>
      <c r="CT288" s="176"/>
    </row>
    <row r="289" spans="1:98" s="178" customFormat="1" hidden="1" outlineLevel="1" x14ac:dyDescent="0.35">
      <c r="A289" s="188" t="s">
        <v>546</v>
      </c>
      <c r="B289" s="189" t="s">
        <v>547</v>
      </c>
      <c r="C289" s="189" t="str">
        <f t="shared" si="2"/>
        <v>UA Ukraine CCC: 0,625</v>
      </c>
      <c r="D289" s="190">
        <v>0.625</v>
      </c>
      <c r="E289" s="188" t="s">
        <v>240</v>
      </c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  <c r="AA289" s="176"/>
      <c r="AB289" s="176"/>
      <c r="AC289" s="176"/>
      <c r="AD289" s="176"/>
      <c r="AE289" s="176"/>
      <c r="AF289" s="176"/>
      <c r="AG289" s="176"/>
      <c r="AH289" s="176"/>
      <c r="AI289" s="176"/>
      <c r="AJ289" s="176"/>
      <c r="AK289" s="176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176"/>
      <c r="AV289" s="176"/>
      <c r="AW289" s="176"/>
      <c r="AX289" s="176"/>
      <c r="AY289" s="176"/>
      <c r="AZ289" s="176"/>
      <c r="BA289" s="176"/>
      <c r="BB289" s="176"/>
      <c r="BC289" s="176"/>
      <c r="BD289" s="176"/>
      <c r="BE289" s="176"/>
      <c r="BF289" s="176"/>
      <c r="BG289" s="176"/>
      <c r="BH289" s="176"/>
      <c r="BI289" s="176"/>
      <c r="BJ289" s="176"/>
      <c r="BK289" s="176"/>
      <c r="BL289" s="176"/>
      <c r="BM289" s="176"/>
      <c r="BN289" s="176"/>
      <c r="BO289" s="176"/>
      <c r="BP289" s="176"/>
      <c r="BQ289" s="176"/>
      <c r="BR289" s="176"/>
      <c r="BS289" s="176"/>
      <c r="BT289" s="176"/>
      <c r="BU289" s="176"/>
      <c r="BV289" s="176"/>
      <c r="BW289" s="176"/>
      <c r="BX289" s="176"/>
      <c r="BY289" s="176"/>
      <c r="BZ289" s="176"/>
      <c r="CA289" s="176"/>
      <c r="CB289" s="176"/>
      <c r="CC289" s="176"/>
      <c r="CD289" s="176"/>
      <c r="CE289" s="176"/>
      <c r="CF289" s="176"/>
      <c r="CG289" s="176"/>
      <c r="CH289" s="176"/>
      <c r="CI289" s="176"/>
      <c r="CJ289" s="176"/>
      <c r="CK289" s="176"/>
      <c r="CL289" s="176"/>
      <c r="CM289" s="176"/>
      <c r="CN289" s="176"/>
      <c r="CO289" s="176"/>
      <c r="CP289" s="176"/>
      <c r="CQ289" s="176"/>
      <c r="CR289" s="176"/>
      <c r="CS289" s="176"/>
      <c r="CT289" s="176"/>
    </row>
    <row r="290" spans="1:98" s="178" customFormat="1" hidden="1" outlineLevel="1" x14ac:dyDescent="0.35">
      <c r="A290" s="188" t="s">
        <v>548</v>
      </c>
      <c r="B290" s="189" t="s">
        <v>549</v>
      </c>
      <c r="C290" s="189" t="str">
        <f t="shared" si="2"/>
        <v>AE United Arab Emirates (the) CCC: 0,858</v>
      </c>
      <c r="D290" s="190">
        <v>0.85799999999999998</v>
      </c>
      <c r="E290" s="188" t="s">
        <v>243</v>
      </c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  <c r="AA290" s="176"/>
      <c r="AB290" s="176"/>
      <c r="AC290" s="176"/>
      <c r="AD290" s="176"/>
      <c r="AE290" s="176"/>
      <c r="AF290" s="176"/>
      <c r="AG290" s="176"/>
      <c r="AH290" s="176"/>
      <c r="AI290" s="176"/>
      <c r="AJ290" s="176"/>
      <c r="AK290" s="176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176"/>
      <c r="AV290" s="176"/>
      <c r="AW290" s="176"/>
      <c r="AX290" s="176"/>
      <c r="AY290" s="176"/>
      <c r="AZ290" s="176"/>
      <c r="BA290" s="176"/>
      <c r="BB290" s="176"/>
      <c r="BC290" s="176"/>
      <c r="BD290" s="176"/>
      <c r="BE290" s="176"/>
      <c r="BF290" s="176"/>
      <c r="BG290" s="176"/>
      <c r="BH290" s="176"/>
      <c r="BI290" s="176"/>
      <c r="BJ290" s="176"/>
      <c r="BK290" s="176"/>
      <c r="BL290" s="176"/>
      <c r="BM290" s="176"/>
      <c r="BN290" s="176"/>
      <c r="BO290" s="176"/>
      <c r="BP290" s="176"/>
      <c r="BQ290" s="176"/>
      <c r="BR290" s="176"/>
      <c r="BS290" s="176"/>
      <c r="BT290" s="176"/>
      <c r="BU290" s="176"/>
      <c r="BV290" s="176"/>
      <c r="BW290" s="176"/>
      <c r="BX290" s="176"/>
      <c r="BY290" s="176"/>
      <c r="BZ290" s="176"/>
      <c r="CA290" s="176"/>
      <c r="CB290" s="176"/>
      <c r="CC290" s="176"/>
      <c r="CD290" s="176"/>
      <c r="CE290" s="176"/>
      <c r="CF290" s="176"/>
      <c r="CG290" s="176"/>
      <c r="CH290" s="176"/>
      <c r="CI290" s="176"/>
      <c r="CJ290" s="176"/>
      <c r="CK290" s="176"/>
      <c r="CL290" s="176"/>
      <c r="CM290" s="176"/>
      <c r="CN290" s="176"/>
      <c r="CO290" s="176"/>
      <c r="CP290" s="176"/>
      <c r="CQ290" s="176"/>
      <c r="CR290" s="176"/>
      <c r="CS290" s="176"/>
      <c r="CT290" s="176"/>
    </row>
    <row r="291" spans="1:98" s="178" customFormat="1" hidden="1" outlineLevel="1" x14ac:dyDescent="0.35">
      <c r="A291" s="188" t="s">
        <v>550</v>
      </c>
      <c r="B291" s="189" t="s">
        <v>551</v>
      </c>
      <c r="C291" s="189" t="str">
        <f t="shared" si="2"/>
        <v>UK United Kingdom of Great Britain and Northern Ireland (the) CCC: 1,249</v>
      </c>
      <c r="D291" s="190">
        <v>1.2490000000000001</v>
      </c>
      <c r="E291" s="188" t="s">
        <v>254</v>
      </c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  <c r="AA291" s="176"/>
      <c r="AB291" s="176"/>
      <c r="AC291" s="176"/>
      <c r="AD291" s="176"/>
      <c r="AE291" s="176"/>
      <c r="AF291" s="176"/>
      <c r="AG291" s="176"/>
      <c r="AH291" s="176"/>
      <c r="AI291" s="176"/>
      <c r="AJ291" s="176"/>
      <c r="AK291" s="176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176"/>
      <c r="AV291" s="176"/>
      <c r="AW291" s="176"/>
      <c r="AX291" s="176"/>
      <c r="AY291" s="176"/>
      <c r="AZ291" s="176"/>
      <c r="BA291" s="176"/>
      <c r="BB291" s="176"/>
      <c r="BC291" s="176"/>
      <c r="BD291" s="176"/>
      <c r="BE291" s="176"/>
      <c r="BF291" s="176"/>
      <c r="BG291" s="176"/>
      <c r="BH291" s="176"/>
      <c r="BI291" s="176"/>
      <c r="BJ291" s="176"/>
      <c r="BK291" s="176"/>
      <c r="BL291" s="176"/>
      <c r="BM291" s="176"/>
      <c r="BN291" s="176"/>
      <c r="BO291" s="176"/>
      <c r="BP291" s="176"/>
      <c r="BQ291" s="176"/>
      <c r="BR291" s="176"/>
      <c r="BS291" s="176"/>
      <c r="BT291" s="176"/>
      <c r="BU291" s="176"/>
      <c r="BV291" s="176"/>
      <c r="BW291" s="176"/>
      <c r="BX291" s="176"/>
      <c r="BY291" s="176"/>
      <c r="BZ291" s="176"/>
      <c r="CA291" s="176"/>
      <c r="CB291" s="176"/>
      <c r="CC291" s="176"/>
      <c r="CD291" s="176"/>
      <c r="CE291" s="176"/>
      <c r="CF291" s="176"/>
      <c r="CG291" s="176"/>
      <c r="CH291" s="176"/>
      <c r="CI291" s="176"/>
      <c r="CJ291" s="176"/>
      <c r="CK291" s="176"/>
      <c r="CL291" s="176"/>
      <c r="CM291" s="176"/>
      <c r="CN291" s="176"/>
      <c r="CO291" s="176"/>
      <c r="CP291" s="176"/>
      <c r="CQ291" s="176"/>
      <c r="CR291" s="176"/>
      <c r="CS291" s="176"/>
      <c r="CT291" s="176"/>
    </row>
    <row r="292" spans="1:98" s="178" customFormat="1" hidden="1" outlineLevel="1" x14ac:dyDescent="0.35">
      <c r="A292" s="188" t="s">
        <v>552</v>
      </c>
      <c r="B292" s="189" t="s">
        <v>553</v>
      </c>
      <c r="C292" s="189" t="str">
        <f t="shared" si="2"/>
        <v>US United States of America (the) CCC: 0,933</v>
      </c>
      <c r="D292" s="190">
        <v>0.93300000000000005</v>
      </c>
      <c r="E292" s="188" t="s">
        <v>243</v>
      </c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  <c r="AA292" s="176"/>
      <c r="AB292" s="176"/>
      <c r="AC292" s="176"/>
      <c r="AD292" s="176"/>
      <c r="AE292" s="176"/>
      <c r="AF292" s="176"/>
      <c r="AG292" s="176"/>
      <c r="AH292" s="176"/>
      <c r="AI292" s="176"/>
      <c r="AJ292" s="176"/>
      <c r="AK292" s="176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176"/>
      <c r="AV292" s="176"/>
      <c r="AW292" s="176"/>
      <c r="AX292" s="176"/>
      <c r="AY292" s="176"/>
      <c r="AZ292" s="176"/>
      <c r="BA292" s="176"/>
      <c r="BB292" s="176"/>
      <c r="BC292" s="176"/>
      <c r="BD292" s="176"/>
      <c r="BE292" s="176"/>
      <c r="BF292" s="176"/>
      <c r="BG292" s="176"/>
      <c r="BH292" s="176"/>
      <c r="BI292" s="176"/>
      <c r="BJ292" s="176"/>
      <c r="BK292" s="176"/>
      <c r="BL292" s="176"/>
      <c r="BM292" s="176"/>
      <c r="BN292" s="176"/>
      <c r="BO292" s="176"/>
      <c r="BP292" s="176"/>
      <c r="BQ292" s="176"/>
      <c r="BR292" s="176"/>
      <c r="BS292" s="176"/>
      <c r="BT292" s="176"/>
      <c r="BU292" s="176"/>
      <c r="BV292" s="176"/>
      <c r="BW292" s="176"/>
      <c r="BX292" s="176"/>
      <c r="BY292" s="176"/>
      <c r="BZ292" s="176"/>
      <c r="CA292" s="176"/>
      <c r="CB292" s="176"/>
      <c r="CC292" s="176"/>
      <c r="CD292" s="176"/>
      <c r="CE292" s="176"/>
      <c r="CF292" s="176"/>
      <c r="CG292" s="176"/>
      <c r="CH292" s="176"/>
      <c r="CI292" s="176"/>
      <c r="CJ292" s="176"/>
      <c r="CK292" s="176"/>
      <c r="CL292" s="176"/>
      <c r="CM292" s="176"/>
      <c r="CN292" s="176"/>
      <c r="CO292" s="176"/>
      <c r="CP292" s="176"/>
      <c r="CQ292" s="176"/>
      <c r="CR292" s="176"/>
      <c r="CS292" s="176"/>
      <c r="CT292" s="176"/>
    </row>
    <row r="293" spans="1:98" s="178" customFormat="1" hidden="1" outlineLevel="1" x14ac:dyDescent="0.35">
      <c r="A293" s="188" t="s">
        <v>554</v>
      </c>
      <c r="B293" s="189" t="s">
        <v>555</v>
      </c>
      <c r="C293" s="189" t="str">
        <f t="shared" si="2"/>
        <v>UY Uruguay CCC: 0,818</v>
      </c>
      <c r="D293" s="190">
        <v>0.81799999999999995</v>
      </c>
      <c r="E293" s="188" t="s">
        <v>243</v>
      </c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  <c r="AA293" s="176"/>
      <c r="AB293" s="176"/>
      <c r="AC293" s="176"/>
      <c r="AD293" s="176"/>
      <c r="AE293" s="176"/>
      <c r="AF293" s="176"/>
      <c r="AG293" s="176"/>
      <c r="AH293" s="176"/>
      <c r="AI293" s="176"/>
      <c r="AJ293" s="176"/>
      <c r="AK293" s="176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176"/>
      <c r="AV293" s="176"/>
      <c r="AW293" s="176"/>
      <c r="AX293" s="176"/>
      <c r="AY293" s="176"/>
      <c r="AZ293" s="176"/>
      <c r="BA293" s="176"/>
      <c r="BB293" s="176"/>
      <c r="BC293" s="176"/>
      <c r="BD293" s="176"/>
      <c r="BE293" s="176"/>
      <c r="BF293" s="176"/>
      <c r="BG293" s="176"/>
      <c r="BH293" s="176"/>
      <c r="BI293" s="176"/>
      <c r="BJ293" s="176"/>
      <c r="BK293" s="176"/>
      <c r="BL293" s="176"/>
      <c r="BM293" s="176"/>
      <c r="BN293" s="176"/>
      <c r="BO293" s="176"/>
      <c r="BP293" s="176"/>
      <c r="BQ293" s="176"/>
      <c r="BR293" s="176"/>
      <c r="BS293" s="176"/>
      <c r="BT293" s="176"/>
      <c r="BU293" s="176"/>
      <c r="BV293" s="176"/>
      <c r="BW293" s="176"/>
      <c r="BX293" s="176"/>
      <c r="BY293" s="176"/>
      <c r="BZ293" s="176"/>
      <c r="CA293" s="176"/>
      <c r="CB293" s="176"/>
      <c r="CC293" s="176"/>
      <c r="CD293" s="176"/>
      <c r="CE293" s="176"/>
      <c r="CF293" s="176"/>
      <c r="CG293" s="176"/>
      <c r="CH293" s="176"/>
      <c r="CI293" s="176"/>
      <c r="CJ293" s="176"/>
      <c r="CK293" s="176"/>
      <c r="CL293" s="176"/>
      <c r="CM293" s="176"/>
      <c r="CN293" s="176"/>
      <c r="CO293" s="176"/>
      <c r="CP293" s="176"/>
      <c r="CQ293" s="176"/>
      <c r="CR293" s="176"/>
      <c r="CS293" s="176"/>
      <c r="CT293" s="176"/>
    </row>
    <row r="294" spans="1:98" s="178" customFormat="1" hidden="1" outlineLevel="1" x14ac:dyDescent="0.35">
      <c r="A294" s="188" t="s">
        <v>556</v>
      </c>
      <c r="B294" s="189" t="s">
        <v>557</v>
      </c>
      <c r="C294" s="189" t="str">
        <f t="shared" si="2"/>
        <v>UZ Uzbekistan CCC: 0,62</v>
      </c>
      <c r="D294" s="190">
        <v>0.62</v>
      </c>
      <c r="E294" s="188" t="s">
        <v>243</v>
      </c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  <c r="AA294" s="176"/>
      <c r="AB294" s="176"/>
      <c r="AC294" s="176"/>
      <c r="AD294" s="176"/>
      <c r="AE294" s="176"/>
      <c r="AF294" s="176"/>
      <c r="AG294" s="176"/>
      <c r="AH294" s="176"/>
      <c r="AI294" s="176"/>
      <c r="AJ294" s="176"/>
      <c r="AK294" s="176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176"/>
      <c r="AV294" s="176"/>
      <c r="AW294" s="176"/>
      <c r="AX294" s="176"/>
      <c r="AY294" s="176"/>
      <c r="AZ294" s="176"/>
      <c r="BA294" s="176"/>
      <c r="BB294" s="176"/>
      <c r="BC294" s="176"/>
      <c r="BD294" s="176"/>
      <c r="BE294" s="176"/>
      <c r="BF294" s="176"/>
      <c r="BG294" s="176"/>
      <c r="BH294" s="176"/>
      <c r="BI294" s="176"/>
      <c r="BJ294" s="176"/>
      <c r="BK294" s="176"/>
      <c r="BL294" s="176"/>
      <c r="BM294" s="176"/>
      <c r="BN294" s="176"/>
      <c r="BO294" s="176"/>
      <c r="BP294" s="176"/>
      <c r="BQ294" s="176"/>
      <c r="BR294" s="176"/>
      <c r="BS294" s="176"/>
      <c r="BT294" s="176"/>
      <c r="BU294" s="176"/>
      <c r="BV294" s="176"/>
      <c r="BW294" s="176"/>
      <c r="BX294" s="176"/>
      <c r="BY294" s="176"/>
      <c r="BZ294" s="176"/>
      <c r="CA294" s="176"/>
      <c r="CB294" s="176"/>
      <c r="CC294" s="176"/>
      <c r="CD294" s="176"/>
      <c r="CE294" s="176"/>
      <c r="CF294" s="176"/>
      <c r="CG294" s="176"/>
      <c r="CH294" s="176"/>
      <c r="CI294" s="176"/>
      <c r="CJ294" s="176"/>
      <c r="CK294" s="176"/>
      <c r="CL294" s="176"/>
      <c r="CM294" s="176"/>
      <c r="CN294" s="176"/>
      <c r="CO294" s="176"/>
      <c r="CP294" s="176"/>
      <c r="CQ294" s="176"/>
      <c r="CR294" s="176"/>
      <c r="CS294" s="176"/>
      <c r="CT294" s="176"/>
    </row>
    <row r="295" spans="1:98" s="178" customFormat="1" hidden="1" outlineLevel="1" x14ac:dyDescent="0.35">
      <c r="A295" s="188" t="s">
        <v>558</v>
      </c>
      <c r="B295" s="189" t="s">
        <v>559</v>
      </c>
      <c r="C295" s="189" t="str">
        <f t="shared" si="2"/>
        <v>VU Vanuatu CCC: 0,956</v>
      </c>
      <c r="D295" s="190">
        <v>0.95599999999999996</v>
      </c>
      <c r="E295" s="188" t="s">
        <v>243</v>
      </c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176"/>
      <c r="AV295" s="176"/>
      <c r="AW295" s="176"/>
      <c r="AX295" s="176"/>
      <c r="AY295" s="176"/>
      <c r="AZ295" s="176"/>
      <c r="BA295" s="176"/>
      <c r="BB295" s="176"/>
      <c r="BC295" s="176"/>
      <c r="BD295" s="176"/>
      <c r="BE295" s="176"/>
      <c r="BF295" s="176"/>
      <c r="BG295" s="176"/>
      <c r="BH295" s="176"/>
      <c r="BI295" s="176"/>
      <c r="BJ295" s="176"/>
      <c r="BK295" s="176"/>
      <c r="BL295" s="176"/>
      <c r="BM295" s="176"/>
      <c r="BN295" s="176"/>
      <c r="BO295" s="176"/>
      <c r="BP295" s="176"/>
      <c r="BQ295" s="176"/>
      <c r="BR295" s="176"/>
      <c r="BS295" s="176"/>
      <c r="BT295" s="176"/>
      <c r="BU295" s="176"/>
      <c r="BV295" s="176"/>
      <c r="BW295" s="176"/>
      <c r="BX295" s="176"/>
      <c r="BY295" s="176"/>
      <c r="BZ295" s="176"/>
      <c r="CA295" s="176"/>
      <c r="CB295" s="176"/>
      <c r="CC295" s="176"/>
      <c r="CD295" s="176"/>
      <c r="CE295" s="176"/>
      <c r="CF295" s="176"/>
      <c r="CG295" s="176"/>
      <c r="CH295" s="176"/>
      <c r="CI295" s="176"/>
      <c r="CJ295" s="176"/>
      <c r="CK295" s="176"/>
      <c r="CL295" s="176"/>
      <c r="CM295" s="176"/>
      <c r="CN295" s="176"/>
      <c r="CO295" s="176"/>
      <c r="CP295" s="176"/>
      <c r="CQ295" s="176"/>
      <c r="CR295" s="176"/>
      <c r="CS295" s="176"/>
      <c r="CT295" s="176"/>
    </row>
    <row r="296" spans="1:98" s="178" customFormat="1" hidden="1" outlineLevel="1" x14ac:dyDescent="0.35">
      <c r="A296" s="188" t="s">
        <v>560</v>
      </c>
      <c r="B296" s="189" t="s">
        <v>561</v>
      </c>
      <c r="C296" s="189" t="str">
        <f t="shared" si="2"/>
        <v>VE Venezuela (Bolivarian Republic of) CCC: 1,27</v>
      </c>
      <c r="D296" s="190">
        <v>1.27</v>
      </c>
      <c r="E296" s="188" t="s">
        <v>243</v>
      </c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176"/>
      <c r="AV296" s="176"/>
      <c r="AW296" s="176"/>
      <c r="AX296" s="176"/>
      <c r="AY296" s="176"/>
      <c r="AZ296" s="176"/>
      <c r="BA296" s="176"/>
      <c r="BB296" s="176"/>
      <c r="BC296" s="176"/>
      <c r="BD296" s="176"/>
      <c r="BE296" s="176"/>
      <c r="BF296" s="176"/>
      <c r="BG296" s="176"/>
      <c r="BH296" s="176"/>
      <c r="BI296" s="176"/>
      <c r="BJ296" s="176"/>
      <c r="BK296" s="176"/>
      <c r="BL296" s="176"/>
      <c r="BM296" s="176"/>
      <c r="BN296" s="176"/>
      <c r="BO296" s="176"/>
      <c r="BP296" s="176"/>
      <c r="BQ296" s="176"/>
      <c r="BR296" s="176"/>
      <c r="BS296" s="176"/>
      <c r="BT296" s="176"/>
      <c r="BU296" s="176"/>
      <c r="BV296" s="176"/>
      <c r="BW296" s="176"/>
      <c r="BX296" s="176"/>
      <c r="BY296" s="176"/>
      <c r="BZ296" s="176"/>
      <c r="CA296" s="176"/>
      <c r="CB296" s="176"/>
      <c r="CC296" s="176"/>
      <c r="CD296" s="176"/>
      <c r="CE296" s="176"/>
      <c r="CF296" s="176"/>
      <c r="CG296" s="176"/>
      <c r="CH296" s="176"/>
      <c r="CI296" s="176"/>
      <c r="CJ296" s="176"/>
      <c r="CK296" s="176"/>
      <c r="CL296" s="176"/>
      <c r="CM296" s="176"/>
      <c r="CN296" s="176"/>
      <c r="CO296" s="176"/>
      <c r="CP296" s="176"/>
      <c r="CQ296" s="176"/>
      <c r="CR296" s="176"/>
      <c r="CS296" s="176"/>
      <c r="CT296" s="176"/>
    </row>
    <row r="297" spans="1:98" s="178" customFormat="1" hidden="1" outlineLevel="1" x14ac:dyDescent="0.35">
      <c r="A297" s="188" t="s">
        <v>562</v>
      </c>
      <c r="B297" s="189" t="s">
        <v>563</v>
      </c>
      <c r="C297" s="189" t="str">
        <f t="shared" si="2"/>
        <v>VN Viet Nam CCC: 0,559</v>
      </c>
      <c r="D297" s="190">
        <v>0.55900000000000005</v>
      </c>
      <c r="E297" s="188" t="s">
        <v>243</v>
      </c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176"/>
      <c r="AV297" s="176"/>
      <c r="AW297" s="176"/>
      <c r="AX297" s="176"/>
      <c r="AY297" s="176"/>
      <c r="AZ297" s="176"/>
      <c r="BA297" s="176"/>
      <c r="BB297" s="176"/>
      <c r="BC297" s="176"/>
      <c r="BD297" s="176"/>
      <c r="BE297" s="176"/>
      <c r="BF297" s="176"/>
      <c r="BG297" s="176"/>
      <c r="BH297" s="176"/>
      <c r="BI297" s="176"/>
      <c r="BJ297" s="176"/>
      <c r="BK297" s="176"/>
      <c r="BL297" s="176"/>
      <c r="BM297" s="176"/>
      <c r="BN297" s="176"/>
      <c r="BO297" s="176"/>
      <c r="BP297" s="176"/>
      <c r="BQ297" s="176"/>
      <c r="BR297" s="176"/>
      <c r="BS297" s="176"/>
      <c r="BT297" s="176"/>
      <c r="BU297" s="176"/>
      <c r="BV297" s="176"/>
      <c r="BW297" s="176"/>
      <c r="BX297" s="176"/>
      <c r="BY297" s="176"/>
      <c r="BZ297" s="176"/>
      <c r="CA297" s="176"/>
      <c r="CB297" s="176"/>
      <c r="CC297" s="176"/>
      <c r="CD297" s="176"/>
      <c r="CE297" s="176"/>
      <c r="CF297" s="176"/>
      <c r="CG297" s="176"/>
      <c r="CH297" s="176"/>
      <c r="CI297" s="176"/>
      <c r="CJ297" s="176"/>
      <c r="CK297" s="176"/>
      <c r="CL297" s="176"/>
      <c r="CM297" s="176"/>
      <c r="CN297" s="176"/>
      <c r="CO297" s="176"/>
      <c r="CP297" s="176"/>
      <c r="CQ297" s="176"/>
      <c r="CR297" s="176"/>
      <c r="CS297" s="176"/>
      <c r="CT297" s="176"/>
    </row>
    <row r="298" spans="1:98" s="178" customFormat="1" hidden="1" outlineLevel="1" x14ac:dyDescent="0.35">
      <c r="A298" s="188" t="s">
        <v>564</v>
      </c>
      <c r="B298" s="189" t="s">
        <v>565</v>
      </c>
      <c r="C298" s="189" t="str">
        <f t="shared" si="2"/>
        <v>YE Yemen CCC: 0,953</v>
      </c>
      <c r="D298" s="190">
        <v>0.95299999999999996</v>
      </c>
      <c r="E298" s="188" t="s">
        <v>243</v>
      </c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176"/>
      <c r="AV298" s="176"/>
      <c r="AW298" s="176"/>
      <c r="AX298" s="176"/>
      <c r="AY298" s="176"/>
      <c r="AZ298" s="176"/>
      <c r="BA298" s="176"/>
      <c r="BB298" s="176"/>
      <c r="BC298" s="176"/>
      <c r="BD298" s="176"/>
      <c r="BE298" s="176"/>
      <c r="BF298" s="176"/>
      <c r="BG298" s="176"/>
      <c r="BH298" s="176"/>
      <c r="BI298" s="176"/>
      <c r="BJ298" s="176"/>
      <c r="BK298" s="176"/>
      <c r="BL298" s="176"/>
      <c r="BM298" s="176"/>
      <c r="BN298" s="176"/>
      <c r="BO298" s="176"/>
      <c r="BP298" s="176"/>
      <c r="BQ298" s="176"/>
      <c r="BR298" s="176"/>
      <c r="BS298" s="176"/>
      <c r="BT298" s="176"/>
      <c r="BU298" s="176"/>
      <c r="BV298" s="176"/>
      <c r="BW298" s="176"/>
      <c r="BX298" s="176"/>
      <c r="BY298" s="176"/>
      <c r="BZ298" s="176"/>
      <c r="CA298" s="176"/>
      <c r="CB298" s="176"/>
      <c r="CC298" s="176"/>
      <c r="CD298" s="176"/>
      <c r="CE298" s="176"/>
      <c r="CF298" s="176"/>
      <c r="CG298" s="176"/>
      <c r="CH298" s="176"/>
      <c r="CI298" s="176"/>
      <c r="CJ298" s="176"/>
      <c r="CK298" s="176"/>
      <c r="CL298" s="176"/>
      <c r="CM298" s="176"/>
      <c r="CN298" s="176"/>
      <c r="CO298" s="176"/>
      <c r="CP298" s="176"/>
      <c r="CQ298" s="176"/>
      <c r="CR298" s="176"/>
      <c r="CS298" s="176"/>
      <c r="CT298" s="176"/>
    </row>
    <row r="299" spans="1:98" s="178" customFormat="1" hidden="1" outlineLevel="1" x14ac:dyDescent="0.35">
      <c r="A299" s="188" t="s">
        <v>566</v>
      </c>
      <c r="B299" s="189" t="s">
        <v>567</v>
      </c>
      <c r="C299" s="189" t="str">
        <f t="shared" si="2"/>
        <v>ZM Zambia CCC: 0,682</v>
      </c>
      <c r="D299" s="190">
        <v>0.68200000000000005</v>
      </c>
      <c r="E299" s="188" t="s">
        <v>243</v>
      </c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176"/>
      <c r="AV299" s="176"/>
      <c r="AW299" s="176"/>
      <c r="AX299" s="176"/>
      <c r="AY299" s="176"/>
      <c r="AZ299" s="176"/>
      <c r="BA299" s="176"/>
      <c r="BB299" s="176"/>
      <c r="BC299" s="176"/>
      <c r="BD299" s="176"/>
      <c r="BE299" s="176"/>
      <c r="BF299" s="176"/>
      <c r="BG299" s="176"/>
      <c r="BH299" s="176"/>
      <c r="BI299" s="176"/>
      <c r="BJ299" s="176"/>
      <c r="BK299" s="176"/>
      <c r="BL299" s="176"/>
      <c r="BM299" s="176"/>
      <c r="BN299" s="176"/>
      <c r="BO299" s="176"/>
      <c r="BP299" s="176"/>
      <c r="BQ299" s="176"/>
      <c r="BR299" s="176"/>
      <c r="BS299" s="176"/>
      <c r="BT299" s="176"/>
      <c r="BU299" s="176"/>
      <c r="BV299" s="176"/>
      <c r="BW299" s="176"/>
      <c r="BX299" s="176"/>
      <c r="BY299" s="176"/>
      <c r="BZ299" s="176"/>
      <c r="CA299" s="176"/>
      <c r="CB299" s="176"/>
      <c r="CC299" s="176"/>
      <c r="CD299" s="176"/>
      <c r="CE299" s="176"/>
      <c r="CF299" s="176"/>
      <c r="CG299" s="176"/>
      <c r="CH299" s="176"/>
      <c r="CI299" s="176"/>
      <c r="CJ299" s="176"/>
      <c r="CK299" s="176"/>
      <c r="CL299" s="176"/>
      <c r="CM299" s="176"/>
      <c r="CN299" s="176"/>
      <c r="CO299" s="176"/>
      <c r="CP299" s="176"/>
      <c r="CQ299" s="176"/>
      <c r="CR299" s="176"/>
      <c r="CS299" s="176"/>
      <c r="CT299" s="176"/>
    </row>
    <row r="300" spans="1:98" s="178" customFormat="1" hidden="1" outlineLevel="1" x14ac:dyDescent="0.35">
      <c r="A300" s="188" t="s">
        <v>568</v>
      </c>
      <c r="B300" s="189" t="s">
        <v>569</v>
      </c>
      <c r="C300" s="189" t="str">
        <f t="shared" si="2"/>
        <v>ZW Zimbabwe CCC: 0,897</v>
      </c>
      <c r="D300" s="190">
        <v>0.89700000000000002</v>
      </c>
      <c r="E300" s="188" t="s">
        <v>243</v>
      </c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176"/>
      <c r="AV300" s="176"/>
      <c r="AW300" s="176"/>
      <c r="AX300" s="176"/>
      <c r="AY300" s="176"/>
      <c r="AZ300" s="176"/>
      <c r="BA300" s="176"/>
      <c r="BB300" s="176"/>
      <c r="BC300" s="176"/>
      <c r="BD300" s="176"/>
      <c r="BE300" s="176"/>
      <c r="BF300" s="176"/>
      <c r="BG300" s="176"/>
      <c r="BH300" s="176"/>
      <c r="BI300" s="176"/>
      <c r="BJ300" s="176"/>
      <c r="BK300" s="176"/>
      <c r="BL300" s="176"/>
      <c r="BM300" s="176"/>
      <c r="BN300" s="176"/>
      <c r="BO300" s="176"/>
      <c r="BP300" s="176"/>
      <c r="BQ300" s="176"/>
      <c r="BR300" s="176"/>
      <c r="BS300" s="176"/>
      <c r="BT300" s="176"/>
      <c r="BU300" s="176"/>
      <c r="BV300" s="176"/>
      <c r="BW300" s="176"/>
      <c r="BX300" s="176"/>
      <c r="BY300" s="176"/>
      <c r="BZ300" s="176"/>
      <c r="CA300" s="176"/>
      <c r="CB300" s="176"/>
      <c r="CC300" s="176"/>
      <c r="CD300" s="176"/>
      <c r="CE300" s="176"/>
      <c r="CF300" s="176"/>
      <c r="CG300" s="176"/>
      <c r="CH300" s="176"/>
      <c r="CI300" s="176"/>
      <c r="CJ300" s="176"/>
      <c r="CK300" s="176"/>
      <c r="CL300" s="176"/>
      <c r="CM300" s="176"/>
      <c r="CN300" s="176"/>
      <c r="CO300" s="176"/>
      <c r="CP300" s="176"/>
      <c r="CQ300" s="176"/>
      <c r="CR300" s="176"/>
      <c r="CS300" s="176"/>
      <c r="CT300" s="176"/>
    </row>
    <row r="301" spans="1:98" s="178" customFormat="1" hidden="1" outlineLevel="1" x14ac:dyDescent="0.35">
      <c r="A301" s="188" t="s">
        <v>570</v>
      </c>
      <c r="B301" s="188"/>
      <c r="C301" s="189" t="str">
        <f t="shared" si="2"/>
        <v>EL  CCC: 0,745</v>
      </c>
      <c r="D301" s="190">
        <v>0.745</v>
      </c>
      <c r="E301" s="188" t="s">
        <v>254</v>
      </c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176"/>
      <c r="AV301" s="176"/>
      <c r="AW301" s="176"/>
      <c r="AX301" s="176"/>
      <c r="AY301" s="176"/>
      <c r="AZ301" s="176"/>
      <c r="BA301" s="176"/>
      <c r="BB301" s="176"/>
      <c r="BC301" s="176"/>
      <c r="BD301" s="176"/>
      <c r="BE301" s="176"/>
      <c r="BF301" s="176"/>
      <c r="BG301" s="176"/>
      <c r="BH301" s="176"/>
      <c r="BI301" s="176"/>
      <c r="BJ301" s="176"/>
      <c r="BK301" s="176"/>
      <c r="BL301" s="176"/>
      <c r="BM301" s="176"/>
      <c r="BN301" s="176"/>
      <c r="BO301" s="176"/>
      <c r="BP301" s="176"/>
      <c r="BQ301" s="176"/>
      <c r="BR301" s="176"/>
      <c r="BS301" s="176"/>
      <c r="BT301" s="176"/>
      <c r="BU301" s="176"/>
      <c r="BV301" s="176"/>
      <c r="BW301" s="176"/>
      <c r="BX301" s="176"/>
      <c r="BY301" s="176"/>
      <c r="BZ301" s="176"/>
      <c r="CA301" s="176"/>
      <c r="CB301" s="176"/>
      <c r="CC301" s="176"/>
      <c r="CD301" s="176"/>
      <c r="CE301" s="176"/>
      <c r="CF301" s="176"/>
      <c r="CG301" s="176"/>
      <c r="CH301" s="176"/>
      <c r="CI301" s="176"/>
      <c r="CJ301" s="176"/>
      <c r="CK301" s="176"/>
      <c r="CL301" s="176"/>
      <c r="CM301" s="176"/>
      <c r="CN301" s="176"/>
      <c r="CO301" s="176"/>
      <c r="CP301" s="176"/>
      <c r="CQ301" s="176"/>
      <c r="CR301" s="176"/>
      <c r="CS301" s="176"/>
      <c r="CT301" s="176"/>
    </row>
    <row r="302" spans="1:98" s="178" customFormat="1" hidden="1" outlineLevel="1" x14ac:dyDescent="0.35">
      <c r="A302" s="188" t="s">
        <v>571</v>
      </c>
      <c r="B302" s="188"/>
      <c r="C302" s="189" t="str">
        <f t="shared" si="2"/>
        <v>XK  CCC: 0,641</v>
      </c>
      <c r="D302" s="190">
        <v>0.64100000000000001</v>
      </c>
      <c r="E302" s="188" t="s">
        <v>243</v>
      </c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176"/>
      <c r="AV302" s="176"/>
      <c r="AW302" s="176"/>
      <c r="AX302" s="176"/>
      <c r="AY302" s="176"/>
      <c r="AZ302" s="176"/>
      <c r="BA302" s="176"/>
      <c r="BB302" s="176"/>
      <c r="BC302" s="176"/>
      <c r="BD302" s="176"/>
      <c r="BE302" s="176"/>
      <c r="BF302" s="176"/>
      <c r="BG302" s="176"/>
      <c r="BH302" s="176"/>
      <c r="BI302" s="176"/>
      <c r="BJ302" s="176"/>
      <c r="BK302" s="176"/>
      <c r="BL302" s="176"/>
      <c r="BM302" s="176"/>
      <c r="BN302" s="176"/>
      <c r="BO302" s="176"/>
      <c r="BP302" s="176"/>
      <c r="BQ302" s="176"/>
      <c r="BR302" s="176"/>
      <c r="BS302" s="176"/>
      <c r="BT302" s="176"/>
      <c r="BU302" s="176"/>
      <c r="BV302" s="176"/>
      <c r="BW302" s="176"/>
      <c r="BX302" s="176"/>
      <c r="BY302" s="176"/>
      <c r="BZ302" s="176"/>
      <c r="CA302" s="176"/>
      <c r="CB302" s="176"/>
      <c r="CC302" s="176"/>
      <c r="CD302" s="176"/>
      <c r="CE302" s="176"/>
      <c r="CF302" s="176"/>
      <c r="CG302" s="176"/>
      <c r="CH302" s="176"/>
      <c r="CI302" s="176"/>
      <c r="CJ302" s="176"/>
      <c r="CK302" s="176"/>
      <c r="CL302" s="176"/>
      <c r="CM302" s="176"/>
      <c r="CN302" s="176"/>
      <c r="CO302" s="176"/>
      <c r="CP302" s="176"/>
      <c r="CQ302" s="176"/>
      <c r="CR302" s="176"/>
      <c r="CS302" s="176"/>
      <c r="CT302" s="176"/>
    </row>
    <row r="303" spans="1:98" s="178" customFormat="1" hidden="1" outlineLevel="1" x14ac:dyDescent="0.35">
      <c r="A303" s="179"/>
      <c r="B303" s="177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176"/>
      <c r="AV303" s="176"/>
      <c r="AW303" s="176"/>
      <c r="AX303" s="176"/>
      <c r="AY303" s="176"/>
      <c r="AZ303" s="176"/>
      <c r="BA303" s="176"/>
      <c r="BB303" s="176"/>
      <c r="BC303" s="176"/>
      <c r="BD303" s="176"/>
      <c r="BE303" s="176"/>
      <c r="BF303" s="176"/>
      <c r="BG303" s="176"/>
      <c r="BH303" s="176"/>
      <c r="BI303" s="176"/>
      <c r="BJ303" s="176"/>
      <c r="BK303" s="176"/>
      <c r="BL303" s="176"/>
      <c r="BM303" s="176"/>
      <c r="BN303" s="176"/>
      <c r="BO303" s="176"/>
      <c r="BP303" s="176"/>
      <c r="BQ303" s="176"/>
      <c r="BR303" s="176"/>
      <c r="BS303" s="176"/>
      <c r="BT303" s="176"/>
      <c r="BU303" s="176"/>
      <c r="BV303" s="176"/>
      <c r="BW303" s="176"/>
      <c r="BX303" s="176"/>
      <c r="BY303" s="176"/>
      <c r="BZ303" s="176"/>
      <c r="CA303" s="176"/>
      <c r="CB303" s="176"/>
      <c r="CC303" s="176"/>
      <c r="CD303" s="176"/>
      <c r="CE303" s="176"/>
      <c r="CF303" s="176"/>
      <c r="CG303" s="176"/>
      <c r="CH303" s="176"/>
      <c r="CI303" s="176"/>
      <c r="CJ303" s="176"/>
      <c r="CK303" s="176"/>
      <c r="CL303" s="176"/>
      <c r="CM303" s="176"/>
      <c r="CN303" s="176"/>
      <c r="CO303" s="176"/>
      <c r="CP303" s="176"/>
      <c r="CQ303" s="176"/>
      <c r="CR303" s="176"/>
      <c r="CS303" s="176"/>
      <c r="CT303" s="176"/>
    </row>
    <row r="304" spans="1:98" s="178" customFormat="1" hidden="1" outlineLevel="1" x14ac:dyDescent="0.35">
      <c r="A304" s="179"/>
      <c r="B304" s="177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176"/>
      <c r="AV304" s="176"/>
      <c r="AW304" s="176"/>
      <c r="AX304" s="176"/>
      <c r="AY304" s="176"/>
      <c r="AZ304" s="176"/>
      <c r="BA304" s="176"/>
      <c r="BB304" s="176"/>
      <c r="BC304" s="176"/>
      <c r="BD304" s="176"/>
      <c r="BE304" s="176"/>
      <c r="BF304" s="176"/>
      <c r="BG304" s="176"/>
      <c r="BH304" s="176"/>
      <c r="BI304" s="176"/>
      <c r="BJ304" s="176"/>
      <c r="BK304" s="176"/>
      <c r="BL304" s="176"/>
      <c r="BM304" s="176"/>
      <c r="BN304" s="176"/>
      <c r="BO304" s="176"/>
      <c r="BP304" s="176"/>
      <c r="BQ304" s="176"/>
      <c r="BR304" s="176"/>
      <c r="BS304" s="176"/>
      <c r="BT304" s="176"/>
      <c r="BU304" s="176"/>
      <c r="BV304" s="176"/>
      <c r="BW304" s="176"/>
      <c r="BX304" s="176"/>
      <c r="BY304" s="176"/>
      <c r="BZ304" s="176"/>
      <c r="CA304" s="176"/>
      <c r="CB304" s="176"/>
      <c r="CC304" s="176"/>
      <c r="CD304" s="176"/>
      <c r="CE304" s="176"/>
      <c r="CF304" s="176"/>
      <c r="CG304" s="176"/>
      <c r="CH304" s="176"/>
      <c r="CI304" s="176"/>
      <c r="CJ304" s="176"/>
      <c r="CK304" s="176"/>
      <c r="CL304" s="176"/>
      <c r="CM304" s="176"/>
      <c r="CN304" s="176"/>
      <c r="CO304" s="176"/>
      <c r="CP304" s="176"/>
      <c r="CQ304" s="176"/>
      <c r="CR304" s="176"/>
      <c r="CS304" s="176"/>
      <c r="CT304" s="176"/>
    </row>
    <row r="305" spans="1:98" s="178" customFormat="1" hidden="1" outlineLevel="1" x14ac:dyDescent="0.35">
      <c r="A305" s="179"/>
      <c r="B305" s="177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176"/>
      <c r="AV305" s="176"/>
      <c r="AW305" s="176"/>
      <c r="AX305" s="176"/>
      <c r="AY305" s="176"/>
      <c r="AZ305" s="176"/>
      <c r="BA305" s="176"/>
      <c r="BB305" s="176"/>
      <c r="BC305" s="176"/>
      <c r="BD305" s="176"/>
      <c r="BE305" s="176"/>
      <c r="BF305" s="176"/>
      <c r="BG305" s="176"/>
      <c r="BH305" s="176"/>
      <c r="BI305" s="176"/>
      <c r="BJ305" s="176"/>
      <c r="BK305" s="176"/>
      <c r="BL305" s="176"/>
      <c r="BM305" s="176"/>
      <c r="BN305" s="176"/>
      <c r="BO305" s="176"/>
      <c r="BP305" s="176"/>
      <c r="BQ305" s="176"/>
      <c r="BR305" s="176"/>
      <c r="BS305" s="176"/>
      <c r="BT305" s="176"/>
      <c r="BU305" s="176"/>
      <c r="BV305" s="176"/>
      <c r="BW305" s="176"/>
      <c r="BX305" s="176"/>
      <c r="BY305" s="176"/>
      <c r="BZ305" s="176"/>
      <c r="CA305" s="176"/>
      <c r="CB305" s="176"/>
      <c r="CC305" s="176"/>
      <c r="CD305" s="176"/>
      <c r="CE305" s="176"/>
      <c r="CF305" s="176"/>
      <c r="CG305" s="176"/>
      <c r="CH305" s="176"/>
      <c r="CI305" s="176"/>
      <c r="CJ305" s="176"/>
      <c r="CK305" s="176"/>
      <c r="CL305" s="176"/>
      <c r="CM305" s="176"/>
      <c r="CN305" s="176"/>
      <c r="CO305" s="176"/>
      <c r="CP305" s="176"/>
      <c r="CQ305" s="176"/>
      <c r="CR305" s="176"/>
      <c r="CS305" s="176"/>
      <c r="CT305" s="176"/>
    </row>
    <row r="306" spans="1:98" s="178" customFormat="1" hidden="1" outlineLevel="1" x14ac:dyDescent="0.35">
      <c r="A306" s="191"/>
      <c r="B306" s="192"/>
      <c r="C306" s="193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  <c r="AZ306" s="193"/>
      <c r="BA306" s="193"/>
      <c r="BB306" s="193"/>
      <c r="BC306" s="193"/>
      <c r="BD306" s="193"/>
      <c r="BE306" s="193"/>
      <c r="BF306" s="193"/>
      <c r="BG306" s="193"/>
      <c r="BH306" s="193"/>
      <c r="BI306" s="193"/>
      <c r="BJ306" s="193"/>
      <c r="BK306" s="193"/>
      <c r="BL306" s="193"/>
      <c r="BM306" s="193"/>
      <c r="BN306" s="193"/>
      <c r="BO306" s="193"/>
      <c r="BP306" s="193"/>
      <c r="BQ306" s="193"/>
      <c r="BR306" s="193"/>
      <c r="BS306" s="193"/>
      <c r="BT306" s="193"/>
      <c r="BU306" s="193"/>
      <c r="BV306" s="193"/>
      <c r="BW306" s="193"/>
      <c r="BX306" s="193"/>
      <c r="BY306" s="193"/>
      <c r="BZ306" s="193"/>
      <c r="CA306" s="193"/>
      <c r="CB306" s="193"/>
      <c r="CC306" s="193"/>
      <c r="CD306" s="193"/>
      <c r="CE306" s="193"/>
      <c r="CF306" s="193"/>
      <c r="CG306" s="193"/>
      <c r="CH306" s="193"/>
      <c r="CI306" s="193"/>
      <c r="CJ306" s="193"/>
      <c r="CK306" s="193"/>
      <c r="CL306" s="193"/>
      <c r="CM306" s="193"/>
      <c r="CN306" s="193"/>
      <c r="CO306" s="193"/>
      <c r="CP306" s="193"/>
      <c r="CQ306" s="193"/>
      <c r="CR306" s="193"/>
      <c r="CS306" s="193"/>
      <c r="CT306" s="193"/>
    </row>
    <row r="307" spans="1:98" s="178" customFormat="1" hidden="1" outlineLevel="1" x14ac:dyDescent="0.35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5"/>
      <c r="AG307" s="195"/>
      <c r="AH307" s="195"/>
      <c r="AI307" s="195"/>
      <c r="AJ307" s="195"/>
      <c r="AK307" s="195"/>
      <c r="AL307" s="195"/>
      <c r="AM307" s="195"/>
      <c r="AN307" s="195"/>
      <c r="AO307" s="195"/>
      <c r="AP307" s="195"/>
      <c r="AQ307" s="195"/>
      <c r="AR307" s="195"/>
      <c r="AS307" s="195"/>
      <c r="AT307" s="195"/>
      <c r="AU307" s="195"/>
      <c r="AV307" s="195"/>
      <c r="AW307" s="195"/>
      <c r="AX307" s="195"/>
      <c r="AY307" s="195"/>
      <c r="AZ307" s="195"/>
      <c r="BA307" s="195"/>
      <c r="BB307" s="195"/>
      <c r="BC307" s="195"/>
      <c r="BD307" s="195"/>
      <c r="BE307" s="195"/>
      <c r="BF307" s="195"/>
      <c r="BG307" s="195"/>
      <c r="BH307" s="195"/>
      <c r="BI307" s="195"/>
      <c r="BJ307" s="195"/>
      <c r="BK307" s="195"/>
      <c r="BL307" s="195"/>
      <c r="BM307" s="195"/>
      <c r="BN307" s="195"/>
      <c r="BO307" s="195"/>
      <c r="BP307" s="195"/>
      <c r="BQ307" s="195"/>
      <c r="BR307" s="195"/>
      <c r="BS307" s="195"/>
      <c r="BT307" s="195"/>
      <c r="BU307" s="195"/>
      <c r="BV307" s="195"/>
      <c r="BW307" s="195"/>
      <c r="BX307" s="195"/>
      <c r="BY307" s="195"/>
      <c r="BZ307" s="195"/>
      <c r="CA307" s="195"/>
      <c r="CB307" s="195"/>
      <c r="CC307" s="195"/>
      <c r="CD307" s="195"/>
      <c r="CE307" s="195"/>
      <c r="CF307" s="195"/>
      <c r="CG307" s="195"/>
      <c r="CH307" s="195"/>
      <c r="CI307" s="195"/>
      <c r="CJ307" s="195"/>
      <c r="CK307" s="195"/>
      <c r="CL307" s="195"/>
      <c r="CM307" s="195"/>
      <c r="CN307" s="195"/>
      <c r="CO307" s="195"/>
      <c r="CP307" s="195"/>
      <c r="CQ307" s="195"/>
      <c r="CR307" s="195"/>
      <c r="CS307" s="195"/>
      <c r="CT307" s="195"/>
    </row>
    <row r="308" spans="1:98" s="178" customFormat="1" ht="18.5" hidden="1" outlineLevel="1" x14ac:dyDescent="0.45">
      <c r="A308" s="196" t="s">
        <v>190</v>
      </c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  <c r="AI308" s="195"/>
      <c r="AJ308" s="195"/>
      <c r="AK308" s="195"/>
      <c r="AL308" s="195"/>
      <c r="AM308" s="195"/>
      <c r="AN308" s="195"/>
      <c r="AO308" s="195"/>
      <c r="AP308" s="195"/>
      <c r="AQ308" s="195"/>
      <c r="AR308" s="195"/>
      <c r="AS308" s="195"/>
      <c r="AT308" s="195"/>
      <c r="AU308" s="195"/>
      <c r="AV308" s="195"/>
      <c r="AW308" s="195"/>
      <c r="AX308" s="195"/>
      <c r="AY308" s="195"/>
      <c r="AZ308" s="195"/>
      <c r="BA308" s="195"/>
      <c r="BB308" s="195"/>
      <c r="BC308" s="195"/>
      <c r="BD308" s="195"/>
      <c r="BE308" s="195"/>
      <c r="BF308" s="195"/>
      <c r="BG308" s="195"/>
      <c r="BH308" s="195"/>
      <c r="BI308" s="195"/>
      <c r="BJ308" s="195"/>
      <c r="BK308" s="195"/>
      <c r="BL308" s="195"/>
      <c r="BM308" s="195"/>
      <c r="BN308" s="195"/>
      <c r="BO308" s="195"/>
      <c r="BP308" s="195"/>
      <c r="BQ308" s="195"/>
      <c r="BR308" s="195"/>
      <c r="BS308" s="195"/>
      <c r="BT308" s="195"/>
      <c r="BU308" s="195"/>
      <c r="BV308" s="195"/>
      <c r="BW308" s="195"/>
      <c r="BX308" s="195"/>
      <c r="BY308" s="195"/>
      <c r="BZ308" s="195"/>
      <c r="CA308" s="195"/>
      <c r="CB308" s="195"/>
      <c r="CC308" s="195"/>
      <c r="CD308" s="195"/>
      <c r="CE308" s="195"/>
      <c r="CF308" s="195"/>
      <c r="CG308" s="195"/>
      <c r="CH308" s="195"/>
      <c r="CI308" s="195"/>
      <c r="CJ308" s="195"/>
      <c r="CK308" s="195"/>
      <c r="CL308" s="195"/>
      <c r="CM308" s="195"/>
      <c r="CN308" s="195"/>
      <c r="CO308" s="195"/>
      <c r="CP308" s="195"/>
      <c r="CQ308" s="195"/>
      <c r="CR308" s="195"/>
      <c r="CS308" s="195"/>
      <c r="CT308" s="195"/>
    </row>
    <row r="309" spans="1:98" s="178" customFormat="1" hidden="1" outlineLevel="1" x14ac:dyDescent="0.35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5"/>
      <c r="AG309" s="195"/>
      <c r="AH309" s="195"/>
      <c r="AI309" s="195"/>
      <c r="AJ309" s="195"/>
      <c r="AK309" s="195"/>
      <c r="AL309" s="195"/>
      <c r="AM309" s="195"/>
      <c r="AN309" s="195"/>
      <c r="AO309" s="195"/>
      <c r="AP309" s="195"/>
      <c r="AQ309" s="195"/>
      <c r="AR309" s="195"/>
      <c r="AS309" s="195"/>
      <c r="AT309" s="195"/>
      <c r="AU309" s="195"/>
      <c r="AV309" s="195"/>
      <c r="AW309" s="195"/>
      <c r="AX309" s="195"/>
      <c r="AY309" s="195"/>
      <c r="AZ309" s="195"/>
      <c r="BA309" s="195"/>
      <c r="BB309" s="195"/>
      <c r="BC309" s="195"/>
      <c r="BD309" s="195"/>
      <c r="BE309" s="195"/>
      <c r="BF309" s="195"/>
      <c r="BG309" s="195"/>
      <c r="BH309" s="195"/>
      <c r="BI309" s="195"/>
      <c r="BJ309" s="195"/>
      <c r="BK309" s="195"/>
      <c r="BL309" s="195"/>
      <c r="BM309" s="195"/>
      <c r="BN309" s="195"/>
      <c r="BO309" s="195"/>
      <c r="BP309" s="195"/>
      <c r="BQ309" s="195"/>
      <c r="BR309" s="195"/>
      <c r="BS309" s="195"/>
      <c r="BT309" s="195"/>
      <c r="BU309" s="195"/>
      <c r="BV309" s="195"/>
      <c r="BW309" s="195"/>
      <c r="BX309" s="195"/>
      <c r="BY309" s="195"/>
      <c r="BZ309" s="195"/>
      <c r="CA309" s="195"/>
      <c r="CB309" s="195"/>
      <c r="CC309" s="195"/>
      <c r="CD309" s="195"/>
      <c r="CE309" s="195"/>
      <c r="CF309" s="195"/>
      <c r="CG309" s="195"/>
      <c r="CH309" s="195"/>
      <c r="CI309" s="195"/>
      <c r="CJ309" s="195"/>
      <c r="CK309" s="195"/>
      <c r="CL309" s="195"/>
      <c r="CM309" s="195"/>
      <c r="CN309" s="195"/>
      <c r="CO309" s="195"/>
      <c r="CP309" s="195"/>
      <c r="CQ309" s="195"/>
      <c r="CR309" s="195"/>
      <c r="CS309" s="195"/>
      <c r="CT309" s="195"/>
    </row>
    <row r="310" spans="1:98" s="178" customFormat="1" hidden="1" outlineLevel="1" x14ac:dyDescent="0.35">
      <c r="A310" s="87" t="s">
        <v>191</v>
      </c>
      <c r="B310" s="195"/>
      <c r="C310" s="87" t="s">
        <v>61</v>
      </c>
      <c r="D310" s="195"/>
      <c r="E310" s="87" t="s">
        <v>60</v>
      </c>
      <c r="F310" s="195"/>
      <c r="G310" s="87" t="s">
        <v>641</v>
      </c>
      <c r="H310" s="31" t="s">
        <v>638</v>
      </c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  <c r="AD310" s="195"/>
      <c r="AE310" s="195"/>
      <c r="AF310" s="195"/>
      <c r="AG310" s="195"/>
      <c r="AH310" s="195"/>
      <c r="AI310" s="195"/>
      <c r="AJ310" s="195"/>
      <c r="AK310" s="195"/>
      <c r="AL310" s="195"/>
      <c r="AM310" s="195"/>
      <c r="AN310" s="195"/>
      <c r="AO310" s="195"/>
      <c r="AP310" s="195"/>
      <c r="AQ310" s="195"/>
      <c r="AR310" s="195"/>
      <c r="AS310" s="195"/>
      <c r="AT310" s="195"/>
      <c r="AU310" s="195"/>
      <c r="AV310" s="195"/>
      <c r="AW310" s="195"/>
      <c r="AX310" s="195"/>
      <c r="AY310" s="195"/>
      <c r="AZ310" s="195"/>
      <c r="BA310" s="195"/>
      <c r="BB310" s="195"/>
      <c r="BC310" s="195"/>
      <c r="BD310" s="195"/>
      <c r="BE310" s="195"/>
      <c r="BF310" s="195"/>
      <c r="BG310" s="195"/>
      <c r="BH310" s="195"/>
      <c r="BI310" s="195"/>
      <c r="BJ310" s="195"/>
      <c r="BK310" s="195"/>
      <c r="BL310" s="195"/>
      <c r="BM310" s="195"/>
      <c r="BN310" s="195"/>
      <c r="BO310" s="195"/>
      <c r="BP310" s="195"/>
      <c r="BQ310" s="195"/>
      <c r="BR310" s="195"/>
      <c r="BS310" s="195"/>
      <c r="BT310" s="195"/>
      <c r="BU310" s="195"/>
      <c r="BV310" s="195"/>
      <c r="BW310" s="195"/>
      <c r="BX310" s="195"/>
      <c r="BY310" s="195"/>
      <c r="BZ310" s="195"/>
      <c r="CA310" s="195"/>
      <c r="CB310" s="195"/>
      <c r="CC310" s="195"/>
      <c r="CD310" s="195"/>
      <c r="CE310" s="195"/>
      <c r="CF310" s="195"/>
      <c r="CG310" s="195"/>
      <c r="CH310" s="195"/>
      <c r="CI310" s="195"/>
      <c r="CJ310" s="195"/>
      <c r="CK310" s="195"/>
      <c r="CL310" s="195"/>
      <c r="CM310" s="195"/>
      <c r="CN310" s="195"/>
      <c r="CO310" s="195"/>
      <c r="CP310" s="195"/>
      <c r="CQ310" s="195"/>
      <c r="CR310" s="195"/>
      <c r="CS310" s="195"/>
      <c r="CT310" s="195"/>
    </row>
    <row r="311" spans="1:98" s="178" customFormat="1" collapsed="1" x14ac:dyDescent="0.35">
      <c r="A311" s="197" t="s">
        <v>23</v>
      </c>
      <c r="B311" s="195"/>
      <c r="C311" s="30" t="s">
        <v>67</v>
      </c>
      <c r="D311" s="195"/>
      <c r="E311" s="30" t="s">
        <v>23</v>
      </c>
      <c r="F311" s="195"/>
      <c r="G311" s="30" t="s">
        <v>840</v>
      </c>
      <c r="H311" s="29" t="s">
        <v>670</v>
      </c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  <c r="AD311" s="195"/>
      <c r="AE311" s="195"/>
      <c r="AF311" s="195"/>
      <c r="AG311" s="195"/>
      <c r="AH311" s="195"/>
      <c r="AI311" s="195"/>
      <c r="AJ311" s="195"/>
      <c r="AK311" s="195"/>
      <c r="AL311" s="195"/>
      <c r="AM311" s="195"/>
      <c r="AN311" s="195"/>
      <c r="AO311" s="195"/>
      <c r="AP311" s="195"/>
      <c r="AQ311" s="195"/>
      <c r="AR311" s="195"/>
      <c r="AS311" s="195"/>
      <c r="AT311" s="195"/>
      <c r="AU311" s="195"/>
      <c r="AV311" s="195"/>
      <c r="AW311" s="195"/>
      <c r="AX311" s="195"/>
      <c r="AY311" s="195"/>
      <c r="AZ311" s="195"/>
      <c r="BA311" s="195"/>
      <c r="BB311" s="195"/>
      <c r="BC311" s="195"/>
      <c r="BD311" s="195"/>
      <c r="BE311" s="195"/>
      <c r="BF311" s="195"/>
      <c r="BG311" s="195"/>
      <c r="BH311" s="195"/>
      <c r="BI311" s="195"/>
      <c r="BJ311" s="195"/>
      <c r="BK311" s="195"/>
      <c r="BL311" s="195"/>
      <c r="BM311" s="195"/>
      <c r="BN311" s="195"/>
      <c r="BO311" s="195"/>
      <c r="BP311" s="195"/>
      <c r="BQ311" s="195"/>
      <c r="BR311" s="195"/>
      <c r="BS311" s="195"/>
      <c r="BT311" s="195"/>
      <c r="BU311" s="195"/>
      <c r="BV311" s="195"/>
      <c r="BW311" s="195"/>
      <c r="BX311" s="195"/>
      <c r="BY311" s="195"/>
      <c r="BZ311" s="195"/>
      <c r="CA311" s="195"/>
      <c r="CB311" s="195"/>
      <c r="CC311" s="195"/>
      <c r="CD311" s="195"/>
      <c r="CE311" s="195"/>
      <c r="CF311" s="195"/>
      <c r="CG311" s="195"/>
      <c r="CH311" s="195"/>
      <c r="CI311" s="195"/>
      <c r="CJ311" s="195"/>
      <c r="CK311" s="195"/>
      <c r="CL311" s="195"/>
      <c r="CM311" s="195"/>
      <c r="CN311" s="195"/>
      <c r="CO311" s="195"/>
      <c r="CP311" s="195"/>
      <c r="CQ311" s="195"/>
      <c r="CR311" s="195"/>
      <c r="CS311" s="195"/>
      <c r="CT311" s="195"/>
    </row>
    <row r="312" spans="1:98" s="194" customFormat="1" x14ac:dyDescent="0.35">
      <c r="A312" s="198" t="s">
        <v>29</v>
      </c>
      <c r="B312" s="195"/>
      <c r="C312" s="30" t="s">
        <v>26</v>
      </c>
      <c r="D312" s="195"/>
      <c r="E312" s="30" t="s">
        <v>29</v>
      </c>
      <c r="F312" s="195"/>
      <c r="G312" s="30" t="s">
        <v>841</v>
      </c>
      <c r="H312" s="29" t="s">
        <v>670</v>
      </c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  <c r="AD312" s="195"/>
      <c r="AE312" s="195"/>
      <c r="AF312" s="195"/>
      <c r="AG312" s="195"/>
      <c r="AH312" s="195"/>
      <c r="AI312" s="195"/>
      <c r="AJ312" s="195"/>
      <c r="AK312" s="195"/>
      <c r="AL312" s="195"/>
      <c r="AM312" s="195"/>
      <c r="AN312" s="195"/>
      <c r="AO312" s="195"/>
      <c r="AP312" s="195"/>
      <c r="AQ312" s="195"/>
      <c r="AR312" s="195"/>
      <c r="AS312" s="195"/>
      <c r="AT312" s="195"/>
      <c r="AU312" s="195"/>
      <c r="AV312" s="195"/>
      <c r="AW312" s="195"/>
      <c r="AX312" s="195"/>
      <c r="AY312" s="195"/>
      <c r="AZ312" s="195"/>
      <c r="BA312" s="195"/>
      <c r="BB312" s="195"/>
      <c r="BC312" s="195"/>
      <c r="BD312" s="195"/>
      <c r="BE312" s="195"/>
      <c r="BF312" s="195"/>
      <c r="BG312" s="195"/>
      <c r="BH312" s="195"/>
      <c r="BI312" s="195"/>
      <c r="BJ312" s="195"/>
      <c r="BK312" s="195"/>
      <c r="BL312" s="195"/>
      <c r="BM312" s="195"/>
      <c r="BN312" s="195"/>
      <c r="BO312" s="195"/>
      <c r="BP312" s="195"/>
      <c r="BQ312" s="195"/>
      <c r="BR312" s="195"/>
      <c r="BS312" s="195"/>
      <c r="BT312" s="195"/>
      <c r="BU312" s="195"/>
      <c r="BV312" s="195"/>
      <c r="BW312" s="195"/>
      <c r="BX312" s="195"/>
      <c r="BY312" s="195"/>
      <c r="BZ312" s="195"/>
      <c r="CA312" s="195"/>
      <c r="CB312" s="195"/>
      <c r="CC312" s="195"/>
      <c r="CD312" s="195"/>
      <c r="CE312" s="195"/>
      <c r="CF312" s="195"/>
      <c r="CG312" s="195"/>
      <c r="CH312" s="195"/>
      <c r="CI312" s="195"/>
      <c r="CJ312" s="195"/>
      <c r="CK312" s="195"/>
      <c r="CL312" s="195"/>
      <c r="CM312" s="195"/>
      <c r="CN312" s="195"/>
      <c r="CO312" s="195"/>
      <c r="CP312" s="195"/>
      <c r="CQ312" s="195"/>
      <c r="CR312" s="195"/>
      <c r="CS312" s="195"/>
      <c r="CT312" s="195"/>
    </row>
    <row r="313" spans="1:98" s="195" customFormat="1" x14ac:dyDescent="0.35">
      <c r="A313" s="198" t="s">
        <v>65</v>
      </c>
      <c r="C313" s="30" t="s">
        <v>68</v>
      </c>
      <c r="E313" s="30" t="s">
        <v>65</v>
      </c>
      <c r="G313" s="30" t="s">
        <v>33</v>
      </c>
      <c r="H313" s="29" t="s">
        <v>670</v>
      </c>
    </row>
    <row r="314" spans="1:98" s="195" customFormat="1" x14ac:dyDescent="0.35">
      <c r="A314" s="198" t="s">
        <v>64</v>
      </c>
      <c r="C314" s="30" t="s">
        <v>69</v>
      </c>
      <c r="E314" s="30" t="s">
        <v>64</v>
      </c>
      <c r="G314" s="30" t="s">
        <v>72</v>
      </c>
      <c r="H314" s="29" t="s">
        <v>670</v>
      </c>
    </row>
    <row r="315" spans="1:98" s="195" customFormat="1" x14ac:dyDescent="0.35">
      <c r="A315" s="198" t="s">
        <v>27</v>
      </c>
      <c r="C315" s="30" t="s">
        <v>70</v>
      </c>
      <c r="E315" s="30" t="s">
        <v>67</v>
      </c>
      <c r="G315" s="30" t="s">
        <v>34</v>
      </c>
      <c r="H315" s="29" t="s">
        <v>670</v>
      </c>
    </row>
    <row r="316" spans="1:98" s="195" customFormat="1" outlineLevel="1" x14ac:dyDescent="0.35">
      <c r="A316" s="198" t="s">
        <v>31</v>
      </c>
      <c r="C316" s="30" t="s">
        <v>71</v>
      </c>
      <c r="E316" s="30" t="s">
        <v>26</v>
      </c>
      <c r="G316" s="30" t="s">
        <v>35</v>
      </c>
      <c r="H316" s="29" t="s">
        <v>670</v>
      </c>
    </row>
    <row r="317" spans="1:98" s="195" customFormat="1" outlineLevel="1" x14ac:dyDescent="0.35">
      <c r="A317" s="198" t="s">
        <v>32</v>
      </c>
      <c r="C317" s="30" t="s">
        <v>37</v>
      </c>
      <c r="E317" s="30" t="s">
        <v>27</v>
      </c>
      <c r="G317" s="30" t="s">
        <v>842</v>
      </c>
      <c r="H317" s="29" t="s">
        <v>670</v>
      </c>
    </row>
    <row r="318" spans="1:98" s="195" customFormat="1" outlineLevel="1" x14ac:dyDescent="0.35">
      <c r="A318" s="198" t="s">
        <v>24</v>
      </c>
      <c r="C318" s="30" t="s">
        <v>38</v>
      </c>
      <c r="E318" s="30" t="s">
        <v>31</v>
      </c>
      <c r="G318" s="30" t="s">
        <v>843</v>
      </c>
      <c r="H318" s="29" t="s">
        <v>670</v>
      </c>
    </row>
    <row r="319" spans="1:98" s="195" customFormat="1" outlineLevel="1" x14ac:dyDescent="0.35">
      <c r="A319" s="198" t="s">
        <v>30</v>
      </c>
      <c r="C319" s="30" t="s">
        <v>25</v>
      </c>
      <c r="E319" s="30" t="s">
        <v>32</v>
      </c>
      <c r="G319" s="30" t="s">
        <v>73</v>
      </c>
      <c r="H319" s="29" t="s">
        <v>670</v>
      </c>
    </row>
    <row r="320" spans="1:98" s="195" customFormat="1" outlineLevel="1" x14ac:dyDescent="0.35">
      <c r="A320" s="198" t="s">
        <v>28</v>
      </c>
      <c r="E320" s="30" t="s">
        <v>24</v>
      </c>
      <c r="G320" s="30" t="s">
        <v>844</v>
      </c>
      <c r="H320" s="29" t="s">
        <v>670</v>
      </c>
    </row>
    <row r="321" spans="5:8" s="195" customFormat="1" outlineLevel="1" x14ac:dyDescent="0.35">
      <c r="E321" s="30" t="s">
        <v>30</v>
      </c>
      <c r="G321" s="30" t="s">
        <v>845</v>
      </c>
      <c r="H321" s="29" t="s">
        <v>670</v>
      </c>
    </row>
    <row r="322" spans="5:8" s="195" customFormat="1" outlineLevel="1" x14ac:dyDescent="0.35">
      <c r="E322" s="30" t="s">
        <v>28</v>
      </c>
      <c r="G322" s="30" t="s">
        <v>36</v>
      </c>
      <c r="H322" s="29" t="s">
        <v>670</v>
      </c>
    </row>
    <row r="323" spans="5:8" s="195" customFormat="1" outlineLevel="1" x14ac:dyDescent="0.35">
      <c r="E323" s="30" t="s">
        <v>68</v>
      </c>
      <c r="G323" s="30" t="s">
        <v>69</v>
      </c>
      <c r="H323" s="29" t="s">
        <v>670</v>
      </c>
    </row>
    <row r="324" spans="5:8" s="195" customFormat="1" outlineLevel="1" x14ac:dyDescent="0.35">
      <c r="E324" s="30" t="s">
        <v>69</v>
      </c>
      <c r="G324" s="30" t="s">
        <v>70</v>
      </c>
      <c r="H324" s="29" t="s">
        <v>670</v>
      </c>
    </row>
    <row r="325" spans="5:8" s="195" customFormat="1" outlineLevel="1" x14ac:dyDescent="0.35">
      <c r="E325" s="30" t="s">
        <v>70</v>
      </c>
      <c r="G325" s="30" t="s">
        <v>68</v>
      </c>
      <c r="H325" s="29" t="s">
        <v>670</v>
      </c>
    </row>
    <row r="326" spans="5:8" s="195" customFormat="1" outlineLevel="1" x14ac:dyDescent="0.35">
      <c r="E326" s="30" t="s">
        <v>71</v>
      </c>
      <c r="G326" s="30" t="s">
        <v>26</v>
      </c>
      <c r="H326" s="29" t="s">
        <v>670</v>
      </c>
    </row>
    <row r="327" spans="5:8" s="195" customFormat="1" outlineLevel="1" x14ac:dyDescent="0.35">
      <c r="E327" s="30" t="s">
        <v>37</v>
      </c>
      <c r="G327" s="30" t="s">
        <v>846</v>
      </c>
      <c r="H327" s="29" t="s">
        <v>670</v>
      </c>
    </row>
    <row r="328" spans="5:8" s="195" customFormat="1" outlineLevel="1" x14ac:dyDescent="0.35">
      <c r="E328" s="30" t="s">
        <v>38</v>
      </c>
      <c r="G328" s="30" t="s">
        <v>847</v>
      </c>
      <c r="H328" s="29" t="s">
        <v>670</v>
      </c>
    </row>
    <row r="329" spans="5:8" s="195" customFormat="1" outlineLevel="1" x14ac:dyDescent="0.35">
      <c r="E329" s="30" t="s">
        <v>25</v>
      </c>
      <c r="G329" s="30"/>
      <c r="H329" s="29"/>
    </row>
    <row r="330" spans="5:8" s="195" customFormat="1" outlineLevel="1" x14ac:dyDescent="0.35"/>
    <row r="331" spans="5:8" s="195" customFormat="1" outlineLevel="1" x14ac:dyDescent="0.35"/>
    <row r="332" spans="5:8" s="195" customFormat="1" outlineLevel="1" x14ac:dyDescent="0.35"/>
    <row r="333" spans="5:8" s="195" customFormat="1" outlineLevel="1" x14ac:dyDescent="0.35"/>
    <row r="334" spans="5:8" s="195" customFormat="1" outlineLevel="1" x14ac:dyDescent="0.35"/>
    <row r="335" spans="5:8" s="195" customFormat="1" outlineLevel="1" x14ac:dyDescent="0.35"/>
    <row r="336" spans="5:8" s="195" customFormat="1" outlineLevel="1" x14ac:dyDescent="0.35"/>
    <row r="337" spans="1:106" s="195" customFormat="1" outlineLevel="1" x14ac:dyDescent="0.35"/>
    <row r="338" spans="1:106" s="195" customFormat="1" outlineLevel="1" x14ac:dyDescent="0.35"/>
    <row r="339" spans="1:106" s="195" customFormat="1" outlineLevel="1" x14ac:dyDescent="0.35"/>
    <row r="340" spans="1:106" s="195" customFormat="1" outlineLevel="1" x14ac:dyDescent="0.35"/>
    <row r="341" spans="1:106" s="195" customFormat="1" outlineLevel="1" x14ac:dyDescent="0.35"/>
    <row r="342" spans="1:106" s="195" customFormat="1" ht="14.25" customHeight="1" outlineLevel="1" x14ac:dyDescent="0.35"/>
    <row r="343" spans="1:106" s="195" customFormat="1" outlineLevel="1" x14ac:dyDescent="0.35"/>
    <row r="344" spans="1:106" s="195" customFormat="1" ht="18.5" outlineLevel="1" x14ac:dyDescent="0.35">
      <c r="A344" s="89"/>
      <c r="B344" s="29"/>
      <c r="C344" s="29"/>
      <c r="D344" s="29"/>
      <c r="E344" s="29"/>
      <c r="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7"/>
    </row>
    <row r="345" spans="1:106" s="195" customFormat="1" ht="18.5" outlineLevel="1" x14ac:dyDescent="0.35">
      <c r="A345" s="89"/>
      <c r="B345" s="29"/>
      <c r="C345" s="29"/>
      <c r="D345" s="29"/>
      <c r="E345" s="29"/>
      <c r="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7"/>
    </row>
    <row r="346" spans="1:106" s="195" customFormat="1" outlineLevel="1" x14ac:dyDescent="0.35"/>
    <row r="347" spans="1:106" s="195" customFormat="1" outlineLevel="1" x14ac:dyDescent="0.35"/>
    <row r="348" spans="1:106" s="195" customFormat="1" x14ac:dyDescent="0.35">
      <c r="G348" s="29"/>
    </row>
    <row r="349" spans="1:106" s="195" customFormat="1" x14ac:dyDescent="0.35">
      <c r="G349" s="29"/>
    </row>
    <row r="350" spans="1:106" ht="11.25" customHeight="1" x14ac:dyDescent="0.35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  <c r="AD350" s="195"/>
      <c r="AE350" s="195"/>
      <c r="AF350" s="195"/>
      <c r="AG350" s="195"/>
      <c r="AH350" s="195"/>
      <c r="AI350" s="195"/>
      <c r="AJ350" s="195"/>
      <c r="AK350" s="195"/>
      <c r="AL350" s="195"/>
      <c r="AM350" s="195"/>
      <c r="AN350" s="195"/>
      <c r="AO350" s="195"/>
      <c r="AP350" s="195"/>
      <c r="AQ350" s="195"/>
      <c r="AR350" s="195"/>
      <c r="AS350" s="195"/>
      <c r="AT350" s="195"/>
      <c r="AU350" s="195"/>
      <c r="AV350" s="195"/>
      <c r="AW350" s="195"/>
      <c r="AX350" s="195"/>
      <c r="AY350" s="195"/>
      <c r="AZ350" s="195"/>
      <c r="BA350" s="195"/>
      <c r="BB350" s="195"/>
      <c r="BC350" s="195"/>
      <c r="BD350" s="195"/>
      <c r="BE350" s="195"/>
      <c r="BF350" s="195"/>
      <c r="BG350" s="195"/>
      <c r="BH350" s="195"/>
      <c r="BI350" s="195"/>
      <c r="BJ350" s="195"/>
      <c r="BK350" s="195"/>
      <c r="BL350" s="195"/>
      <c r="BM350" s="195"/>
      <c r="BN350" s="195"/>
      <c r="BO350" s="195"/>
      <c r="BP350" s="195"/>
      <c r="BQ350" s="195"/>
      <c r="BR350" s="195"/>
      <c r="BS350" s="195"/>
      <c r="BT350" s="195"/>
      <c r="BU350" s="195"/>
      <c r="BV350" s="195"/>
      <c r="BW350" s="195"/>
      <c r="BX350" s="195"/>
      <c r="BY350" s="195"/>
      <c r="BZ350" s="195"/>
      <c r="CA350" s="195"/>
      <c r="CB350" s="195"/>
      <c r="CC350" s="195"/>
      <c r="CD350" s="195"/>
      <c r="CE350" s="195"/>
      <c r="CF350" s="195"/>
      <c r="CG350" s="195"/>
      <c r="CH350" s="195"/>
      <c r="CI350" s="195"/>
      <c r="CJ350" s="195"/>
      <c r="CK350" s="195"/>
      <c r="CL350" s="195"/>
      <c r="CM350" s="195"/>
      <c r="CN350" s="195"/>
      <c r="CO350" s="195"/>
      <c r="CP350" s="195"/>
      <c r="CQ350" s="195"/>
      <c r="CR350" s="195"/>
      <c r="CS350" s="195"/>
      <c r="CT350" s="195"/>
      <c r="CU350" s="27"/>
      <c r="CV350" s="27"/>
      <c r="CW350" s="27"/>
      <c r="CX350" s="27"/>
      <c r="CY350" s="27"/>
      <c r="CZ350" s="27"/>
      <c r="DA350" s="27"/>
      <c r="DB350" s="27"/>
    </row>
    <row r="351" spans="1:106" ht="11.25" customHeight="1" x14ac:dyDescent="0.35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  <c r="AD351" s="195"/>
      <c r="AE351" s="195"/>
      <c r="AF351" s="195"/>
      <c r="AG351" s="195"/>
      <c r="AH351" s="195"/>
      <c r="AI351" s="195"/>
      <c r="AJ351" s="195"/>
      <c r="AK351" s="195"/>
      <c r="AL351" s="195"/>
      <c r="AM351" s="195"/>
      <c r="AN351" s="195"/>
      <c r="AO351" s="195"/>
      <c r="AP351" s="195"/>
      <c r="AQ351" s="195"/>
      <c r="AR351" s="195"/>
      <c r="AS351" s="195"/>
      <c r="AT351" s="195"/>
      <c r="AU351" s="195"/>
      <c r="AV351" s="195"/>
      <c r="AW351" s="195"/>
      <c r="AX351" s="195"/>
      <c r="AY351" s="195"/>
      <c r="AZ351" s="195"/>
      <c r="BA351" s="195"/>
      <c r="BB351" s="195"/>
      <c r="BC351" s="195"/>
      <c r="BD351" s="195"/>
      <c r="BE351" s="195"/>
      <c r="BF351" s="195"/>
      <c r="BG351" s="195"/>
      <c r="BH351" s="195"/>
      <c r="BI351" s="195"/>
      <c r="BJ351" s="195"/>
      <c r="BK351" s="195"/>
      <c r="BL351" s="195"/>
      <c r="BM351" s="195"/>
      <c r="BN351" s="195"/>
      <c r="BO351" s="195"/>
      <c r="BP351" s="195"/>
      <c r="BQ351" s="195"/>
      <c r="BR351" s="195"/>
      <c r="BS351" s="195"/>
      <c r="BT351" s="195"/>
      <c r="BU351" s="195"/>
      <c r="BV351" s="195"/>
      <c r="BW351" s="195"/>
      <c r="BX351" s="195"/>
      <c r="BY351" s="195"/>
      <c r="BZ351" s="195"/>
      <c r="CA351" s="195"/>
      <c r="CB351" s="195"/>
      <c r="CC351" s="195"/>
      <c r="CD351" s="195"/>
      <c r="CE351" s="195"/>
      <c r="CF351" s="195"/>
      <c r="CG351" s="195"/>
      <c r="CH351" s="195"/>
      <c r="CI351" s="195"/>
      <c r="CJ351" s="195"/>
      <c r="CK351" s="195"/>
      <c r="CL351" s="195"/>
      <c r="CM351" s="195"/>
      <c r="CN351" s="195"/>
      <c r="CO351" s="195"/>
      <c r="CP351" s="195"/>
      <c r="CQ351" s="195"/>
      <c r="CR351" s="195"/>
      <c r="CS351" s="195"/>
      <c r="CT351" s="195"/>
      <c r="CU351" s="27"/>
      <c r="CV351" s="27"/>
      <c r="CW351" s="27"/>
      <c r="CX351" s="27"/>
      <c r="CY351" s="27"/>
      <c r="CZ351" s="27"/>
      <c r="DA351" s="27"/>
      <c r="DB351" s="27"/>
    </row>
    <row r="352" spans="1:106" s="195" customFormat="1" ht="11.25" customHeight="1" x14ac:dyDescent="0.35"/>
    <row r="353" s="195" customFormat="1" ht="11.25" customHeight="1" x14ac:dyDescent="0.35"/>
    <row r="354" s="195" customFormat="1" ht="11.25" customHeight="1" x14ac:dyDescent="0.35"/>
    <row r="355" s="195" customFormat="1" ht="11.25" customHeight="1" x14ac:dyDescent="0.35"/>
    <row r="356" s="195" customFormat="1" ht="13.5" customHeight="1" x14ac:dyDescent="0.35"/>
    <row r="357" s="195" customFormat="1" ht="13.5" customHeight="1" x14ac:dyDescent="0.35"/>
    <row r="358" s="195" customFormat="1" ht="13.5" customHeight="1" x14ac:dyDescent="0.35"/>
    <row r="359" s="195" customFormat="1" ht="13.5" customHeight="1" x14ac:dyDescent="0.35"/>
    <row r="360" s="195" customFormat="1" ht="13.5" customHeight="1" x14ac:dyDescent="0.35"/>
    <row r="361" s="195" customFormat="1" ht="13.5" customHeight="1" x14ac:dyDescent="0.35"/>
    <row r="362" s="195" customFormat="1" ht="13.5" customHeight="1" x14ac:dyDescent="0.35"/>
    <row r="363" s="195" customFormat="1" ht="13.5" customHeight="1" x14ac:dyDescent="0.35"/>
    <row r="364" s="195" customFormat="1" ht="13.5" customHeight="1" x14ac:dyDescent="0.35"/>
    <row r="365" s="195" customFormat="1" ht="13.5" customHeight="1" x14ac:dyDescent="0.35"/>
    <row r="366" s="195" customFormat="1" ht="13.5" customHeight="1" x14ac:dyDescent="0.35"/>
    <row r="367" s="195" customFormat="1" ht="13.5" customHeight="1" x14ac:dyDescent="0.35"/>
    <row r="368" s="195" customFormat="1" x14ac:dyDescent="0.35"/>
    <row r="369" s="195" customFormat="1" x14ac:dyDescent="0.35"/>
    <row r="370" s="195" customFormat="1" x14ac:dyDescent="0.35"/>
    <row r="371" s="195" customFormat="1" x14ac:dyDescent="0.35"/>
    <row r="372" s="195" customFormat="1" x14ac:dyDescent="0.35"/>
    <row r="373" s="195" customFormat="1" x14ac:dyDescent="0.35"/>
    <row r="374" s="195" customFormat="1" x14ac:dyDescent="0.35"/>
    <row r="375" s="195" customFormat="1" x14ac:dyDescent="0.35"/>
    <row r="376" s="195" customFormat="1" x14ac:dyDescent="0.35"/>
    <row r="377" s="195" customFormat="1" x14ac:dyDescent="0.35"/>
    <row r="378" s="195" customFormat="1" x14ac:dyDescent="0.35"/>
    <row r="379" s="195" customFormat="1" x14ac:dyDescent="0.35"/>
    <row r="380" s="195" customFormat="1" x14ac:dyDescent="0.35"/>
    <row r="381" s="195" customFormat="1" x14ac:dyDescent="0.35"/>
    <row r="382" s="195" customFormat="1" x14ac:dyDescent="0.35"/>
    <row r="383" s="195" customFormat="1" x14ac:dyDescent="0.35"/>
    <row r="384" s="195" customFormat="1" x14ac:dyDescent="0.35"/>
    <row r="385" spans="1:104" s="195" customFormat="1" x14ac:dyDescent="0.35"/>
    <row r="386" spans="1:104" s="195" customFormat="1" x14ac:dyDescent="0.35"/>
    <row r="387" spans="1:104" s="195" customFormat="1" x14ac:dyDescent="0.35"/>
    <row r="388" spans="1:104" s="195" customFormat="1" x14ac:dyDescent="0.35">
      <c r="A388" s="26"/>
      <c r="B388" s="26"/>
      <c r="C388" s="29"/>
      <c r="D388" s="29"/>
      <c r="E388" s="29"/>
      <c r="F388" s="29"/>
      <c r="I388" s="30"/>
      <c r="J388" s="30"/>
      <c r="K388" s="29"/>
      <c r="L388" s="29"/>
      <c r="M388" s="29"/>
      <c r="N388" s="199"/>
      <c r="O388" s="30"/>
      <c r="P388" s="30"/>
      <c r="Q388" s="30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6"/>
    </row>
    <row r="389" spans="1:104" s="195" customFormat="1" x14ac:dyDescent="0.35">
      <c r="A389" s="26"/>
      <c r="B389" s="26"/>
      <c r="C389" s="29"/>
      <c r="D389" s="29"/>
      <c r="E389" s="29"/>
      <c r="F389" s="29"/>
      <c r="I389" s="30"/>
      <c r="J389" s="30"/>
      <c r="K389" s="29"/>
      <c r="L389" s="29"/>
      <c r="M389" s="29"/>
      <c r="N389" s="199"/>
      <c r="O389" s="30"/>
      <c r="P389" s="30"/>
      <c r="Q389" s="30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</row>
    <row r="390" spans="1:104" s="195" customFormat="1" x14ac:dyDescent="0.35">
      <c r="A390" s="26"/>
      <c r="B390" s="26"/>
      <c r="C390" s="29"/>
      <c r="D390" s="29"/>
      <c r="E390" s="29"/>
      <c r="F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</row>
    <row r="391" spans="1:104" s="195" customFormat="1" x14ac:dyDescent="0.35">
      <c r="A391" s="26"/>
      <c r="B391" s="26"/>
      <c r="C391" s="29"/>
      <c r="D391" s="29"/>
      <c r="E391" s="29"/>
      <c r="F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</row>
    <row r="392" spans="1:104" s="195" customFormat="1" x14ac:dyDescent="0.35">
      <c r="A392" s="26"/>
      <c r="B392" s="26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</row>
    <row r="393" spans="1:104" s="195" customFormat="1" x14ac:dyDescent="0.35">
      <c r="A393" s="26"/>
      <c r="B393" s="26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</row>
    <row r="394" spans="1:104" x14ac:dyDescent="0.35"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</row>
    <row r="395" spans="1:104" x14ac:dyDescent="0.35"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</row>
    <row r="396" spans="1:104" x14ac:dyDescent="0.35"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</row>
    <row r="397" spans="1:104" x14ac:dyDescent="0.35"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</row>
    <row r="398" spans="1:104" x14ac:dyDescent="0.35"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</row>
    <row r="399" spans="1:104" x14ac:dyDescent="0.35"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</row>
    <row r="400" spans="1:104" x14ac:dyDescent="0.35"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</row>
    <row r="401" spans="3:104" x14ac:dyDescent="0.35"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</row>
    <row r="402" spans="3:104" x14ac:dyDescent="0.35"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</row>
    <row r="403" spans="3:104" x14ac:dyDescent="0.35"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</row>
    <row r="404" spans="3:104" x14ac:dyDescent="0.35"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</row>
    <row r="405" spans="3:104" x14ac:dyDescent="0.35"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</row>
    <row r="406" spans="3:104" x14ac:dyDescent="0.35"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</row>
    <row r="407" spans="3:104" x14ac:dyDescent="0.35"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</row>
    <row r="408" spans="3:104" x14ac:dyDescent="0.35"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</row>
    <row r="409" spans="3:104" x14ac:dyDescent="0.35"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</row>
    <row r="410" spans="3:104" x14ac:dyDescent="0.35"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</row>
    <row r="411" spans="3:104" x14ac:dyDescent="0.35"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</row>
    <row r="412" spans="3:104" x14ac:dyDescent="0.35"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</row>
    <row r="413" spans="3:104" x14ac:dyDescent="0.35"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</row>
    <row r="414" spans="3:104" x14ac:dyDescent="0.35"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</row>
    <row r="415" spans="3:104" x14ac:dyDescent="0.35"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</row>
    <row r="416" spans="3:104" x14ac:dyDescent="0.35"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</row>
    <row r="417" spans="2:104" x14ac:dyDescent="0.35"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</row>
    <row r="418" spans="2:104" x14ac:dyDescent="0.35"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</row>
    <row r="419" spans="2:104" x14ac:dyDescent="0.35"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</row>
    <row r="420" spans="2:104" x14ac:dyDescent="0.35"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</row>
    <row r="421" spans="2:104" x14ac:dyDescent="0.35"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</row>
    <row r="422" spans="2:104" x14ac:dyDescent="0.35"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  <c r="CJ422" s="29"/>
      <c r="CK422" s="29"/>
      <c r="CL422" s="29"/>
      <c r="CM422" s="29"/>
      <c r="CN422" s="29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</row>
    <row r="423" spans="2:104" x14ac:dyDescent="0.35"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</row>
    <row r="424" spans="2:104" x14ac:dyDescent="0.35"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  <c r="CJ424" s="29"/>
      <c r="CK424" s="29"/>
      <c r="CL424" s="29"/>
      <c r="CM424" s="29"/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</row>
    <row r="425" spans="2:104" x14ac:dyDescent="0.35"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</row>
    <row r="426" spans="2:104" x14ac:dyDescent="0.35"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</row>
    <row r="427" spans="2:104" x14ac:dyDescent="0.35"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</row>
    <row r="428" spans="2:104" x14ac:dyDescent="0.35"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</row>
    <row r="429" spans="2:104" x14ac:dyDescent="0.35"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</row>
    <row r="430" spans="2:104" x14ac:dyDescent="0.35"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</row>
    <row r="431" spans="2:104" x14ac:dyDescent="0.35"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/>
      <c r="CO431" s="29"/>
      <c r="CP431" s="29"/>
      <c r="CQ431" s="29"/>
      <c r="CR431" s="29"/>
      <c r="CS431" s="29"/>
      <c r="CT431" s="29"/>
      <c r="CU431" s="29"/>
      <c r="CV431" s="29"/>
      <c r="CW431" s="29"/>
      <c r="CX431" s="29"/>
      <c r="CY431" s="29"/>
      <c r="CZ431" s="29"/>
    </row>
    <row r="432" spans="2:104" x14ac:dyDescent="0.35"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29"/>
      <c r="CC432" s="29"/>
      <c r="CD432" s="29"/>
      <c r="CE432" s="29"/>
      <c r="CF432" s="29"/>
      <c r="CG432" s="29"/>
      <c r="CH432" s="29"/>
      <c r="CI432" s="29"/>
      <c r="CJ432" s="29"/>
      <c r="CK432" s="29"/>
      <c r="CL432" s="29"/>
      <c r="CM432" s="29"/>
      <c r="CN432" s="29"/>
      <c r="CO432" s="29"/>
      <c r="CP432" s="29"/>
      <c r="CQ432" s="29"/>
      <c r="CR432" s="29"/>
      <c r="CS432" s="29"/>
      <c r="CT432" s="29"/>
      <c r="CU432" s="29"/>
      <c r="CV432" s="29"/>
      <c r="CW432" s="29"/>
      <c r="CX432" s="29"/>
      <c r="CY432" s="29"/>
      <c r="CZ432" s="29"/>
    </row>
    <row r="433" spans="3:104" x14ac:dyDescent="0.35"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29"/>
      <c r="CC433" s="29"/>
      <c r="CD433" s="29"/>
      <c r="CE433" s="29"/>
      <c r="CF433" s="29"/>
      <c r="CG433" s="29"/>
      <c r="CH433" s="29"/>
      <c r="CI433" s="29"/>
      <c r="CJ433" s="29"/>
      <c r="CK433" s="29"/>
      <c r="CL433" s="29"/>
      <c r="CM433" s="29"/>
      <c r="CN433" s="29"/>
      <c r="CO433" s="29"/>
      <c r="CP433" s="29"/>
      <c r="CQ433" s="29"/>
      <c r="CR433" s="29"/>
      <c r="CS433" s="29"/>
      <c r="CT433" s="29"/>
      <c r="CU433" s="29"/>
      <c r="CV433" s="29"/>
      <c r="CW433" s="29"/>
      <c r="CX433" s="29"/>
      <c r="CY433" s="29"/>
      <c r="CZ433" s="29"/>
    </row>
    <row r="434" spans="3:104" x14ac:dyDescent="0.35"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29"/>
      <c r="CC434" s="29"/>
      <c r="CD434" s="29"/>
      <c r="CE434" s="29"/>
      <c r="CF434" s="29"/>
      <c r="CG434" s="29"/>
      <c r="CH434" s="29"/>
      <c r="CI434" s="29"/>
      <c r="CJ434" s="29"/>
      <c r="CK434" s="29"/>
      <c r="CL434" s="29"/>
      <c r="CM434" s="29"/>
      <c r="CN434" s="29"/>
      <c r="CO434" s="29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</row>
    <row r="435" spans="3:104" x14ac:dyDescent="0.35"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</row>
    <row r="436" spans="3:104" x14ac:dyDescent="0.35"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29"/>
      <c r="CC436" s="29"/>
      <c r="CD436" s="29"/>
      <c r="CE436" s="29"/>
      <c r="CF436" s="29"/>
      <c r="CG436" s="29"/>
      <c r="CH436" s="29"/>
      <c r="CI436" s="29"/>
      <c r="CJ436" s="29"/>
      <c r="CK436" s="29"/>
      <c r="CL436" s="29"/>
      <c r="CM436" s="29"/>
      <c r="CN436" s="29"/>
      <c r="CO436" s="29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</row>
    <row r="437" spans="3:104" x14ac:dyDescent="0.35"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29"/>
      <c r="CC437" s="29"/>
      <c r="CD437" s="29"/>
      <c r="CE437" s="29"/>
      <c r="CF437" s="29"/>
      <c r="CG437" s="29"/>
      <c r="CH437" s="29"/>
      <c r="CI437" s="29"/>
      <c r="CJ437" s="29"/>
      <c r="CK437" s="29"/>
      <c r="CL437" s="29"/>
      <c r="CM437" s="29"/>
      <c r="CN437" s="29"/>
      <c r="CO437" s="29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</row>
    <row r="438" spans="3:104" x14ac:dyDescent="0.35"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29"/>
      <c r="CC438" s="29"/>
      <c r="CD438" s="29"/>
      <c r="CE438" s="29"/>
      <c r="CF438" s="29"/>
      <c r="CG438" s="29"/>
      <c r="CH438" s="29"/>
      <c r="CI438" s="29"/>
      <c r="CJ438" s="29"/>
      <c r="CK438" s="29"/>
      <c r="CL438" s="29"/>
      <c r="CM438" s="29"/>
      <c r="CN438" s="29"/>
      <c r="CO438" s="29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</row>
    <row r="439" spans="3:104" x14ac:dyDescent="0.35"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</row>
    <row r="440" spans="3:104" x14ac:dyDescent="0.35"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29"/>
      <c r="CC440" s="29"/>
      <c r="CD440" s="29"/>
      <c r="CE440" s="29"/>
      <c r="CF440" s="29"/>
      <c r="CG440" s="29"/>
      <c r="CH440" s="29"/>
      <c r="CI440" s="29"/>
      <c r="CJ440" s="29"/>
      <c r="CK440" s="29"/>
      <c r="CL440" s="29"/>
      <c r="CM440" s="29"/>
      <c r="CN440" s="29"/>
      <c r="CO440" s="29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</row>
    <row r="441" spans="3:104" x14ac:dyDescent="0.35"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</row>
    <row r="442" spans="3:104" x14ac:dyDescent="0.35"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  <c r="CH442" s="29"/>
      <c r="CI442" s="29"/>
      <c r="CJ442" s="29"/>
      <c r="CK442" s="29"/>
      <c r="CL442" s="29"/>
      <c r="CM442" s="29"/>
      <c r="CN442" s="29"/>
      <c r="CO442" s="29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</row>
    <row r="443" spans="3:104" x14ac:dyDescent="0.35"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  <c r="CH443" s="29"/>
      <c r="CI443" s="29"/>
      <c r="CJ443" s="29"/>
      <c r="CK443" s="29"/>
      <c r="CL443" s="29"/>
      <c r="CM443" s="29"/>
      <c r="CN443" s="29"/>
      <c r="CO443" s="29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</row>
    <row r="444" spans="3:104" x14ac:dyDescent="0.35"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  <c r="CH444" s="29"/>
      <c r="CI444" s="29"/>
      <c r="CJ444" s="29"/>
      <c r="CK444" s="29"/>
      <c r="CL444" s="29"/>
      <c r="CM444" s="29"/>
      <c r="CN444" s="29"/>
      <c r="CO444" s="29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</row>
    <row r="445" spans="3:104" x14ac:dyDescent="0.35"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  <c r="CH445" s="29"/>
      <c r="CI445" s="29"/>
      <c r="CJ445" s="29"/>
      <c r="CK445" s="29"/>
      <c r="CL445" s="29"/>
      <c r="CM445" s="29"/>
      <c r="CN445" s="29"/>
      <c r="CO445" s="29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</row>
    <row r="446" spans="3:104" x14ac:dyDescent="0.35"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  <c r="CH446" s="29"/>
      <c r="CI446" s="29"/>
      <c r="CJ446" s="29"/>
      <c r="CK446" s="29"/>
      <c r="CL446" s="29"/>
      <c r="CM446" s="29"/>
      <c r="CN446" s="29"/>
      <c r="CO446" s="29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</row>
    <row r="447" spans="3:104" x14ac:dyDescent="0.35"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  <c r="CH447" s="29"/>
      <c r="CI447" s="29"/>
      <c r="CJ447" s="29"/>
      <c r="CK447" s="29"/>
      <c r="CL447" s="29"/>
      <c r="CM447" s="29"/>
      <c r="CN447" s="29"/>
      <c r="CO447" s="29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</row>
    <row r="448" spans="3:104" x14ac:dyDescent="0.35"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  <c r="CH448" s="29"/>
      <c r="CI448" s="29"/>
      <c r="CJ448" s="29"/>
      <c r="CK448" s="29"/>
      <c r="CL448" s="29"/>
      <c r="CM448" s="29"/>
      <c r="CN448" s="29"/>
      <c r="CO448" s="29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</row>
    <row r="449" spans="2:104" x14ac:dyDescent="0.35">
      <c r="B449" s="2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  <c r="CH449" s="29"/>
      <c r="CI449" s="29"/>
      <c r="CJ449" s="29"/>
      <c r="CK449" s="29"/>
      <c r="CL449" s="29"/>
      <c r="CM449" s="29"/>
      <c r="CN449" s="29"/>
      <c r="CO449" s="29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</row>
    <row r="450" spans="2:104" x14ac:dyDescent="0.35"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  <c r="CH450" s="29"/>
      <c r="CI450" s="29"/>
      <c r="CJ450" s="29"/>
      <c r="CK450" s="29"/>
      <c r="CL450" s="29"/>
      <c r="CM450" s="29"/>
      <c r="CN450" s="29"/>
      <c r="CO450" s="29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</row>
    <row r="451" spans="2:104" x14ac:dyDescent="0.35"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  <c r="CH451" s="29"/>
      <c r="CI451" s="29"/>
      <c r="CJ451" s="29"/>
      <c r="CK451" s="29"/>
      <c r="CL451" s="29"/>
      <c r="CM451" s="29"/>
      <c r="CN451" s="29"/>
      <c r="CO451" s="29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</row>
    <row r="452" spans="2:104" x14ac:dyDescent="0.35"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  <c r="CH452" s="29"/>
      <c r="CI452" s="29"/>
      <c r="CJ452" s="29"/>
      <c r="CK452" s="29"/>
      <c r="CL452" s="29"/>
      <c r="CM452" s="29"/>
      <c r="CN452" s="29"/>
      <c r="CO452" s="29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</row>
    <row r="453" spans="2:104" x14ac:dyDescent="0.35"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</row>
    <row r="454" spans="2:104" x14ac:dyDescent="0.35"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  <c r="CH454" s="29"/>
      <c r="CI454" s="29"/>
      <c r="CJ454" s="29"/>
      <c r="CK454" s="29"/>
      <c r="CL454" s="29"/>
      <c r="CM454" s="29"/>
      <c r="CN454" s="29"/>
      <c r="CO454" s="29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</row>
    <row r="455" spans="2:104" x14ac:dyDescent="0.35"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  <c r="CH455" s="29"/>
      <c r="CI455" s="29"/>
      <c r="CJ455" s="29"/>
      <c r="CK455" s="29"/>
      <c r="CL455" s="29"/>
      <c r="CM455" s="29"/>
      <c r="CN455" s="29"/>
      <c r="CO455" s="29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</row>
    <row r="456" spans="2:104" x14ac:dyDescent="0.35"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  <c r="CH456" s="29"/>
      <c r="CI456" s="29"/>
      <c r="CJ456" s="29"/>
      <c r="CK456" s="29"/>
      <c r="CL456" s="29"/>
      <c r="CM456" s="29"/>
      <c r="CN456" s="29"/>
      <c r="CO456" s="29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</row>
    <row r="457" spans="2:104" x14ac:dyDescent="0.35"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</row>
    <row r="458" spans="2:104" x14ac:dyDescent="0.35"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  <c r="CH458" s="29"/>
      <c r="CI458" s="29"/>
      <c r="CJ458" s="29"/>
      <c r="CK458" s="29"/>
      <c r="CL458" s="29"/>
      <c r="CM458" s="29"/>
      <c r="CN458" s="29"/>
      <c r="CO458" s="29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</row>
    <row r="459" spans="2:104" x14ac:dyDescent="0.35"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</row>
    <row r="460" spans="2:104" x14ac:dyDescent="0.35"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  <c r="CH460" s="29"/>
      <c r="CI460" s="29"/>
      <c r="CJ460" s="29"/>
      <c r="CK460" s="29"/>
      <c r="CL460" s="29"/>
      <c r="CM460" s="29"/>
      <c r="CN460" s="29"/>
      <c r="CO460" s="29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</row>
    <row r="461" spans="2:104" x14ac:dyDescent="0.35"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  <c r="CH461" s="29"/>
      <c r="CI461" s="29"/>
      <c r="CJ461" s="29"/>
      <c r="CK461" s="29"/>
      <c r="CL461" s="29"/>
      <c r="CM461" s="29"/>
      <c r="CN461" s="29"/>
      <c r="CO461" s="29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</row>
    <row r="462" spans="2:104" x14ac:dyDescent="0.35"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  <c r="CH462" s="29"/>
      <c r="CI462" s="29"/>
      <c r="CJ462" s="29"/>
      <c r="CK462" s="29"/>
      <c r="CL462" s="29"/>
      <c r="CM462" s="29"/>
      <c r="CN462" s="29"/>
      <c r="CO462" s="29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</row>
    <row r="463" spans="2:104" x14ac:dyDescent="0.35"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  <c r="CH463" s="29"/>
      <c r="CI463" s="29"/>
      <c r="CJ463" s="29"/>
      <c r="CK463" s="29"/>
      <c r="CL463" s="29"/>
      <c r="CM463" s="29"/>
      <c r="CN463" s="29"/>
      <c r="CO463" s="29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</row>
    <row r="464" spans="2:104" x14ac:dyDescent="0.35"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  <c r="CH464" s="29"/>
      <c r="CI464" s="29"/>
      <c r="CJ464" s="29"/>
      <c r="CK464" s="29"/>
      <c r="CL464" s="29"/>
      <c r="CM464" s="29"/>
      <c r="CN464" s="29"/>
      <c r="CO464" s="29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</row>
    <row r="465" spans="2:104" x14ac:dyDescent="0.35"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</row>
    <row r="466" spans="2:104" x14ac:dyDescent="0.35"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  <c r="CH466" s="29"/>
      <c r="CI466" s="29"/>
      <c r="CJ466" s="29"/>
      <c r="CK466" s="29"/>
      <c r="CL466" s="29"/>
      <c r="CM466" s="29"/>
      <c r="CN466" s="29"/>
      <c r="CO466" s="29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</row>
    <row r="467" spans="2:104" x14ac:dyDescent="0.35"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  <c r="CH467" s="29"/>
      <c r="CI467" s="29"/>
      <c r="CJ467" s="29"/>
      <c r="CK467" s="29"/>
      <c r="CL467" s="29"/>
      <c r="CM467" s="29"/>
      <c r="CN467" s="29"/>
      <c r="CO467" s="29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</row>
    <row r="468" spans="2:104" x14ac:dyDescent="0.35"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  <c r="CH468" s="29"/>
      <c r="CI468" s="29"/>
      <c r="CJ468" s="29"/>
      <c r="CK468" s="29"/>
      <c r="CL468" s="29"/>
      <c r="CM468" s="29"/>
      <c r="CN468" s="29"/>
      <c r="CO468" s="29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</row>
    <row r="469" spans="2:104" x14ac:dyDescent="0.35"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  <c r="CH469" s="29"/>
      <c r="CI469" s="29"/>
      <c r="CJ469" s="29"/>
      <c r="CK469" s="29"/>
      <c r="CL469" s="29"/>
      <c r="CM469" s="29"/>
      <c r="CN469" s="29"/>
      <c r="CO469" s="29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</row>
    <row r="470" spans="2:104" x14ac:dyDescent="0.35"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  <c r="CH470" s="29"/>
      <c r="CI470" s="29"/>
      <c r="CJ470" s="29"/>
      <c r="CK470" s="29"/>
      <c r="CL470" s="29"/>
      <c r="CM470" s="29"/>
      <c r="CN470" s="29"/>
      <c r="CO470" s="29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</row>
    <row r="471" spans="2:104" x14ac:dyDescent="0.35"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  <c r="CH471" s="29"/>
      <c r="CI471" s="29"/>
      <c r="CJ471" s="29"/>
      <c r="CK471" s="29"/>
      <c r="CL471" s="29"/>
      <c r="CM471" s="29"/>
      <c r="CN471" s="29"/>
      <c r="CO471" s="29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</row>
    <row r="472" spans="2:104" x14ac:dyDescent="0.35"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  <c r="CH472" s="29"/>
      <c r="CI472" s="29"/>
      <c r="CJ472" s="29"/>
      <c r="CK472" s="29"/>
      <c r="CL472" s="29"/>
      <c r="CM472" s="29"/>
      <c r="CN472" s="29"/>
      <c r="CO472" s="29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</row>
    <row r="473" spans="2:104" x14ac:dyDescent="0.35"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  <c r="CH473" s="29"/>
      <c r="CI473" s="29"/>
      <c r="CJ473" s="29"/>
      <c r="CK473" s="29"/>
      <c r="CL473" s="29"/>
      <c r="CM473" s="29"/>
      <c r="CN473" s="29"/>
      <c r="CO473" s="29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</row>
    <row r="474" spans="2:104" x14ac:dyDescent="0.35"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  <c r="CH474" s="29"/>
      <c r="CI474" s="29"/>
      <c r="CJ474" s="29"/>
      <c r="CK474" s="29"/>
      <c r="CL474" s="29"/>
      <c r="CM474" s="29"/>
      <c r="CN474" s="29"/>
      <c r="CO474" s="29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</row>
    <row r="475" spans="2:104" x14ac:dyDescent="0.35"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</row>
    <row r="476" spans="2:104" x14ac:dyDescent="0.35"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  <c r="CH476" s="29"/>
      <c r="CI476" s="29"/>
      <c r="CJ476" s="29"/>
      <c r="CK476" s="29"/>
      <c r="CL476" s="29"/>
      <c r="CM476" s="29"/>
      <c r="CN476" s="29"/>
      <c r="CO476" s="29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</row>
    <row r="477" spans="2:104" x14ac:dyDescent="0.35"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</row>
    <row r="478" spans="2:104" x14ac:dyDescent="0.35"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  <c r="CH478" s="29"/>
      <c r="CI478" s="29"/>
      <c r="CJ478" s="29"/>
      <c r="CK478" s="29"/>
      <c r="CL478" s="29"/>
      <c r="CM478" s="29"/>
      <c r="CN478" s="29"/>
      <c r="CO478" s="29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</row>
    <row r="479" spans="2:104" x14ac:dyDescent="0.35"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  <c r="CH479" s="29"/>
      <c r="CI479" s="29"/>
      <c r="CJ479" s="29"/>
      <c r="CK479" s="29"/>
      <c r="CL479" s="29"/>
      <c r="CM479" s="29"/>
      <c r="CN479" s="29"/>
      <c r="CO479" s="29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</row>
    <row r="480" spans="2:104" x14ac:dyDescent="0.35"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  <c r="CH480" s="29"/>
      <c r="CI480" s="29"/>
      <c r="CJ480" s="29"/>
      <c r="CK480" s="29"/>
      <c r="CL480" s="29"/>
      <c r="CM480" s="29"/>
      <c r="CN480" s="29"/>
      <c r="CO480" s="29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</row>
    <row r="481" spans="3:104" x14ac:dyDescent="0.35"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  <c r="CH481" s="29"/>
      <c r="CI481" s="29"/>
      <c r="CJ481" s="29"/>
      <c r="CK481" s="29"/>
      <c r="CL481" s="29"/>
      <c r="CM481" s="29"/>
      <c r="CN481" s="29"/>
      <c r="CO481" s="29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</row>
    <row r="482" spans="3:104" x14ac:dyDescent="0.35"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  <c r="CH482" s="29"/>
      <c r="CI482" s="29"/>
      <c r="CJ482" s="29"/>
      <c r="CK482" s="29"/>
      <c r="CL482" s="29"/>
      <c r="CM482" s="29"/>
      <c r="CN482" s="29"/>
      <c r="CO482" s="29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</row>
    <row r="483" spans="3:104" x14ac:dyDescent="0.35"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  <c r="CH483" s="29"/>
      <c r="CI483" s="29"/>
      <c r="CJ483" s="29"/>
      <c r="CK483" s="29"/>
      <c r="CL483" s="29"/>
      <c r="CM483" s="29"/>
      <c r="CN483" s="29"/>
      <c r="CO483" s="29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</row>
    <row r="484" spans="3:104" x14ac:dyDescent="0.35"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  <c r="CH484" s="29"/>
      <c r="CI484" s="29"/>
      <c r="CJ484" s="29"/>
      <c r="CK484" s="29"/>
      <c r="CL484" s="29"/>
      <c r="CM484" s="29"/>
      <c r="CN484" s="29"/>
      <c r="CO484" s="29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</row>
    <row r="485" spans="3:104" x14ac:dyDescent="0.35"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  <c r="CH485" s="29"/>
      <c r="CI485" s="29"/>
      <c r="CJ485" s="29"/>
      <c r="CK485" s="29"/>
      <c r="CL485" s="29"/>
      <c r="CM485" s="29"/>
      <c r="CN485" s="29"/>
      <c r="CO485" s="29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</row>
    <row r="486" spans="3:104" x14ac:dyDescent="0.35"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  <c r="CH486" s="29"/>
      <c r="CI486" s="29"/>
      <c r="CJ486" s="29"/>
      <c r="CK486" s="29"/>
      <c r="CL486" s="29"/>
      <c r="CM486" s="29"/>
      <c r="CN486" s="29"/>
      <c r="CO486" s="29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</row>
    <row r="487" spans="3:104" x14ac:dyDescent="0.35"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  <c r="CH487" s="29"/>
      <c r="CI487" s="29"/>
      <c r="CJ487" s="29"/>
      <c r="CK487" s="29"/>
      <c r="CL487" s="29"/>
      <c r="CM487" s="29"/>
      <c r="CN487" s="29"/>
      <c r="CO487" s="29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</row>
    <row r="488" spans="3:104" x14ac:dyDescent="0.35"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9"/>
      <c r="CI488" s="29"/>
      <c r="CJ488" s="29"/>
      <c r="CK488" s="29"/>
      <c r="CL488" s="29"/>
      <c r="CM488" s="29"/>
      <c r="CN488" s="29"/>
      <c r="CO488" s="29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</row>
    <row r="489" spans="3:104" x14ac:dyDescent="0.35"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</row>
    <row r="490" spans="3:104" x14ac:dyDescent="0.35"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  <c r="CH490" s="29"/>
      <c r="CI490" s="29"/>
      <c r="CJ490" s="29"/>
      <c r="CK490" s="29"/>
      <c r="CL490" s="29"/>
      <c r="CM490" s="29"/>
      <c r="CN490" s="29"/>
      <c r="CO490" s="29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</row>
    <row r="491" spans="3:104" x14ac:dyDescent="0.35"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  <c r="CH491" s="29"/>
      <c r="CI491" s="29"/>
      <c r="CJ491" s="29"/>
      <c r="CK491" s="29"/>
      <c r="CL491" s="29"/>
      <c r="CM491" s="29"/>
      <c r="CN491" s="29"/>
      <c r="CO491" s="29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</row>
    <row r="492" spans="3:104" x14ac:dyDescent="0.35"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  <c r="CH492" s="29"/>
      <c r="CI492" s="29"/>
      <c r="CJ492" s="29"/>
      <c r="CK492" s="29"/>
      <c r="CL492" s="29"/>
      <c r="CM492" s="29"/>
      <c r="CN492" s="29"/>
      <c r="CO492" s="29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</row>
    <row r="493" spans="3:104" x14ac:dyDescent="0.35"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29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</row>
    <row r="494" spans="3:104" x14ac:dyDescent="0.35"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  <c r="CH494" s="29"/>
      <c r="CI494" s="29"/>
      <c r="CJ494" s="29"/>
      <c r="CK494" s="29"/>
      <c r="CL494" s="29"/>
      <c r="CM494" s="29"/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</row>
    <row r="495" spans="3:104" x14ac:dyDescent="0.35"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</row>
    <row r="496" spans="3:104" x14ac:dyDescent="0.35"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  <c r="CH496" s="29"/>
      <c r="CI496" s="29"/>
      <c r="CJ496" s="29"/>
      <c r="CK496" s="29"/>
      <c r="CL496" s="29"/>
      <c r="CM496" s="29"/>
      <c r="CN496" s="29"/>
      <c r="CO496" s="29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</row>
    <row r="497" spans="2:104" x14ac:dyDescent="0.35"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</row>
    <row r="498" spans="2:104" x14ac:dyDescent="0.35"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  <c r="CH498" s="29"/>
      <c r="CI498" s="29"/>
      <c r="CJ498" s="29"/>
      <c r="CK498" s="29"/>
      <c r="CL498" s="29"/>
      <c r="CM498" s="29"/>
      <c r="CN498" s="29"/>
      <c r="CO498" s="29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</row>
    <row r="499" spans="2:104" x14ac:dyDescent="0.35"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  <c r="CJ499" s="29"/>
      <c r="CK499" s="29"/>
      <c r="CL499" s="29"/>
      <c r="CM499" s="29"/>
      <c r="CN499" s="29"/>
      <c r="CO499" s="29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</row>
    <row r="500" spans="2:104" x14ac:dyDescent="0.35"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  <c r="CH500" s="29"/>
      <c r="CI500" s="29"/>
      <c r="CJ500" s="29"/>
      <c r="CK500" s="29"/>
      <c r="CL500" s="29"/>
      <c r="CM500" s="29"/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</row>
    <row r="501" spans="2:104" x14ac:dyDescent="0.35"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  <c r="CH501" s="29"/>
      <c r="CI501" s="29"/>
      <c r="CJ501" s="29"/>
      <c r="CK501" s="29"/>
      <c r="CL501" s="29"/>
      <c r="CM501" s="29"/>
      <c r="CN501" s="29"/>
      <c r="CO501" s="29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</row>
    <row r="502" spans="2:104" x14ac:dyDescent="0.35"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  <c r="CH502" s="29"/>
      <c r="CI502" s="29"/>
      <c r="CJ502" s="29"/>
      <c r="CK502" s="29"/>
      <c r="CL502" s="29"/>
      <c r="CM502" s="29"/>
      <c r="CN502" s="29"/>
      <c r="CO502" s="29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</row>
    <row r="503" spans="2:104" x14ac:dyDescent="0.35"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  <c r="CH503" s="29"/>
      <c r="CI503" s="29"/>
      <c r="CJ503" s="29"/>
      <c r="CK503" s="29"/>
      <c r="CL503" s="29"/>
      <c r="CM503" s="29"/>
      <c r="CN503" s="29"/>
      <c r="CO503" s="29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</row>
    <row r="504" spans="2:104" x14ac:dyDescent="0.35"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  <c r="CH504" s="29"/>
      <c r="CI504" s="29"/>
      <c r="CJ504" s="29"/>
      <c r="CK504" s="29"/>
      <c r="CL504" s="29"/>
      <c r="CM504" s="29"/>
      <c r="CN504" s="29"/>
      <c r="CO504" s="29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</row>
    <row r="505" spans="2:104" x14ac:dyDescent="0.35"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  <c r="CH505" s="29"/>
      <c r="CI505" s="29"/>
      <c r="CJ505" s="29"/>
      <c r="CK505" s="29"/>
      <c r="CL505" s="29"/>
      <c r="CM505" s="29"/>
      <c r="CN505" s="29"/>
      <c r="CO505" s="29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</row>
    <row r="506" spans="2:104" x14ac:dyDescent="0.35"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  <c r="CH506" s="29"/>
      <c r="CI506" s="29"/>
      <c r="CJ506" s="29"/>
      <c r="CK506" s="29"/>
      <c r="CL506" s="29"/>
      <c r="CM506" s="29"/>
      <c r="CN506" s="29"/>
      <c r="CO506" s="29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</row>
    <row r="507" spans="2:104" x14ac:dyDescent="0.35"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  <c r="CH507" s="29"/>
      <c r="CI507" s="29"/>
      <c r="CJ507" s="29"/>
      <c r="CK507" s="29"/>
      <c r="CL507" s="29"/>
      <c r="CM507" s="29"/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</row>
    <row r="508" spans="2:104" x14ac:dyDescent="0.35"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  <c r="CH508" s="29"/>
      <c r="CI508" s="29"/>
      <c r="CJ508" s="29"/>
      <c r="CK508" s="29"/>
      <c r="CL508" s="29"/>
      <c r="CM508" s="29"/>
      <c r="CN508" s="29"/>
      <c r="CO508" s="29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</row>
    <row r="509" spans="2:104" x14ac:dyDescent="0.35"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  <c r="CH509" s="29"/>
      <c r="CI509" s="29"/>
      <c r="CJ509" s="29"/>
      <c r="CK509" s="29"/>
      <c r="CL509" s="29"/>
      <c r="CM509" s="29"/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</row>
    <row r="510" spans="2:104" x14ac:dyDescent="0.35"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  <c r="CH510" s="29"/>
      <c r="CI510" s="29"/>
      <c r="CJ510" s="29"/>
      <c r="CK510" s="29"/>
      <c r="CL510" s="29"/>
      <c r="CM510" s="29"/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</row>
    <row r="511" spans="2:104" x14ac:dyDescent="0.35">
      <c r="B511" s="2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29"/>
      <c r="CN511" s="29"/>
      <c r="CO511" s="29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</row>
    <row r="512" spans="2:104" x14ac:dyDescent="0.35"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  <c r="CH512" s="29"/>
      <c r="CI512" s="29"/>
      <c r="CJ512" s="29"/>
      <c r="CK512" s="29"/>
      <c r="CL512" s="29"/>
      <c r="CM512" s="29"/>
      <c r="CN512" s="29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</row>
    <row r="513" spans="3:104" x14ac:dyDescent="0.35"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</row>
    <row r="514" spans="3:104" x14ac:dyDescent="0.35"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  <c r="CH514" s="29"/>
      <c r="CI514" s="29"/>
      <c r="CJ514" s="29"/>
      <c r="CK514" s="29"/>
      <c r="CL514" s="29"/>
      <c r="CM514" s="29"/>
      <c r="CN514" s="29"/>
      <c r="CO514" s="29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</row>
    <row r="515" spans="3:104" x14ac:dyDescent="0.35"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  <c r="CH515" s="29"/>
      <c r="CI515" s="29"/>
      <c r="CJ515" s="29"/>
      <c r="CK515" s="29"/>
      <c r="CL515" s="29"/>
      <c r="CM515" s="29"/>
      <c r="CN515" s="29"/>
      <c r="CO515" s="29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</row>
    <row r="516" spans="3:104" x14ac:dyDescent="0.35"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  <c r="CH516" s="29"/>
      <c r="CI516" s="29"/>
      <c r="CJ516" s="29"/>
      <c r="CK516" s="29"/>
      <c r="CL516" s="29"/>
      <c r="CM516" s="29"/>
      <c r="CN516" s="29"/>
      <c r="CO516" s="29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</row>
    <row r="517" spans="3:104" x14ac:dyDescent="0.35"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  <c r="CJ517" s="29"/>
      <c r="CK517" s="29"/>
      <c r="CL517" s="29"/>
      <c r="CM517" s="29"/>
      <c r="CN517" s="29"/>
      <c r="CO517" s="29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</row>
    <row r="518" spans="3:104" x14ac:dyDescent="0.35"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  <c r="CH518" s="29"/>
      <c r="CI518" s="29"/>
      <c r="CJ518" s="29"/>
      <c r="CK518" s="29"/>
      <c r="CL518" s="29"/>
      <c r="CM518" s="29"/>
      <c r="CN518" s="29"/>
      <c r="CO518" s="29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</row>
    <row r="519" spans="3:104" x14ac:dyDescent="0.35"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  <c r="CH519" s="29"/>
      <c r="CI519" s="29"/>
      <c r="CJ519" s="29"/>
      <c r="CK519" s="29"/>
      <c r="CL519" s="29"/>
      <c r="CM519" s="29"/>
      <c r="CN519" s="29"/>
      <c r="CO519" s="29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</row>
    <row r="520" spans="3:104" x14ac:dyDescent="0.35"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  <c r="CH520" s="29"/>
      <c r="CI520" s="29"/>
      <c r="CJ520" s="29"/>
      <c r="CK520" s="29"/>
      <c r="CL520" s="29"/>
      <c r="CM520" s="29"/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</row>
    <row r="521" spans="3:104" x14ac:dyDescent="0.35"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  <c r="CH521" s="29"/>
      <c r="CI521" s="29"/>
      <c r="CJ521" s="29"/>
      <c r="CK521" s="29"/>
      <c r="CL521" s="29"/>
      <c r="CM521" s="29"/>
      <c r="CN521" s="29"/>
      <c r="CO521" s="29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</row>
    <row r="522" spans="3:104" x14ac:dyDescent="0.35"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  <c r="CH522" s="29"/>
      <c r="CI522" s="29"/>
      <c r="CJ522" s="29"/>
      <c r="CK522" s="29"/>
      <c r="CL522" s="29"/>
      <c r="CM522" s="29"/>
      <c r="CN522" s="29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</row>
    <row r="523" spans="3:104" x14ac:dyDescent="0.35"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  <c r="CH523" s="29"/>
      <c r="CI523" s="29"/>
      <c r="CJ523" s="29"/>
      <c r="CK523" s="29"/>
      <c r="CL523" s="29"/>
      <c r="CM523" s="29"/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</row>
    <row r="524" spans="3:104" x14ac:dyDescent="0.35"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  <c r="CH524" s="29"/>
      <c r="CI524" s="29"/>
      <c r="CJ524" s="29"/>
      <c r="CK524" s="29"/>
      <c r="CL524" s="29"/>
      <c r="CM524" s="29"/>
      <c r="CN524" s="29"/>
      <c r="CO524" s="29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</row>
    <row r="525" spans="3:104" x14ac:dyDescent="0.35"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  <c r="CH525" s="29"/>
      <c r="CI525" s="29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</row>
    <row r="526" spans="3:104" x14ac:dyDescent="0.35"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  <c r="CH526" s="29"/>
      <c r="CI526" s="29"/>
      <c r="CJ526" s="29"/>
      <c r="CK526" s="29"/>
      <c r="CL526" s="29"/>
      <c r="CM526" s="29"/>
      <c r="CN526" s="29"/>
      <c r="CO526" s="29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</row>
    <row r="527" spans="3:104" x14ac:dyDescent="0.35"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  <c r="CH527" s="29"/>
      <c r="CI527" s="29"/>
      <c r="CJ527" s="29"/>
      <c r="CK527" s="29"/>
      <c r="CL527" s="29"/>
      <c r="CM527" s="29"/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</row>
    <row r="528" spans="3:104" x14ac:dyDescent="0.35"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  <c r="CH528" s="29"/>
      <c r="CI528" s="29"/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</row>
    <row r="529" spans="1:104" x14ac:dyDescent="0.35"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29"/>
      <c r="CN529" s="29"/>
      <c r="CO529" s="29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</row>
    <row r="530" spans="1:104" x14ac:dyDescent="0.35"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  <c r="CH530" s="29"/>
      <c r="CI530" s="29"/>
      <c r="CJ530" s="29"/>
      <c r="CK530" s="29"/>
      <c r="CL530" s="29"/>
      <c r="CM530" s="29"/>
      <c r="CN530" s="29"/>
      <c r="CO530" s="29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</row>
    <row r="531" spans="1:104" x14ac:dyDescent="0.35"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</row>
    <row r="532" spans="1:104" x14ac:dyDescent="0.35"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  <c r="CH532" s="29"/>
      <c r="CI532" s="29"/>
      <c r="CJ532" s="29"/>
      <c r="CK532" s="29"/>
      <c r="CL532" s="29"/>
      <c r="CM532" s="29"/>
      <c r="CN532" s="29"/>
      <c r="CO532" s="29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</row>
    <row r="533" spans="1:104" x14ac:dyDescent="0.35">
      <c r="A533" s="26" t="e">
        <f>IF(AND(NOT(Budget!#REF!=""),Budget!#REF!=""),parameters!$C$511,"")</f>
        <v>#REF!</v>
      </c>
      <c r="C533" s="26" t="e">
        <f t="shared" ref="C533:C541" si="3">IF(NOT(A533=""),"issue","")</f>
        <v>#REF!</v>
      </c>
      <c r="G533" s="29"/>
      <c r="H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29"/>
      <c r="CN533" s="29"/>
      <c r="CO533" s="29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</row>
    <row r="534" spans="1:104" x14ac:dyDescent="0.35">
      <c r="A534" s="26" t="e">
        <f>IF(AND(NOT(Budget!#REF!=""),Budget!#REF!=""),parameters!$C$511,"")</f>
        <v>#REF!</v>
      </c>
      <c r="C534" s="26" t="e">
        <f t="shared" si="3"/>
        <v>#REF!</v>
      </c>
      <c r="G534" s="29"/>
      <c r="H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  <c r="CH534" s="29"/>
      <c r="CI534" s="29"/>
      <c r="CJ534" s="29"/>
      <c r="CK534" s="29"/>
      <c r="CL534" s="29"/>
      <c r="CM534" s="29"/>
      <c r="CN534" s="29"/>
      <c r="CO534" s="29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</row>
    <row r="535" spans="1:104" x14ac:dyDescent="0.35">
      <c r="A535" s="26" t="e">
        <f>IF(AND(NOT(Budget!#REF!=""),Budget!#REF!=""),parameters!$C$511,"")</f>
        <v>#REF!</v>
      </c>
      <c r="C535" s="26" t="e">
        <f t="shared" si="3"/>
        <v>#REF!</v>
      </c>
      <c r="G535" s="29"/>
      <c r="H535" s="29"/>
      <c r="CU535" s="29"/>
      <c r="CV535" s="29"/>
      <c r="CW535" s="29"/>
      <c r="CX535" s="29"/>
      <c r="CY535" s="29"/>
      <c r="CZ535" s="29"/>
    </row>
    <row r="536" spans="1:104" x14ac:dyDescent="0.35">
      <c r="A536" s="26" t="e">
        <f>IF(AND(NOT(Budget!#REF!=""),Budget!#REF!=""),parameters!$C$511,"")</f>
        <v>#REF!</v>
      </c>
      <c r="C536" s="26" t="e">
        <f t="shared" si="3"/>
        <v>#REF!</v>
      </c>
      <c r="G536" s="29"/>
      <c r="H536" s="29"/>
      <c r="CU536" s="29"/>
      <c r="CV536" s="29"/>
      <c r="CW536" s="29"/>
      <c r="CX536" s="29"/>
      <c r="CY536" s="29"/>
      <c r="CZ536" s="29"/>
    </row>
    <row r="537" spans="1:104" x14ac:dyDescent="0.35">
      <c r="A537" s="26" t="e">
        <f>IF(AND(NOT(Budget!#REF!=""),Budget!#REF!=""),parameters!$C$511,"")</f>
        <v>#REF!</v>
      </c>
      <c r="C537" s="26" t="e">
        <f t="shared" si="3"/>
        <v>#REF!</v>
      </c>
      <c r="CU537" s="29"/>
      <c r="CV537" s="29"/>
      <c r="CW537" s="29"/>
      <c r="CX537" s="29"/>
      <c r="CY537" s="29"/>
      <c r="CZ537" s="29"/>
    </row>
    <row r="538" spans="1:104" collapsed="1" x14ac:dyDescent="0.35">
      <c r="A538" s="26" t="e">
        <f>IF(AND(NOT(Budget!#REF!=""),Budget!#REF!=""),parameters!$C$511,"")</f>
        <v>#REF!</v>
      </c>
      <c r="C538" s="26" t="e">
        <f t="shared" si="3"/>
        <v>#REF!</v>
      </c>
      <c r="CU538" s="29"/>
      <c r="CV538" s="29"/>
      <c r="CW538" s="29"/>
      <c r="CX538" s="29"/>
      <c r="CY538" s="29"/>
      <c r="CZ538" s="29"/>
    </row>
    <row r="539" spans="1:104" hidden="1" outlineLevel="1" x14ac:dyDescent="0.35">
      <c r="A539" s="26" t="e">
        <f>IF(AND(NOT(Budget!#REF!=""),Budget!#REF!=""),parameters!$C$511,"")</f>
        <v>#REF!</v>
      </c>
      <c r="C539" s="26" t="e">
        <f t="shared" si="3"/>
        <v>#REF!</v>
      </c>
      <c r="CU539" s="29"/>
      <c r="CV539" s="29"/>
      <c r="CW539" s="29"/>
      <c r="CX539" s="29"/>
      <c r="CY539" s="29"/>
      <c r="CZ539" s="29"/>
    </row>
    <row r="540" spans="1:104" hidden="1" outlineLevel="1" x14ac:dyDescent="0.35">
      <c r="A540" s="26" t="e">
        <f>IF(AND(NOT(Budget!#REF!=""),Budget!#REF!=""),parameters!$C$511,"")</f>
        <v>#REF!</v>
      </c>
      <c r="C540" s="26" t="e">
        <f t="shared" si="3"/>
        <v>#REF!</v>
      </c>
      <c r="CU540" s="29"/>
      <c r="CV540" s="29"/>
      <c r="CW540" s="29"/>
      <c r="CX540" s="29"/>
      <c r="CY540" s="29"/>
      <c r="CZ540" s="29"/>
    </row>
    <row r="541" spans="1:104" hidden="1" outlineLevel="1" x14ac:dyDescent="0.35">
      <c r="A541" s="26" t="e">
        <f>IF(AND(NOT(Budget!#REF!=""),Budget!#REF!=""),parameters!$C$511,"")</f>
        <v>#REF!</v>
      </c>
      <c r="C541" s="26" t="e">
        <f t="shared" si="3"/>
        <v>#REF!</v>
      </c>
    </row>
    <row r="542" spans="1:104" hidden="1" outlineLevel="1" x14ac:dyDescent="0.35">
      <c r="B542" s="28"/>
    </row>
    <row r="543" spans="1:104" hidden="1" outlineLevel="1" x14ac:dyDescent="0.35"/>
    <row r="544" spans="1:104" hidden="1" outlineLevel="1" x14ac:dyDescent="0.35"/>
    <row r="545" hidden="1" outlineLevel="1" x14ac:dyDescent="0.35"/>
    <row r="546" hidden="1" outlineLevel="1" x14ac:dyDescent="0.35"/>
    <row r="547" hidden="1" outlineLevel="1" x14ac:dyDescent="0.35"/>
    <row r="548" collapsed="1" x14ac:dyDescent="0.35"/>
  </sheetData>
  <sheetProtection algorithmName="SHA-512" hashValue="tHUqLVFIxCbQM9W/o4bmlOnw7PcWfJrZFtcxCP32IycTxBHNXQJ01U313Cgp+c14IJBD8q2o2iQIp7tf0i7tZQ==" saltValue="9MX1QQ/dnzl4X1vHeRmt6w==" spinCount="100000" sheet="1" selectLockedCells="1" selectUnlockedCells="1"/>
  <hyperlinks>
    <hyperlink ref="A132" r:id="rId1"/>
    <hyperlink ref="A131" r:id="rId2"/>
  </hyperlinks>
  <pageMargins left="0.7" right="0.7" top="0.75" bottom="0.75" header="0.3" footer="0.3"/>
  <pageSetup paperSize="9" orientation="portrait"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outlinePr summaryBelow="0"/>
  </sheetPr>
  <dimension ref="A2:DH745"/>
  <sheetViews>
    <sheetView workbookViewId="0">
      <selection activeCell="A130" sqref="A130"/>
    </sheetView>
  </sheetViews>
  <sheetFormatPr defaultColWidth="9.1796875" defaultRowHeight="14.5" outlineLevelRow="1" x14ac:dyDescent="0.35"/>
  <cols>
    <col min="1" max="1" width="47.54296875" style="195" customWidth="1"/>
    <col min="2" max="2" width="32.26953125" style="195" customWidth="1"/>
    <col min="3" max="3" width="23.7265625" style="195" customWidth="1"/>
    <col min="4" max="4" width="33.26953125" style="195" customWidth="1"/>
    <col min="5" max="5" width="22.26953125" style="195" customWidth="1"/>
    <col min="6" max="6" width="21.54296875" style="195" customWidth="1"/>
    <col min="7" max="7" width="22.54296875" style="195" customWidth="1"/>
    <col min="8" max="23" width="9.1796875" style="195"/>
    <col min="24" max="24" width="24.54296875" style="195" customWidth="1"/>
    <col min="25" max="25" width="19.26953125" style="195" customWidth="1"/>
    <col min="26" max="16384" width="9.1796875" style="195"/>
  </cols>
  <sheetData>
    <row r="2" spans="1:112" ht="18.5" x14ac:dyDescent="0.35">
      <c r="A2" s="89" t="s">
        <v>572</v>
      </c>
    </row>
    <row r="6" spans="1:112" s="26" customFormat="1" x14ac:dyDescent="0.35">
      <c r="B6" s="29"/>
      <c r="C6" s="29"/>
      <c r="D6" s="29"/>
      <c r="E6" s="29"/>
      <c r="F6" s="29"/>
      <c r="G6" s="29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7"/>
      <c r="CU6" s="27"/>
      <c r="CV6" s="27"/>
      <c r="CW6" s="27"/>
      <c r="CX6" s="27"/>
      <c r="CY6" s="27"/>
      <c r="CZ6" s="27"/>
      <c r="DA6" s="27"/>
      <c r="DB6" s="27"/>
    </row>
    <row r="7" spans="1:112" s="26" customFormat="1" ht="11.25" customHeight="1" x14ac:dyDescent="0.35">
      <c r="A7" s="89"/>
      <c r="B7" s="29"/>
      <c r="C7" s="29"/>
      <c r="D7" s="29"/>
      <c r="E7" s="29"/>
      <c r="F7" s="29"/>
      <c r="G7" s="29"/>
      <c r="H7" s="29"/>
      <c r="I7" s="29"/>
      <c r="J7" s="29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7"/>
      <c r="CZ7" s="27"/>
      <c r="DA7" s="27"/>
      <c r="DB7" s="27"/>
      <c r="DC7" s="27"/>
      <c r="DD7" s="27"/>
      <c r="DE7" s="27"/>
      <c r="DF7" s="27"/>
      <c r="DG7" s="27"/>
    </row>
    <row r="8" spans="1:112" s="26" customFormat="1" ht="13" customHeight="1" x14ac:dyDescent="0.35">
      <c r="B8" s="28" t="s">
        <v>573</v>
      </c>
      <c r="C8" s="29"/>
      <c r="D8" s="29"/>
      <c r="E8" s="31" t="s">
        <v>766</v>
      </c>
      <c r="F8" s="29"/>
      <c r="G8" s="29"/>
      <c r="H8" s="143" t="s">
        <v>603</v>
      </c>
      <c r="I8" s="144"/>
      <c r="J8" s="29"/>
      <c r="K8" s="28" t="s">
        <v>589</v>
      </c>
      <c r="L8" s="29"/>
      <c r="M8" s="195"/>
      <c r="N8" s="28" t="s">
        <v>600</v>
      </c>
      <c r="O8" s="29"/>
      <c r="P8" s="195"/>
      <c r="Q8" s="186" t="s">
        <v>835</v>
      </c>
      <c r="R8" s="195"/>
      <c r="S8" s="195"/>
      <c r="T8" s="195"/>
      <c r="U8" s="195"/>
      <c r="V8" s="195"/>
      <c r="W8" s="195"/>
      <c r="X8" s="186" t="s">
        <v>640</v>
      </c>
      <c r="Y8" s="186" t="s">
        <v>642</v>
      </c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7"/>
      <c r="DA8" s="27"/>
      <c r="DB8" s="27"/>
      <c r="DC8" s="27"/>
      <c r="DD8" s="27"/>
      <c r="DE8" s="27"/>
      <c r="DF8" s="27"/>
      <c r="DG8" s="27"/>
      <c r="DH8" s="27"/>
    </row>
    <row r="9" spans="1:112" s="26" customFormat="1" ht="13" customHeight="1" x14ac:dyDescent="0.35">
      <c r="B9" s="28" t="s">
        <v>207</v>
      </c>
      <c r="C9" s="29" t="s">
        <v>13</v>
      </c>
      <c r="D9" s="29"/>
      <c r="E9" s="29" t="s">
        <v>207</v>
      </c>
      <c r="F9" s="29" t="s">
        <v>209</v>
      </c>
      <c r="G9" s="29"/>
      <c r="H9" s="144" t="s">
        <v>604</v>
      </c>
      <c r="I9" s="144" t="s">
        <v>605</v>
      </c>
      <c r="J9" s="29"/>
      <c r="K9" s="28" t="s">
        <v>207</v>
      </c>
      <c r="L9" s="29" t="s">
        <v>13</v>
      </c>
      <c r="M9" s="195"/>
      <c r="N9" s="28" t="s">
        <v>207</v>
      </c>
      <c r="O9" s="29" t="s">
        <v>13</v>
      </c>
      <c r="P9" s="195"/>
      <c r="Q9" s="186" t="s">
        <v>207</v>
      </c>
      <c r="R9" s="195"/>
      <c r="S9" s="195"/>
      <c r="T9" s="195"/>
      <c r="U9" s="195"/>
      <c r="V9" s="195"/>
      <c r="W9" s="195"/>
      <c r="X9" s="195"/>
      <c r="Y9" s="205"/>
      <c r="Z9" s="20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7"/>
      <c r="DA9" s="27"/>
      <c r="DB9" s="27"/>
      <c r="DC9" s="27"/>
      <c r="DD9" s="27"/>
      <c r="DE9" s="27"/>
      <c r="DF9" s="27"/>
      <c r="DG9" s="27"/>
      <c r="DH9" s="27"/>
    </row>
    <row r="10" spans="1:112" s="26" customFormat="1" ht="11.25" customHeight="1" thickBot="1" x14ac:dyDescent="0.4">
      <c r="B10" s="28"/>
      <c r="C10" s="29"/>
      <c r="D10" s="29"/>
      <c r="E10" s="29"/>
      <c r="F10" s="29"/>
      <c r="G10" s="29"/>
      <c r="H10" s="144"/>
      <c r="I10" s="144"/>
      <c r="J10" s="29"/>
      <c r="K10" s="28"/>
      <c r="L10" s="29"/>
      <c r="M10" s="195"/>
      <c r="N10" s="28"/>
      <c r="O10" s="29"/>
      <c r="P10" s="195"/>
      <c r="Q10" s="195"/>
      <c r="R10" s="195" t="s">
        <v>40</v>
      </c>
      <c r="S10" s="195" t="s">
        <v>41</v>
      </c>
      <c r="T10" s="195" t="s">
        <v>42</v>
      </c>
      <c r="U10" s="195" t="s">
        <v>646</v>
      </c>
      <c r="V10" s="195" t="s">
        <v>733</v>
      </c>
      <c r="W10" s="195"/>
      <c r="X10" s="195" t="s">
        <v>13</v>
      </c>
      <c r="Y10" s="205" t="s">
        <v>13</v>
      </c>
      <c r="Z10" s="20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7"/>
      <c r="DA10" s="27"/>
      <c r="DB10" s="27"/>
      <c r="DC10" s="27"/>
      <c r="DD10" s="27"/>
      <c r="DE10" s="27"/>
      <c r="DF10" s="27"/>
      <c r="DG10" s="27"/>
      <c r="DH10" s="27"/>
    </row>
    <row r="11" spans="1:112" s="26" customFormat="1" ht="11.25" customHeight="1" x14ac:dyDescent="0.35">
      <c r="B11" s="131" t="str">
        <f ca="1">IF(IFERROR(MATCH("*Other*",OFFSET(Budget!$A$20,B10,0,ROWS(Personnel[]),1),0)+B10,999)&lt;ROWS(Personnel[]),IFERROR(MATCH("*Other*",OFFSET(Budget!$A$20,B10,0,ROWS(Personnel[]),1),0)+B10,999),"")</f>
        <v/>
      </c>
      <c r="C11" s="114" t="str">
        <f ca="1">IFERROR(INDEX(Personnel[Amount],B11),"")</f>
        <v/>
      </c>
      <c r="D11" s="29"/>
      <c r="E11" s="131" t="str">
        <f ca="1">IF(MIN(IFERROR(MATCH("*PostDoc*",OFFSET(Budget!$A$20,E10,0,ROWS(Personnel[]),1),0)+E10,999),IFERROR(MATCH("*PhD*",OFFSET(Budget!$A$20,E10,0,ROWS(Personnel[]),1),0)+E10,999),IFERROR(MATCH("*PDEng*",OFFSET(Budget!$A$20,E10,0,ROWS(Personnel[]),1),0)+E10,999))&lt;ROWS(Personnel[]),MIN(IFERROR(MATCH("*PostDoc*",OFFSET(Budget!$A$20,E10,0,ROWS(Personnel[]),1),0)+E10,999),IFERROR(MATCH("*PhD*",OFFSET(Budget!$A$20,E10,0,ROWS(Personnel[]),1),0)+E10,999),IFERROR(MATCH("*PDEng*",OFFSET(Budget!$A$20,E10,0,ROWS(Personnel[]),1),0)+E10,999)),"")</f>
        <v/>
      </c>
      <c r="F11" s="118" t="str">
        <f ca="1">IFERROR(INDEX(Personnel[FTE],E11)*INDEX(Personnel[Months],E11)/12,"")</f>
        <v/>
      </c>
      <c r="G11" s="140"/>
      <c r="H11" s="141" t="e">
        <f ca="1">IF(IFERROR(MATCH("*researcher*",OFFSET(Budget!#REF!,H10,0,ROWS(#REF!),1),0)+H10,999)&lt;ROWS(#REF!),IFERROR(MATCH("*researcher*",OFFSET(Budget!#REF!,H10,0,ROWS(#REF!),1),0)+H10,999),"")</f>
        <v>#REF!</v>
      </c>
      <c r="I11" s="145" t="str">
        <f ca="1">IF(ISERROR(IF(AND(INDEX(#REF!,H11)&gt;=pers_oi_min_months,INDEX(#REF!,H11)/INDEX(#REF!,H11)*12/pers_other_nrhours_year&gt;=pers_oi_minFTE)=TRUE,INDEX(#REF!,H11)/12,0)),"",IF(AND(INDEX(#REF!,H11)&gt;=pers_oi_min_months,INDEX(#REF!,H11)/INDEX(#REF!,H11)*12/pers_other_nrhours_year&gt;=pers_oi_minFTE)=TRUE,INDEX(#REF!,H11)/12,""))</f>
        <v/>
      </c>
      <c r="J11" s="140"/>
      <c r="K11" s="131" t="str">
        <f ca="1">IF(IFERROR(MATCH("*Non-scientific*",OFFSET(Budget!$A$20,K10,0,ROWS(Personnel[]),1),0)+K10,999)&lt;ROWS(Personnel[]),IFERROR(MATCH("*Non-scientific*",OFFSET(Budget!$A$20,K10,0,ROWS(Personnel[]),1),0)+K10,999),"")</f>
        <v/>
      </c>
      <c r="L11" s="114" t="str">
        <f ca="1">IFERROR(INDEX(Personnel[Amount],K11),"")</f>
        <v/>
      </c>
      <c r="M11" s="195"/>
      <c r="N11" s="131" t="str">
        <f ca="1">IF(IFERROR(MATCH("*leave*",OFFSET(Budget!$A$20,N10,0,ROWS(Personnel[]),1),0)+N10,999)&lt;ROWS(Personnel[]),IFERROR(MATCH("*leave*",OFFSET(Budget!$A$20,N10,0,ROWS(Personnel[]),1),0)+N10,999),"")</f>
        <v/>
      </c>
      <c r="O11" s="136" t="str">
        <f ca="1">IFERROR(INDEX(Personnel[Months],N11)*INDEX(Personnel[FTE],N11),"")</f>
        <v/>
      </c>
      <c r="P11" s="195"/>
      <c r="Q11" s="131" t="str">
        <f ca="1">IF(MIN(IFERROR(MATCH("*PostDoc*",OFFSET(Budget!$A$20,Q10,0,ROWS(Personnel[])-Q10,1),0)+Q10,999),IFERROR(MATCH("*PhD*",OFFSET(Budget!$A$20,Q10,0,ROWS(Personnel[])-Q10,1),0)+Q10,999),IFERROR(MATCH("*PDEng*",OFFSET(Budget!$A$20,Q10,0,ROWS(Personnel[])-Q10,1),0)+Q10,999),IFERROR(MATCH("*Doctorate*",OFFSET(Budget!$A$20,Q10,0,ROWS(Personnel[])-Q10,1),0)+Q10,999))&lt;ROWS(Personnel[]),MIN(IFERROR(MATCH("*PostDoc*",OFFSET(Budget!$A$20,Q10,0,ROWS(Personnel[])-Q10,1),0)+Q10,999),IFERROR(MATCH("*PhD*",OFFSET(Budget!$A$20,Q10,0,ROWS(Personnel[])-Q10,1),0)+Q10,999),IFERROR(MATCH("*PDEng*",OFFSET(Budget!$A$20,Q10,0,ROWS(Personnel[])-Q10,1),0)+Q10,999),IFERROR(MATCH("*Doctorate*",OFFSET(Budget!$A$20,Q10,0,ROWS(Personnel[])-Q10,1),0)+Q10,999)),"")</f>
        <v/>
      </c>
      <c r="R11" s="200" t="str">
        <f ca="1">IFERROR(INDEX(Personnel[Category],Q11),"")</f>
        <v/>
      </c>
      <c r="S11" s="200" t="str">
        <f ca="1">IFERROR(INDEX(Personnel[FTE],Q11),"")</f>
        <v/>
      </c>
      <c r="T11" s="200" t="str">
        <f ca="1">IFERROR(INDEX(Personnel[Months],Q11),"")</f>
        <v/>
      </c>
      <c r="U11" s="200" t="str">
        <f ca="1">SUBSTITUTE(IFERROR(INDEX(Personnel[Organisation type],Q11),""),0,"")</f>
        <v/>
      </c>
      <c r="V11" s="201" t="str">
        <f ca="1">SUBSTITUTE(IFERROR(INDEX(Personnel[Name organisation],Q11),""),0,"")</f>
        <v/>
      </c>
      <c r="W11" s="195"/>
      <c r="X11" s="202" t="str">
        <f>IF(ROW(E1548)-ROW($E$1548)&lt;ROWS(inkind[]),IFERROR(IF(INDEX(list_cofunders[private?],MATCH(Budget!F168,list_cofunders[list cofunders],0),1)="yes",Budget!H168,""),""),"")</f>
        <v/>
      </c>
      <c r="Y11" s="203" t="str">
        <f>IF(ROW(E1651)-ROW($E$1651)&lt;ROWS(incash[]),IFERROR(IF(INDEX(list_cofunders[private?],MATCH(Budget!F186,list_cofunders[list cofunders],0),1)="yes",Budget!H186,""),""),"")</f>
        <v/>
      </c>
      <c r="Z11" s="204" t="str">
        <f>IFERROR(INDEX(Personnel[FTE],X11),"")</f>
        <v/>
      </c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7"/>
      <c r="DA11" s="27"/>
      <c r="DB11" s="27"/>
      <c r="DC11" s="27"/>
      <c r="DD11" s="27"/>
      <c r="DE11" s="27"/>
      <c r="DF11" s="27"/>
      <c r="DG11" s="27"/>
      <c r="DH11" s="27"/>
    </row>
    <row r="12" spans="1:112" s="26" customFormat="1" ht="11.25" customHeight="1" outlineLevel="1" x14ac:dyDescent="0.35">
      <c r="B12" s="132" t="str">
        <f ca="1">IF(IFERROR(MATCH("*Other*",OFFSET(Budget!$A$20,B11,0,ROWS(Personnel[]),1),0)+B11,999)&lt;ROWS(Personnel[]),IFERROR(MATCH("*Other*",OFFSET(Budget!$A$20,B11,0,ROWS(Personnel[]),1),0)+B11,999),"")</f>
        <v/>
      </c>
      <c r="C12" s="115" t="str">
        <f ca="1">IFERROR(INDEX(Personnel[Amount],B12),"")</f>
        <v/>
      </c>
      <c r="D12" s="29"/>
      <c r="E12" s="132" t="str">
        <f ca="1">IF(MIN(IFERROR(MATCH("*PostDoc*",OFFSET(Budget!$A$20,E11,0,ROWS(Personnel[]),1),0)+E11,999),IFERROR(MATCH("*PhD*",OFFSET(Budget!$A$20,E11,0,ROWS(Personnel[]),1),0)+E11,999),IFERROR(MATCH("*PDEng*",OFFSET(Budget!$A$20,E11,0,ROWS(Personnel[]),1),0)+E11,999))&lt;ROWS(Personnel[]),MIN(IFERROR(MATCH("*PostDoc*",OFFSET(Budget!$A$20,E11,0,ROWS(Personnel[]),1),0)+E11,999),IFERROR(MATCH("*PhD*",OFFSET(Budget!$A$20,E11,0,ROWS(Personnel[]),1),0)+E11,999),IFERROR(MATCH("*PDEng*",OFFSET(Budget!$A$20,E11,0,ROWS(Personnel[]),1),0)+E11,999)),"")</f>
        <v/>
      </c>
      <c r="F12" s="119" t="str">
        <f ca="1">IFERROR(INDEX(Personnel[FTE],E12)*INDEX(Personnel[Months],E12)/12,"")</f>
        <v/>
      </c>
      <c r="G12" s="140"/>
      <c r="H12" s="142" t="e">
        <f ca="1">IF(IFERROR(MATCH("*researcher*",OFFSET(Budget!#REF!,H11,0,ROWS(#REF!),1),0)+H11,999)&lt;ROWS(#REF!),IFERROR(MATCH("*researcher*",OFFSET(Budget!#REF!,H11,0,ROWS(#REF!),1),0)+H11,999),"")</f>
        <v>#REF!</v>
      </c>
      <c r="I12" s="146" t="str">
        <f ca="1">IF(ISERROR(IF(AND(INDEX(#REF!,H12)&gt;=pers_oi_min_months,INDEX(#REF!,H12)/INDEX(#REF!,H12)*12/pers_other_nrhours_year&gt;=pers_oi_minFTE)=TRUE,INDEX(#REF!,H12)/12,0)),"",IF(AND(INDEX(#REF!,H12)&gt;=pers_oi_min_months,INDEX(#REF!,H12)/INDEX(#REF!,H12)*12/pers_other_nrhours_year&gt;=pers_oi_minFTE)=TRUE,INDEX(#REF!,H12)/12,""))</f>
        <v/>
      </c>
      <c r="J12" s="140"/>
      <c r="K12" s="132" t="str">
        <f ca="1">IF(IFERROR(MATCH("*Non-scientific*",OFFSET(Budget!$A$20,K11,0,ROWS(Personnel[]),1),0)+K11,999)&lt;ROWS(Personnel[]),IFERROR(MATCH("*Non-scientific*",OFFSET(Budget!$A$20,K11,0,ROWS(Personnel[]),1),0)+K11,999),"")</f>
        <v/>
      </c>
      <c r="L12" s="115" t="str">
        <f ca="1">IFERROR(INDEX(Personnel[Amount],K12),"")</f>
        <v/>
      </c>
      <c r="M12" s="195"/>
      <c r="N12" s="132" t="str">
        <f ca="1">IF(IFERROR(MATCH("*leave*",OFFSET(Budget!$A$20,N11,0,ROWS(Personnel[]),1),0)+N11,999)&lt;ROWS(Personnel[]),IFERROR(MATCH("*leave*",OFFSET(Budget!$A$20,N11,0,ROWS(Personnel[]),1),0)+N11,999),"")</f>
        <v/>
      </c>
      <c r="O12" s="137" t="str">
        <f ca="1">IFERROR(INDEX(Personnel[Months],N12)*INDEX(Personnel[FTE],N12),"")</f>
        <v/>
      </c>
      <c r="P12" s="195"/>
      <c r="Q12" s="132" t="str">
        <f ca="1">IF(MIN(IFERROR(MATCH("*PostDoc*",OFFSET(Budget!$A$20,Q11,0,ROWS(Personnel[])-Q11,1),0)+Q11,999),IFERROR(MATCH("*PhD*",OFFSET(Budget!$A$20,Q11,0,ROWS(Personnel[])-Q11,1),0)+Q11,999),IFERROR(MATCH("*PDEng*",OFFSET(Budget!$A$20,Q11,0,ROWS(Personnel[])-Q11,1),0)+Q11,999),IFERROR(MATCH("*Doctorate*",OFFSET(Budget!$A$20,Q11,0,ROWS(Personnel[])-Q11,1),0)+Q11,999))&lt;ROWS(Personnel[]),MIN(IFERROR(MATCH("*PostDoc*",OFFSET(Budget!$A$20,Q11,0,ROWS(Personnel[])-Q11,1),0)+Q11,999),IFERROR(MATCH("*PhD*",OFFSET(Budget!$A$20,Q11,0,ROWS(Personnel[])-Q11,1),0)+Q11,999),IFERROR(MATCH("*PDEng*",OFFSET(Budget!$A$20,Q11,0,ROWS(Personnel[])-Q11,1),0)+Q11,999),IFERROR(MATCH("*Doctorate*",OFFSET(Budget!$A$20,Q11,0,ROWS(Personnel[])-Q11,1),0)+Q11,999)),"")</f>
        <v/>
      </c>
      <c r="R12" s="205" t="str">
        <f ca="1">IFERROR(INDEX(Personnel[Category],Q12),"")</f>
        <v/>
      </c>
      <c r="S12" s="205" t="str">
        <f ca="1">IFERROR(INDEX(Personnel[FTE],Q12),"")</f>
        <v/>
      </c>
      <c r="T12" s="205" t="str">
        <f ca="1">IFERROR(INDEX(Personnel[Months],Q12),"")</f>
        <v/>
      </c>
      <c r="U12" s="205" t="str">
        <f ca="1">SUBSTITUTE(IFERROR(INDEX(Personnel[Organisation type],Q12),""),0,"")</f>
        <v/>
      </c>
      <c r="V12" s="206" t="str">
        <f ca="1">SUBSTITUTE(IFERROR(INDEX(Personnel[Name organisation],Q12),""),0,"")</f>
        <v/>
      </c>
      <c r="W12" s="195"/>
      <c r="X12" s="207" t="str">
        <f>IF(ROW(E1549)-ROW($E$1548)&lt;ROWS(inkind[]),IFERROR(IF(INDEX(list_cofunders[private?],MATCH(Budget!F169,list_cofunders[list cofunders],0),1)="yes",Budget!H169,""),""),"")</f>
        <v/>
      </c>
      <c r="Y12" s="208" t="str">
        <f>IF(ROW(E1652)-ROW($E$1651)&lt;ROWS(incash[]),IFERROR(IF(INDEX(list_cofunders[private?],MATCH(Budget!F187,list_cofunders[list cofunders],0),1)="yes",Budget!H187,""),""),"")</f>
        <v/>
      </c>
      <c r="Z12" s="205" t="str">
        <f>IFERROR(INDEX(Personnel[FTE],X12),"")</f>
        <v/>
      </c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7"/>
      <c r="DA12" s="27"/>
      <c r="DB12" s="27"/>
      <c r="DC12" s="27"/>
      <c r="DD12" s="27"/>
      <c r="DE12" s="27"/>
      <c r="DF12" s="27"/>
      <c r="DG12" s="27"/>
      <c r="DH12" s="27"/>
    </row>
    <row r="13" spans="1:112" s="26" customFormat="1" ht="11.25" customHeight="1" outlineLevel="1" x14ac:dyDescent="0.35">
      <c r="B13" s="132" t="str">
        <f ca="1">IF(IFERROR(MATCH("*Other*",OFFSET(Budget!$A$20,B12,0,ROWS(Personnel[]),1),0)+B12,999)&lt;ROWS(Personnel[]),IFERROR(MATCH("*Other*",OFFSET(Budget!$A$20,B12,0,ROWS(Personnel[]),1),0)+B12,999),"")</f>
        <v/>
      </c>
      <c r="C13" s="115" t="str">
        <f ca="1">IFERROR(INDEX(Personnel[Amount],B13),"")</f>
        <v/>
      </c>
      <c r="D13" s="29"/>
      <c r="E13" s="132" t="str">
        <f ca="1">IF(MIN(IFERROR(MATCH("*PostDoc*",OFFSET(Budget!$A$20,E12,0,ROWS(Personnel[]),1),0)+E12,999),IFERROR(MATCH("*PhD*",OFFSET(Budget!$A$20,E12,0,ROWS(Personnel[]),1),0)+E12,999),IFERROR(MATCH("*PDEng*",OFFSET(Budget!$A$20,E12,0,ROWS(Personnel[]),1),0)+E12,999))&lt;ROWS(Personnel[]),MIN(IFERROR(MATCH("*PostDoc*",OFFSET(Budget!$A$20,E12,0,ROWS(Personnel[]),1),0)+E12,999),IFERROR(MATCH("*PhD*",OFFSET(Budget!$A$20,E12,0,ROWS(Personnel[]),1),0)+E12,999),IFERROR(MATCH("*PDEng*",OFFSET(Budget!$A$20,E12,0,ROWS(Personnel[]),1),0)+E12,999)),"")</f>
        <v/>
      </c>
      <c r="F13" s="119" t="str">
        <f ca="1">IFERROR(INDEX(Personnel[FTE],E13)*INDEX(Personnel[Months],E13)/12,"")</f>
        <v/>
      </c>
      <c r="G13" s="140"/>
      <c r="H13" s="142" t="e">
        <f ca="1">IF(IFERROR(MATCH("*researcher*",OFFSET(Budget!#REF!,H12,0,ROWS(#REF!),1),0)+H12,999)&lt;ROWS(#REF!),IFERROR(MATCH("*researcher*",OFFSET(Budget!#REF!,H12,0,ROWS(#REF!),1),0)+H12,999),"")</f>
        <v>#REF!</v>
      </c>
      <c r="I13" s="146" t="str">
        <f ca="1">IF(ISERROR(IF(AND(INDEX(#REF!,H13)&gt;=pers_oi_min_months,INDEX(#REF!,H13)/INDEX(#REF!,H13)*12/pers_other_nrhours_year&gt;=pers_oi_minFTE)=TRUE,INDEX(#REF!,H13)/12,0)),"",IF(AND(INDEX(#REF!,H13)&gt;=pers_oi_min_months,INDEX(#REF!,H13)/INDEX(#REF!,H13)*12/pers_other_nrhours_year&gt;=pers_oi_minFTE)=TRUE,INDEX(#REF!,H13)/12,""))</f>
        <v/>
      </c>
      <c r="J13" s="140"/>
      <c r="K13" s="132" t="str">
        <f ca="1">IF(IFERROR(MATCH("*Non-scientific*",OFFSET(Budget!$A$20,K12,0,ROWS(Personnel[]),1),0)+K12,999)&lt;ROWS(Personnel[]),IFERROR(MATCH("*Non-scientific*",OFFSET(Budget!$A$20,K12,0,ROWS(Personnel[]),1),0)+K12,999),"")</f>
        <v/>
      </c>
      <c r="L13" s="115" t="str">
        <f ca="1">IFERROR(INDEX(Personnel[Amount],K13),"")</f>
        <v/>
      </c>
      <c r="M13" s="195"/>
      <c r="N13" s="132" t="str">
        <f ca="1">IF(IFERROR(MATCH("*leave*",OFFSET(Budget!$A$20,N12,0,ROWS(Personnel[]),1),0)+N12,999)&lt;ROWS(Personnel[]),IFERROR(MATCH("*leave*",OFFSET(Budget!$A$20,N12,0,ROWS(Personnel[]),1),0)+N12,999),"")</f>
        <v/>
      </c>
      <c r="O13" s="137" t="str">
        <f ca="1">IFERROR(INDEX(Personnel[Months],N13)*INDEX(Personnel[FTE],N13),"")</f>
        <v/>
      </c>
      <c r="P13" s="195"/>
      <c r="Q13" s="132" t="str">
        <f ca="1">IF(MIN(IFERROR(MATCH("*PostDoc*",OFFSET(Budget!$A$20,Q12,0,ROWS(Personnel[])-Q12,1),0)+Q12,999),IFERROR(MATCH("*PhD*",OFFSET(Budget!$A$20,Q12,0,ROWS(Personnel[])-Q12,1),0)+Q12,999),IFERROR(MATCH("*PDEng*",OFFSET(Budget!$A$20,Q12,0,ROWS(Personnel[])-Q12,1),0)+Q12,999),IFERROR(MATCH("*Doctorate*",OFFSET(Budget!$A$20,Q12,0,ROWS(Personnel[])-Q12,1),0)+Q12,999))&lt;ROWS(Personnel[]),MIN(IFERROR(MATCH("*PostDoc*",OFFSET(Budget!$A$20,Q12,0,ROWS(Personnel[])-Q12,1),0)+Q12,999),IFERROR(MATCH("*PhD*",OFFSET(Budget!$A$20,Q12,0,ROWS(Personnel[])-Q12,1),0)+Q12,999),IFERROR(MATCH("*PDEng*",OFFSET(Budget!$A$20,Q12,0,ROWS(Personnel[])-Q12,1),0)+Q12,999),IFERROR(MATCH("*Doctorate*",OFFSET(Budget!$A$20,Q12,0,ROWS(Personnel[])-Q12,1),0)+Q12,999)),"")</f>
        <v/>
      </c>
      <c r="R13" s="205" t="str">
        <f ca="1">IFERROR(INDEX(Personnel[Category],Q13),"")</f>
        <v/>
      </c>
      <c r="S13" s="205" t="str">
        <f ca="1">IFERROR(INDEX(Personnel[FTE],Q13),"")</f>
        <v/>
      </c>
      <c r="T13" s="205" t="str">
        <f ca="1">IFERROR(INDEX(Personnel[Months],Q13),"")</f>
        <v/>
      </c>
      <c r="U13" s="205" t="str">
        <f ca="1">SUBSTITUTE(IFERROR(INDEX(Personnel[Organisation type],Q13),""),0,"")</f>
        <v/>
      </c>
      <c r="V13" s="206" t="str">
        <f ca="1">SUBSTITUTE(IFERROR(INDEX(Personnel[Name organisation],Q13),""),0,"")</f>
        <v/>
      </c>
      <c r="W13" s="195"/>
      <c r="X13" s="207" t="str">
        <f>IF(ROW(E1550)-ROW($E$1548)&lt;ROWS(inkind[]),IFERROR(IF(INDEX(list_cofunders[private?],MATCH(Budget!F170,list_cofunders[list cofunders],0),1)="yes",Budget!H170,""),""),"")</f>
        <v/>
      </c>
      <c r="Y13" s="208" t="str">
        <f>IF(ROW(E1653)-ROW($E$1651)&lt;ROWS(incash[]),IFERROR(IF(INDEX(list_cofunders[private?],MATCH(Budget!F188,list_cofunders[list cofunders],0),1)="yes",Budget!H188,""),""),"")</f>
        <v/>
      </c>
      <c r="Z13" s="205" t="str">
        <f>IFERROR(INDEX(Personnel[FTE],X13),"")</f>
        <v/>
      </c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7"/>
      <c r="DA13" s="27"/>
      <c r="DB13" s="27"/>
      <c r="DC13" s="27"/>
      <c r="DD13" s="27"/>
      <c r="DE13" s="27"/>
      <c r="DF13" s="27"/>
      <c r="DG13" s="27"/>
      <c r="DH13" s="27"/>
    </row>
    <row r="14" spans="1:112" s="26" customFormat="1" ht="11.25" customHeight="1" outlineLevel="1" x14ac:dyDescent="0.35">
      <c r="B14" s="132" t="str">
        <f ca="1">IF(IFERROR(MATCH("*Other*",OFFSET(Budget!$A$20,B13,0,ROWS(Personnel[]),1),0)+B13,999)&lt;ROWS(Personnel[]),IFERROR(MATCH("*Other*",OFFSET(Budget!$A$20,B13,0,ROWS(Personnel[]),1),0)+B13,999),"")</f>
        <v/>
      </c>
      <c r="C14" s="115" t="str">
        <f ca="1">IFERROR(INDEX(Personnel[Amount],B14),"")</f>
        <v/>
      </c>
      <c r="D14" s="29"/>
      <c r="E14" s="132" t="str">
        <f ca="1">IF(MIN(IFERROR(MATCH("*PostDoc*",OFFSET(Budget!$A$20,E13,0,ROWS(Personnel[]),1),0)+E13,999),IFERROR(MATCH("*PhD*",OFFSET(Budget!$A$20,E13,0,ROWS(Personnel[]),1),0)+E13,999),IFERROR(MATCH("*PDEng*",OFFSET(Budget!$A$20,E13,0,ROWS(Personnel[]),1),0)+E13,999))&lt;ROWS(Personnel[]),MIN(IFERROR(MATCH("*PostDoc*",OFFSET(Budget!$A$20,E13,0,ROWS(Personnel[]),1),0)+E13,999),IFERROR(MATCH("*PhD*",OFFSET(Budget!$A$20,E13,0,ROWS(Personnel[]),1),0)+E13,999),IFERROR(MATCH("*PDEng*",OFFSET(Budget!$A$20,E13,0,ROWS(Personnel[]),1),0)+E13,999)),"")</f>
        <v/>
      </c>
      <c r="F14" s="119" t="str">
        <f ca="1">IFERROR(INDEX(Personnel[FTE],E14)*INDEX(Personnel[Months],E14)/12,"")</f>
        <v/>
      </c>
      <c r="G14" s="140"/>
      <c r="H14" s="142" t="e">
        <f ca="1">IF(IFERROR(MATCH("*researcher*",OFFSET(Budget!#REF!,H13,0,ROWS(#REF!),1),0)+H13,999)&lt;ROWS(#REF!),IFERROR(MATCH("*researcher*",OFFSET(Budget!#REF!,H13,0,ROWS(#REF!),1),0)+H13,999),"")</f>
        <v>#REF!</v>
      </c>
      <c r="I14" s="146" t="str">
        <f ca="1">IF(ISERROR(IF(AND(INDEX(#REF!,H14)&gt;=pers_oi_min_months,INDEX(#REF!,H14)/INDEX(#REF!,H14)*12/pers_other_nrhours_year&gt;=pers_oi_minFTE)=TRUE,INDEX(#REF!,H14)/12,0)),"",IF(AND(INDEX(#REF!,H14)&gt;=pers_oi_min_months,INDEX(#REF!,H14)/INDEX(#REF!,H14)*12/pers_other_nrhours_year&gt;=pers_oi_minFTE)=TRUE,INDEX(#REF!,H14)/12,""))</f>
        <v/>
      </c>
      <c r="J14" s="140"/>
      <c r="K14" s="132" t="str">
        <f ca="1">IF(IFERROR(MATCH("*Non-scientific*",OFFSET(Budget!$A$20,K13,0,ROWS(Personnel[]),1),0)+K13,999)&lt;ROWS(Personnel[]),IFERROR(MATCH("*Non-scientific*",OFFSET(Budget!$A$20,K13,0,ROWS(Personnel[]),1),0)+K13,999),"")</f>
        <v/>
      </c>
      <c r="L14" s="115" t="str">
        <f ca="1">IFERROR(INDEX(Personnel[Amount],K14),"")</f>
        <v/>
      </c>
      <c r="M14" s="195"/>
      <c r="N14" s="132" t="str">
        <f ca="1">IF(IFERROR(MATCH("*leave*",OFFSET(Budget!$A$20,N13,0,ROWS(Personnel[]),1),0)+N13,999)&lt;ROWS(Personnel[]),IFERROR(MATCH("*leave*",OFFSET(Budget!$A$20,N13,0,ROWS(Personnel[]),1),0)+N13,999),"")</f>
        <v/>
      </c>
      <c r="O14" s="137" t="str">
        <f ca="1">IFERROR(INDEX(Personnel[Months],N14)*INDEX(Personnel[FTE],N14),"")</f>
        <v/>
      </c>
      <c r="P14" s="195"/>
      <c r="Q14" s="132" t="str">
        <f ca="1">IF(MIN(IFERROR(MATCH("*PostDoc*",OFFSET(Budget!$A$20,Q13,0,ROWS(Personnel[])-Q13,1),0)+Q13,999),IFERROR(MATCH("*PhD*",OFFSET(Budget!$A$20,Q13,0,ROWS(Personnel[])-Q13,1),0)+Q13,999),IFERROR(MATCH("*PDEng*",OFFSET(Budget!$A$20,Q13,0,ROWS(Personnel[])-Q13,1),0)+Q13,999),IFERROR(MATCH("*Doctorate*",OFFSET(Budget!$A$20,Q13,0,ROWS(Personnel[])-Q13,1),0)+Q13,999))&lt;ROWS(Personnel[]),MIN(IFERROR(MATCH("*PostDoc*",OFFSET(Budget!$A$20,Q13,0,ROWS(Personnel[])-Q13,1),0)+Q13,999),IFERROR(MATCH("*PhD*",OFFSET(Budget!$A$20,Q13,0,ROWS(Personnel[])-Q13,1),0)+Q13,999),IFERROR(MATCH("*PDEng*",OFFSET(Budget!$A$20,Q13,0,ROWS(Personnel[])-Q13,1),0)+Q13,999),IFERROR(MATCH("*Doctorate*",OFFSET(Budget!$A$20,Q13,0,ROWS(Personnel[])-Q13,1),0)+Q13,999)),"")</f>
        <v/>
      </c>
      <c r="R14" s="205" t="str">
        <f ca="1">IFERROR(INDEX(Personnel[Category],Q14),"")</f>
        <v/>
      </c>
      <c r="S14" s="205" t="str">
        <f ca="1">IFERROR(INDEX(Personnel[FTE],Q14),"")</f>
        <v/>
      </c>
      <c r="T14" s="205" t="str">
        <f ca="1">IFERROR(INDEX(Personnel[Months],Q14),"")</f>
        <v/>
      </c>
      <c r="U14" s="205" t="str">
        <f ca="1">SUBSTITUTE(IFERROR(INDEX(Personnel[Organisation type],Q14),""),0,"")</f>
        <v/>
      </c>
      <c r="V14" s="206" t="str">
        <f ca="1">SUBSTITUTE(IFERROR(INDEX(Personnel[Name organisation],Q14),""),0,"")</f>
        <v/>
      </c>
      <c r="W14" s="195"/>
      <c r="X14" s="207" t="str">
        <f>IF(ROW(E1551)-ROW($E$1548)&lt;ROWS(inkind[]),IFERROR(IF(INDEX(list_cofunders[private?],MATCH(Budget!F171,list_cofunders[list cofunders],0),1)="yes",Budget!H171,""),""),"")</f>
        <v/>
      </c>
      <c r="Y14" s="208" t="str">
        <f>IF(ROW(E1654)-ROW($E$1651)&lt;ROWS(incash[]),IFERROR(IF(INDEX(list_cofunders[private?],MATCH(Budget!F189,list_cofunders[list cofunders],0),1)="yes",Budget!H189,""),""),"")</f>
        <v/>
      </c>
      <c r="Z14" s="205" t="str">
        <f>IFERROR(INDEX(Personnel[FTE],X14),"")</f>
        <v/>
      </c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7"/>
      <c r="DA14" s="27"/>
      <c r="DB14" s="27"/>
      <c r="DC14" s="27"/>
      <c r="DD14" s="27"/>
      <c r="DE14" s="27"/>
      <c r="DF14" s="27"/>
      <c r="DG14" s="27"/>
      <c r="DH14" s="27"/>
    </row>
    <row r="15" spans="1:112" s="26" customFormat="1" ht="11.25" customHeight="1" outlineLevel="1" x14ac:dyDescent="0.35">
      <c r="B15" s="132" t="str">
        <f ca="1">IF(IFERROR(MATCH("*Other*",OFFSET(Budget!$A$20,B14,0,ROWS(Personnel[]),1),0)+B14,999)&lt;ROWS(Personnel[]),IFERROR(MATCH("*Other*",OFFSET(Budget!$A$20,B14,0,ROWS(Personnel[]),1),0)+B14,999),"")</f>
        <v/>
      </c>
      <c r="C15" s="115" t="str">
        <f ca="1">IFERROR(INDEX(Personnel[Amount],B15),"")</f>
        <v/>
      </c>
      <c r="D15" s="29"/>
      <c r="E15" s="132" t="str">
        <f ca="1">IF(MIN(IFERROR(MATCH("*PostDoc*",OFFSET(Budget!$A$20,E14,0,ROWS(Personnel[]),1),0)+E14,999),IFERROR(MATCH("*PhD*",OFFSET(Budget!$A$20,E14,0,ROWS(Personnel[]),1),0)+E14,999),IFERROR(MATCH("*PDEng*",OFFSET(Budget!$A$20,E14,0,ROWS(Personnel[]),1),0)+E14,999))&lt;ROWS(Personnel[]),MIN(IFERROR(MATCH("*PostDoc*",OFFSET(Budget!$A$20,E14,0,ROWS(Personnel[]),1),0)+E14,999),IFERROR(MATCH("*PhD*",OFFSET(Budget!$A$20,E14,0,ROWS(Personnel[]),1),0)+E14,999),IFERROR(MATCH("*PDEng*",OFFSET(Budget!$A$20,E14,0,ROWS(Personnel[]),1),0)+E14,999)),"")</f>
        <v/>
      </c>
      <c r="F15" s="119" t="str">
        <f ca="1">IFERROR(INDEX(Personnel[FTE],E15)*INDEX(Personnel[Months],E15)/12,"")</f>
        <v/>
      </c>
      <c r="G15" s="140"/>
      <c r="H15" s="142" t="e">
        <f ca="1">IF(IFERROR(MATCH("*researcher*",OFFSET(Budget!#REF!,H14,0,ROWS(#REF!),1),0)+H14,999)&lt;ROWS(#REF!),IFERROR(MATCH("*researcher*",OFFSET(Budget!#REF!,H14,0,ROWS(#REF!),1),0)+H14,999),"")</f>
        <v>#REF!</v>
      </c>
      <c r="I15" s="146" t="str">
        <f ca="1">IF(ISERROR(IF(AND(INDEX(#REF!,H15)&gt;=pers_oi_min_months,INDEX(#REF!,H15)/INDEX(#REF!,H15)*12/pers_other_nrhours_year&gt;=pers_oi_minFTE)=TRUE,INDEX(#REF!,H15)/12,0)),"",IF(AND(INDEX(#REF!,H15)&gt;=pers_oi_min_months,INDEX(#REF!,H15)/INDEX(#REF!,H15)*12/pers_other_nrhours_year&gt;=pers_oi_minFTE)=TRUE,INDEX(#REF!,H15)/12,""))</f>
        <v/>
      </c>
      <c r="J15" s="140"/>
      <c r="K15" s="132" t="str">
        <f ca="1">IF(IFERROR(MATCH("*Non-scientific*",OFFSET(Budget!$A$20,K14,0,ROWS(Personnel[]),1),0)+K14,999)&lt;ROWS(Personnel[]),IFERROR(MATCH("*Non-scientific*",OFFSET(Budget!$A$20,K14,0,ROWS(Personnel[]),1),0)+K14,999),"")</f>
        <v/>
      </c>
      <c r="L15" s="115" t="str">
        <f ca="1">IFERROR(INDEX(Personnel[Amount],K15),"")</f>
        <v/>
      </c>
      <c r="M15" s="195"/>
      <c r="N15" s="132" t="str">
        <f ca="1">IF(IFERROR(MATCH("*leave*",OFFSET(Budget!$A$20,N14,0,ROWS(Personnel[]),1),0)+N14,999)&lt;ROWS(Personnel[]),IFERROR(MATCH("*leave*",OFFSET(Budget!$A$20,N14,0,ROWS(Personnel[]),1),0)+N14,999),"")</f>
        <v/>
      </c>
      <c r="O15" s="137" t="str">
        <f ca="1">IFERROR(INDEX(Personnel[Months],N15)*INDEX(Personnel[FTE],N15),"")</f>
        <v/>
      </c>
      <c r="P15" s="195"/>
      <c r="Q15" s="132" t="str">
        <f ca="1">IF(MIN(IFERROR(MATCH("*PostDoc*",OFFSET(Budget!$A$20,Q14,0,ROWS(Personnel[])-Q14,1),0)+Q14,999),IFERROR(MATCH("*PhD*",OFFSET(Budget!$A$20,Q14,0,ROWS(Personnel[])-Q14,1),0)+Q14,999),IFERROR(MATCH("*PDEng*",OFFSET(Budget!$A$20,Q14,0,ROWS(Personnel[])-Q14,1),0)+Q14,999),IFERROR(MATCH("*Doctorate*",OFFSET(Budget!$A$20,Q14,0,ROWS(Personnel[])-Q14,1),0)+Q14,999))&lt;ROWS(Personnel[]),MIN(IFERROR(MATCH("*PostDoc*",OFFSET(Budget!$A$20,Q14,0,ROWS(Personnel[])-Q14,1),0)+Q14,999),IFERROR(MATCH("*PhD*",OFFSET(Budget!$A$20,Q14,0,ROWS(Personnel[])-Q14,1),0)+Q14,999),IFERROR(MATCH("*PDEng*",OFFSET(Budget!$A$20,Q14,0,ROWS(Personnel[])-Q14,1),0)+Q14,999),IFERROR(MATCH("*Doctorate*",OFFSET(Budget!$A$20,Q14,0,ROWS(Personnel[])-Q14,1),0)+Q14,999)),"")</f>
        <v/>
      </c>
      <c r="R15" s="205" t="str">
        <f ca="1">IFERROR(INDEX(Personnel[Category],Q15),"")</f>
        <v/>
      </c>
      <c r="S15" s="205" t="str">
        <f ca="1">IFERROR(INDEX(Personnel[FTE],Q15),"")</f>
        <v/>
      </c>
      <c r="T15" s="205" t="str">
        <f ca="1">IFERROR(INDEX(Personnel[Months],Q15),"")</f>
        <v/>
      </c>
      <c r="U15" s="205" t="str">
        <f ca="1">SUBSTITUTE(IFERROR(INDEX(Personnel[Organisation type],Q15),""),0,"")</f>
        <v/>
      </c>
      <c r="V15" s="206" t="str">
        <f ca="1">SUBSTITUTE(IFERROR(INDEX(Personnel[Name organisation],Q15),""),0,"")</f>
        <v/>
      </c>
      <c r="W15" s="195"/>
      <c r="X15" s="207" t="str">
        <f>IF(ROW(E1552)-ROW($E$1548)&lt;ROWS(inkind[]),IFERROR(IF(INDEX(list_cofunders[private?],MATCH(Budget!F172,list_cofunders[list cofunders],0),1)="yes",Budget!H172,""),""),"")</f>
        <v/>
      </c>
      <c r="Y15" s="208" t="str">
        <f>IF(ROW(E1655)-ROW($E$1651)&lt;ROWS(incash[]),IFERROR(IF(INDEX(list_cofunders[private?],MATCH(Budget!F190,list_cofunders[list cofunders],0),1)="yes",Budget!H190,""),""),"")</f>
        <v/>
      </c>
      <c r="Z15" s="205" t="str">
        <f>IFERROR(INDEX(Personnel[FTE],X15),"")</f>
        <v/>
      </c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7"/>
      <c r="DA15" s="27"/>
      <c r="DB15" s="27"/>
      <c r="DC15" s="27"/>
      <c r="DD15" s="27"/>
      <c r="DE15" s="27"/>
      <c r="DF15" s="27"/>
      <c r="DG15" s="27"/>
      <c r="DH15" s="27"/>
    </row>
    <row r="16" spans="1:112" s="26" customFormat="1" ht="11.25" customHeight="1" outlineLevel="1" x14ac:dyDescent="0.35">
      <c r="B16" s="132" t="str">
        <f ca="1">IF(IFERROR(MATCH("*Other*",OFFSET(Budget!$A$20,B15,0,ROWS(Personnel[]),1),0)+B15,999)&lt;ROWS(Personnel[]),IFERROR(MATCH("*Other*",OFFSET(Budget!$A$20,B15,0,ROWS(Personnel[]),1),0)+B15,999),"")</f>
        <v/>
      </c>
      <c r="C16" s="115" t="str">
        <f ca="1">IFERROR(INDEX(Personnel[Amount],B16),"")</f>
        <v/>
      </c>
      <c r="D16" s="29"/>
      <c r="E16" s="132" t="str">
        <f ca="1">IF(MIN(IFERROR(MATCH("*PostDoc*",OFFSET(Budget!$A$20,E15,0,ROWS(Personnel[]),1),0)+E15,999),IFERROR(MATCH("*PhD*",OFFSET(Budget!$A$20,E15,0,ROWS(Personnel[]),1),0)+E15,999),IFERROR(MATCH("*PDEng*",OFFSET(Budget!$A$20,E15,0,ROWS(Personnel[]),1),0)+E15,999))&lt;ROWS(Personnel[]),MIN(IFERROR(MATCH("*PostDoc*",OFFSET(Budget!$A$20,E15,0,ROWS(Personnel[]),1),0)+E15,999),IFERROR(MATCH("*PhD*",OFFSET(Budget!$A$20,E15,0,ROWS(Personnel[]),1),0)+E15,999),IFERROR(MATCH("*PDEng*",OFFSET(Budget!$A$20,E15,0,ROWS(Personnel[]),1),0)+E15,999)),"")</f>
        <v/>
      </c>
      <c r="F16" s="119" t="str">
        <f ca="1">IFERROR(INDEX(Personnel[FTE],E16)*INDEX(Personnel[Months],E16)/12,"")</f>
        <v/>
      </c>
      <c r="G16" s="140"/>
      <c r="H16" s="142" t="e">
        <f ca="1">IF(IFERROR(MATCH("*researcher*",OFFSET(Budget!#REF!,H15,0,ROWS(#REF!),1),0)+H15,999)&lt;ROWS(#REF!),IFERROR(MATCH("*researcher*",OFFSET(Budget!#REF!,H15,0,ROWS(#REF!),1),0)+H15,999),"")</f>
        <v>#REF!</v>
      </c>
      <c r="I16" s="146" t="str">
        <f ca="1">IF(ISERROR(IF(AND(INDEX(#REF!,H16)&gt;=pers_oi_min_months,INDEX(#REF!,H16)/INDEX(#REF!,H16)*12/pers_other_nrhours_year&gt;=pers_oi_minFTE)=TRUE,INDEX(#REF!,H16)/12,0)),"",IF(AND(INDEX(#REF!,H16)&gt;=pers_oi_min_months,INDEX(#REF!,H16)/INDEX(#REF!,H16)*12/pers_other_nrhours_year&gt;=pers_oi_minFTE)=TRUE,INDEX(#REF!,H16)/12,""))</f>
        <v/>
      </c>
      <c r="J16" s="140"/>
      <c r="K16" s="132" t="str">
        <f ca="1">IF(IFERROR(MATCH("*Non-scientific*",OFFSET(Budget!$A$20,K15,0,ROWS(Personnel[]),1),0)+K15,999)&lt;ROWS(Personnel[]),IFERROR(MATCH("*Non-scientific*",OFFSET(Budget!$A$20,K15,0,ROWS(Personnel[]),1),0)+K15,999),"")</f>
        <v/>
      </c>
      <c r="L16" s="115" t="str">
        <f ca="1">IFERROR(INDEX(Personnel[Amount],K16),"")</f>
        <v/>
      </c>
      <c r="M16" s="195"/>
      <c r="N16" s="132" t="str">
        <f ca="1">IF(IFERROR(MATCH("*leave*",OFFSET(Budget!$A$20,N15,0,ROWS(Personnel[]),1),0)+N15,999)&lt;ROWS(Personnel[]),IFERROR(MATCH("*leave*",OFFSET(Budget!$A$20,N15,0,ROWS(Personnel[]),1),0)+N15,999),"")</f>
        <v/>
      </c>
      <c r="O16" s="137" t="str">
        <f ca="1">IFERROR(INDEX(Personnel[Months],N16)*INDEX(Personnel[FTE],N16),"")</f>
        <v/>
      </c>
      <c r="P16" s="195"/>
      <c r="Q16" s="132" t="str">
        <f ca="1">IF(MIN(IFERROR(MATCH("*PostDoc*",OFFSET(Budget!$A$20,Q15,0,ROWS(Personnel[])-Q15,1),0)+Q15,999),IFERROR(MATCH("*PhD*",OFFSET(Budget!$A$20,Q15,0,ROWS(Personnel[])-Q15,1),0)+Q15,999),IFERROR(MATCH("*PDEng*",OFFSET(Budget!$A$20,Q15,0,ROWS(Personnel[])-Q15,1),0)+Q15,999),IFERROR(MATCH("*Doctorate*",OFFSET(Budget!$A$20,Q15,0,ROWS(Personnel[])-Q15,1),0)+Q15,999))&lt;ROWS(Personnel[]),MIN(IFERROR(MATCH("*PostDoc*",OFFSET(Budget!$A$20,Q15,0,ROWS(Personnel[])-Q15,1),0)+Q15,999),IFERROR(MATCH("*PhD*",OFFSET(Budget!$A$20,Q15,0,ROWS(Personnel[])-Q15,1),0)+Q15,999),IFERROR(MATCH("*PDEng*",OFFSET(Budget!$A$20,Q15,0,ROWS(Personnel[])-Q15,1),0)+Q15,999),IFERROR(MATCH("*Doctorate*",OFFSET(Budget!$A$20,Q15,0,ROWS(Personnel[])-Q15,1),0)+Q15,999)),"")</f>
        <v/>
      </c>
      <c r="R16" s="205" t="str">
        <f ca="1">IFERROR(INDEX(Personnel[Category],Q16),"")</f>
        <v/>
      </c>
      <c r="S16" s="205" t="str">
        <f ca="1">IFERROR(INDEX(Personnel[FTE],Q16),"")</f>
        <v/>
      </c>
      <c r="T16" s="205" t="str">
        <f ca="1">IFERROR(INDEX(Personnel[Months],Q16),"")</f>
        <v/>
      </c>
      <c r="U16" s="205" t="str">
        <f ca="1">SUBSTITUTE(IFERROR(INDEX(Personnel[Organisation type],Q16),""),0,"")</f>
        <v/>
      </c>
      <c r="V16" s="206" t="str">
        <f ca="1">SUBSTITUTE(IFERROR(INDEX(Personnel[Name organisation],Q16),""),0,"")</f>
        <v/>
      </c>
      <c r="W16" s="195"/>
      <c r="X16" s="207" t="str">
        <f>IF(ROW(E1553)-ROW($E$1548)&lt;ROWS(inkind[]),IFERROR(IF(INDEX(list_cofunders[private?],MATCH(Budget!F173,list_cofunders[list cofunders],0),1)="yes",Budget!H173,""),""),"")</f>
        <v/>
      </c>
      <c r="Y16" s="208" t="str">
        <f>IF(ROW(E1656)-ROW($E$1651)&lt;ROWS(incash[]),IFERROR(IF(INDEX(list_cofunders[private?],MATCH(Budget!F191,list_cofunders[list cofunders],0),1)="yes",Budget!H191,""),""),"")</f>
        <v/>
      </c>
      <c r="Z16" s="205" t="str">
        <f>IFERROR(INDEX(Personnel[FTE],X16),"")</f>
        <v/>
      </c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7"/>
      <c r="DA16" s="27"/>
      <c r="DB16" s="27"/>
      <c r="DC16" s="27"/>
      <c r="DD16" s="27"/>
      <c r="DE16" s="27"/>
      <c r="DF16" s="27"/>
      <c r="DG16" s="27"/>
      <c r="DH16" s="27"/>
    </row>
    <row r="17" spans="2:112" s="26" customFormat="1" ht="11.25" customHeight="1" outlineLevel="1" x14ac:dyDescent="0.35">
      <c r="B17" s="132" t="str">
        <f ca="1">IF(IFERROR(MATCH("*Other*",OFFSET(Budget!$A$20,B16,0,ROWS(Personnel[]),1),0)+B16,999)&lt;ROWS(Personnel[]),IFERROR(MATCH("*Other*",OFFSET(Budget!$A$20,B16,0,ROWS(Personnel[]),1),0)+B16,999),"")</f>
        <v/>
      </c>
      <c r="C17" s="115" t="str">
        <f ca="1">IFERROR(INDEX(Personnel[Amount],B17),"")</f>
        <v/>
      </c>
      <c r="D17" s="29"/>
      <c r="E17" s="132" t="str">
        <f ca="1">IF(MIN(IFERROR(MATCH("*PostDoc*",OFFSET(Budget!$A$20,E16,0,ROWS(Personnel[]),1),0)+E16,999),IFERROR(MATCH("*PhD*",OFFSET(Budget!$A$20,E16,0,ROWS(Personnel[]),1),0)+E16,999),IFERROR(MATCH("*PDEng*",OFFSET(Budget!$A$20,E16,0,ROWS(Personnel[]),1),0)+E16,999))&lt;ROWS(Personnel[]),MIN(IFERROR(MATCH("*PostDoc*",OFFSET(Budget!$A$20,E16,0,ROWS(Personnel[]),1),0)+E16,999),IFERROR(MATCH("*PhD*",OFFSET(Budget!$A$20,E16,0,ROWS(Personnel[]),1),0)+E16,999),IFERROR(MATCH("*PDEng*",OFFSET(Budget!$A$20,E16,0,ROWS(Personnel[]),1),0)+E16,999)),"")</f>
        <v/>
      </c>
      <c r="F17" s="119" t="str">
        <f ca="1">IFERROR(INDEX(Personnel[FTE],E17)*INDEX(Personnel[Months],E17)/12,"")</f>
        <v/>
      </c>
      <c r="G17" s="140"/>
      <c r="H17" s="142" t="e">
        <f ca="1">IF(IFERROR(MATCH("*researcher*",OFFSET(Budget!#REF!,H16,0,ROWS(#REF!),1),0)+H16,999)&lt;ROWS(#REF!),IFERROR(MATCH("*researcher*",OFFSET(Budget!#REF!,H16,0,ROWS(#REF!),1),0)+H16,999),"")</f>
        <v>#REF!</v>
      </c>
      <c r="I17" s="146" t="str">
        <f ca="1">IF(ISERROR(IF(AND(INDEX(#REF!,H17)&gt;=pers_oi_min_months,INDEX(#REF!,H17)/INDEX(#REF!,H17)*12/pers_other_nrhours_year&gt;=pers_oi_minFTE)=TRUE,INDEX(#REF!,H17)/12,0)),"",IF(AND(INDEX(#REF!,H17)&gt;=pers_oi_min_months,INDEX(#REF!,H17)/INDEX(#REF!,H17)*12/pers_other_nrhours_year&gt;=pers_oi_minFTE)=TRUE,INDEX(#REF!,H17)/12,""))</f>
        <v/>
      </c>
      <c r="J17" s="140"/>
      <c r="K17" s="132" t="str">
        <f ca="1">IF(IFERROR(MATCH("*Non-scientific*",OFFSET(Budget!$A$20,K16,0,ROWS(Personnel[]),1),0)+K16,999)&lt;ROWS(Personnel[]),IFERROR(MATCH("*Non-scientific*",OFFSET(Budget!$A$20,K16,0,ROWS(Personnel[]),1),0)+K16,999),"")</f>
        <v/>
      </c>
      <c r="L17" s="115" t="str">
        <f ca="1">IFERROR(INDEX(Personnel[Amount],K17),"")</f>
        <v/>
      </c>
      <c r="M17" s="195"/>
      <c r="N17" s="132" t="str">
        <f ca="1">IF(IFERROR(MATCH("*leave*",OFFSET(Budget!$A$20,N16,0,ROWS(Personnel[]),1),0)+N16,999)&lt;ROWS(Personnel[]),IFERROR(MATCH("*leave*",OFFSET(Budget!$A$20,N16,0,ROWS(Personnel[]),1),0)+N16,999),"")</f>
        <v/>
      </c>
      <c r="O17" s="137" t="str">
        <f ca="1">IFERROR(INDEX(Personnel[Months],N17)*INDEX(Personnel[FTE],N17),"")</f>
        <v/>
      </c>
      <c r="P17" s="195"/>
      <c r="Q17" s="132" t="str">
        <f ca="1">IF(MIN(IFERROR(MATCH("*PostDoc*",OFFSET(Budget!$A$20,Q16,0,ROWS(Personnel[])-Q16,1),0)+Q16,999),IFERROR(MATCH("*PhD*",OFFSET(Budget!$A$20,Q16,0,ROWS(Personnel[])-Q16,1),0)+Q16,999),IFERROR(MATCH("*PDEng*",OFFSET(Budget!$A$20,Q16,0,ROWS(Personnel[])-Q16,1),0)+Q16,999),IFERROR(MATCH("*Doctorate*",OFFSET(Budget!$A$20,Q16,0,ROWS(Personnel[])-Q16,1),0)+Q16,999))&lt;ROWS(Personnel[]),MIN(IFERROR(MATCH("*PostDoc*",OFFSET(Budget!$A$20,Q16,0,ROWS(Personnel[])-Q16,1),0)+Q16,999),IFERROR(MATCH("*PhD*",OFFSET(Budget!$A$20,Q16,0,ROWS(Personnel[])-Q16,1),0)+Q16,999),IFERROR(MATCH("*PDEng*",OFFSET(Budget!$A$20,Q16,0,ROWS(Personnel[])-Q16,1),0)+Q16,999),IFERROR(MATCH("*Doctorate*",OFFSET(Budget!$A$20,Q16,0,ROWS(Personnel[])-Q16,1),0)+Q16,999)),"")</f>
        <v/>
      </c>
      <c r="R17" s="205" t="str">
        <f ca="1">IFERROR(INDEX(Personnel[Category],Q17),"")</f>
        <v/>
      </c>
      <c r="S17" s="205" t="str">
        <f ca="1">IFERROR(INDEX(Personnel[FTE],Q17),"")</f>
        <v/>
      </c>
      <c r="T17" s="205" t="str">
        <f ca="1">IFERROR(INDEX(Personnel[Months],Q17),"")</f>
        <v/>
      </c>
      <c r="U17" s="205" t="str">
        <f ca="1">SUBSTITUTE(IFERROR(INDEX(Personnel[Organisation type],Q17),""),0,"")</f>
        <v/>
      </c>
      <c r="V17" s="206" t="str">
        <f ca="1">SUBSTITUTE(IFERROR(INDEX(Personnel[Name organisation],Q17),""),0,"")</f>
        <v/>
      </c>
      <c r="W17" s="195"/>
      <c r="X17" s="207" t="str">
        <f>IF(ROW(E1554)-ROW($E$1548)&lt;ROWS(inkind[]),IFERROR(IF(INDEX(list_cofunders[private?],MATCH(Budget!F174,list_cofunders[list cofunders],0),1)="yes",Budget!H174,""),""),"")</f>
        <v/>
      </c>
      <c r="Y17" s="208" t="str">
        <f>IF(ROW(E1657)-ROW($E$1651)&lt;ROWS(incash[]),IFERROR(IF(INDEX(list_cofunders[private?],MATCH(Budget!F192,list_cofunders[list cofunders],0),1)="yes",Budget!H192,""),""),"")</f>
        <v/>
      </c>
      <c r="Z17" s="205" t="str">
        <f>IFERROR(INDEX(Personnel[FTE],X17),"")</f>
        <v/>
      </c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7"/>
      <c r="DA17" s="27"/>
      <c r="DB17" s="27"/>
      <c r="DC17" s="27"/>
      <c r="DD17" s="27"/>
      <c r="DE17" s="27"/>
      <c r="DF17" s="27"/>
      <c r="DG17" s="27"/>
      <c r="DH17" s="27"/>
    </row>
    <row r="18" spans="2:112" s="26" customFormat="1" ht="11.25" customHeight="1" outlineLevel="1" x14ac:dyDescent="0.35">
      <c r="B18" s="132" t="str">
        <f ca="1">IF(IFERROR(MATCH("*Other*",OFFSET(Budget!$A$20,B17,0,ROWS(Personnel[]),1),0)+B17,999)&lt;ROWS(Personnel[]),IFERROR(MATCH("*Other*",OFFSET(Budget!$A$20,B17,0,ROWS(Personnel[]),1),0)+B17,999),"")</f>
        <v/>
      </c>
      <c r="C18" s="115" t="str">
        <f ca="1">IFERROR(INDEX(Personnel[Amount],B18),"")</f>
        <v/>
      </c>
      <c r="D18" s="29"/>
      <c r="E18" s="132" t="str">
        <f ca="1">IF(MIN(IFERROR(MATCH("*PostDoc*",OFFSET(Budget!$A$20,E17,0,ROWS(Personnel[]),1),0)+E17,999),IFERROR(MATCH("*PhD*",OFFSET(Budget!$A$20,E17,0,ROWS(Personnel[]),1),0)+E17,999),IFERROR(MATCH("*PDEng*",OFFSET(Budget!$A$20,E17,0,ROWS(Personnel[]),1),0)+E17,999))&lt;ROWS(Personnel[]),MIN(IFERROR(MATCH("*PostDoc*",OFFSET(Budget!$A$20,E17,0,ROWS(Personnel[]),1),0)+E17,999),IFERROR(MATCH("*PhD*",OFFSET(Budget!$A$20,E17,0,ROWS(Personnel[]),1),0)+E17,999),IFERROR(MATCH("*PDEng*",OFFSET(Budget!$A$20,E17,0,ROWS(Personnel[]),1),0)+E17,999)),"")</f>
        <v/>
      </c>
      <c r="F18" s="119" t="str">
        <f ca="1">IFERROR(INDEX(Personnel[FTE],E18)*INDEX(Personnel[Months],E18)/12,"")</f>
        <v/>
      </c>
      <c r="G18" s="140"/>
      <c r="H18" s="142" t="e">
        <f ca="1">IF(IFERROR(MATCH("*researcher*",OFFSET(Budget!#REF!,H17,0,ROWS(#REF!),1),0)+H17,999)&lt;ROWS(#REF!),IFERROR(MATCH("*researcher*",OFFSET(Budget!#REF!,H17,0,ROWS(#REF!),1),0)+H17,999),"")</f>
        <v>#REF!</v>
      </c>
      <c r="I18" s="146" t="str">
        <f ca="1">IF(ISERROR(IF(AND(INDEX(#REF!,H18)&gt;=pers_oi_min_months,INDEX(#REF!,H18)/INDEX(#REF!,H18)*12/pers_other_nrhours_year&gt;=pers_oi_minFTE)=TRUE,INDEX(#REF!,H18)/12,0)),"",IF(AND(INDEX(#REF!,H18)&gt;=pers_oi_min_months,INDEX(#REF!,H18)/INDEX(#REF!,H18)*12/pers_other_nrhours_year&gt;=pers_oi_minFTE)=TRUE,INDEX(#REF!,H18)/12,""))</f>
        <v/>
      </c>
      <c r="J18" s="140"/>
      <c r="K18" s="132" t="str">
        <f ca="1">IF(IFERROR(MATCH("*Non-scientific*",OFFSET(Budget!$A$20,K17,0,ROWS(Personnel[]),1),0)+K17,999)&lt;ROWS(Personnel[]),IFERROR(MATCH("*Non-scientific*",OFFSET(Budget!$A$20,K17,0,ROWS(Personnel[]),1),0)+K17,999),"")</f>
        <v/>
      </c>
      <c r="L18" s="115" t="str">
        <f ca="1">IFERROR(INDEX(Personnel[Amount],K18),"")</f>
        <v/>
      </c>
      <c r="M18" s="195"/>
      <c r="N18" s="132" t="str">
        <f ca="1">IF(IFERROR(MATCH("*leave*",OFFSET(Budget!$A$20,N17,0,ROWS(Personnel[]),1),0)+N17,999)&lt;ROWS(Personnel[]),IFERROR(MATCH("*leave*",OFFSET(Budget!$A$20,N17,0,ROWS(Personnel[]),1),0)+N17,999),"")</f>
        <v/>
      </c>
      <c r="O18" s="137" t="str">
        <f ca="1">IFERROR(INDEX(Personnel[Months],N18)*INDEX(Personnel[FTE],N18),"")</f>
        <v/>
      </c>
      <c r="P18" s="195"/>
      <c r="Q18" s="132" t="str">
        <f ca="1">IF(MIN(IFERROR(MATCH("*PostDoc*",OFFSET(Budget!$A$20,Q17,0,ROWS(Personnel[])-Q17,1),0)+Q17,999),IFERROR(MATCH("*PhD*",OFFSET(Budget!$A$20,Q17,0,ROWS(Personnel[])-Q17,1),0)+Q17,999),IFERROR(MATCH("*PDEng*",OFFSET(Budget!$A$20,Q17,0,ROWS(Personnel[])-Q17,1),0)+Q17,999),IFERROR(MATCH("*Doctorate*",OFFSET(Budget!$A$20,Q17,0,ROWS(Personnel[])-Q17,1),0)+Q17,999))&lt;ROWS(Personnel[]),MIN(IFERROR(MATCH("*PostDoc*",OFFSET(Budget!$A$20,Q17,0,ROWS(Personnel[])-Q17,1),0)+Q17,999),IFERROR(MATCH("*PhD*",OFFSET(Budget!$A$20,Q17,0,ROWS(Personnel[])-Q17,1),0)+Q17,999),IFERROR(MATCH("*PDEng*",OFFSET(Budget!$A$20,Q17,0,ROWS(Personnel[])-Q17,1),0)+Q17,999),IFERROR(MATCH("*Doctorate*",OFFSET(Budget!$A$20,Q17,0,ROWS(Personnel[])-Q17,1),0)+Q17,999)),"")</f>
        <v/>
      </c>
      <c r="R18" s="205" t="str">
        <f ca="1">IFERROR(INDEX(Personnel[Category],Q18),"")</f>
        <v/>
      </c>
      <c r="S18" s="205" t="str">
        <f ca="1">IFERROR(INDEX(Personnel[FTE],Q18),"")</f>
        <v/>
      </c>
      <c r="T18" s="205" t="str">
        <f ca="1">IFERROR(INDEX(Personnel[Months],Q18),"")</f>
        <v/>
      </c>
      <c r="U18" s="205" t="str">
        <f ca="1">SUBSTITUTE(IFERROR(INDEX(Personnel[Organisation type],Q18),""),0,"")</f>
        <v/>
      </c>
      <c r="V18" s="206" t="str">
        <f ca="1">SUBSTITUTE(IFERROR(INDEX(Personnel[Name organisation],Q18),""),0,"")</f>
        <v/>
      </c>
      <c r="W18" s="195"/>
      <c r="X18" s="207" t="str">
        <f>IF(ROW(E1555)-ROW($E$1548)&lt;ROWS(inkind[]),IFERROR(IF(INDEX(list_cofunders[private?],MATCH(Budget!F175,list_cofunders[list cofunders],0),1)="yes",Budget!H175,""),""),"")</f>
        <v/>
      </c>
      <c r="Y18" s="208" t="str">
        <f>IF(ROW(E1658)-ROW($E$1651)&lt;ROWS(incash[]),IFERROR(IF(INDEX(list_cofunders[private?],MATCH(Budget!F193,list_cofunders[list cofunders],0),1)="yes",Budget!H193,""),""),"")</f>
        <v/>
      </c>
      <c r="Z18" s="205" t="str">
        <f>IFERROR(INDEX(Personnel[FTE],X18),"")</f>
        <v/>
      </c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7"/>
      <c r="DA18" s="27"/>
      <c r="DB18" s="27"/>
      <c r="DC18" s="27"/>
      <c r="DD18" s="27"/>
      <c r="DE18" s="27"/>
      <c r="DF18" s="27"/>
      <c r="DG18" s="27"/>
      <c r="DH18" s="27"/>
    </row>
    <row r="19" spans="2:112" s="26" customFormat="1" ht="11.25" customHeight="1" outlineLevel="1" x14ac:dyDescent="0.35">
      <c r="B19" s="132" t="str">
        <f ca="1">IF(IFERROR(MATCH("*Other*",OFFSET(Budget!$A$20,B18,0,ROWS(Personnel[]),1),0)+B18,999)&lt;ROWS(Personnel[]),IFERROR(MATCH("*Other*",OFFSET(Budget!$A$20,B18,0,ROWS(Personnel[]),1),0)+B18,999),"")</f>
        <v/>
      </c>
      <c r="C19" s="115" t="str">
        <f ca="1">IFERROR(INDEX(Personnel[Amount],B19),"")</f>
        <v/>
      </c>
      <c r="D19" s="29"/>
      <c r="E19" s="132" t="str">
        <f ca="1">IF(MIN(IFERROR(MATCH("*PostDoc*",OFFSET(Budget!$A$20,E18,0,ROWS(Personnel[]),1),0)+E18,999),IFERROR(MATCH("*PhD*",OFFSET(Budget!$A$20,E18,0,ROWS(Personnel[]),1),0)+E18,999),IFERROR(MATCH("*PDEng*",OFFSET(Budget!$A$20,E18,0,ROWS(Personnel[]),1),0)+E18,999))&lt;ROWS(Personnel[]),MIN(IFERROR(MATCH("*PostDoc*",OFFSET(Budget!$A$20,E18,0,ROWS(Personnel[]),1),0)+E18,999),IFERROR(MATCH("*PhD*",OFFSET(Budget!$A$20,E18,0,ROWS(Personnel[]),1),0)+E18,999),IFERROR(MATCH("*PDEng*",OFFSET(Budget!$A$20,E18,0,ROWS(Personnel[]),1),0)+E18,999)),"")</f>
        <v/>
      </c>
      <c r="F19" s="119" t="str">
        <f ca="1">IFERROR(INDEX(Personnel[FTE],E19)*INDEX(Personnel[Months],E19)/12,"")</f>
        <v/>
      </c>
      <c r="G19" s="140"/>
      <c r="H19" s="142" t="e">
        <f ca="1">IF(IFERROR(MATCH("*researcher*",OFFSET(Budget!#REF!,H18,0,ROWS(#REF!),1),0)+H18,999)&lt;ROWS(#REF!),IFERROR(MATCH("*researcher*",OFFSET(Budget!#REF!,H18,0,ROWS(#REF!),1),0)+H18,999),"")</f>
        <v>#REF!</v>
      </c>
      <c r="I19" s="146" t="str">
        <f ca="1">IF(ISERROR(IF(AND(INDEX(#REF!,H19)&gt;=pers_oi_min_months,INDEX(#REF!,H19)/INDEX(#REF!,H19)*12/pers_other_nrhours_year&gt;=pers_oi_minFTE)=TRUE,INDEX(#REF!,H19)/12,0)),"",IF(AND(INDEX(#REF!,H19)&gt;=pers_oi_min_months,INDEX(#REF!,H19)/INDEX(#REF!,H19)*12/pers_other_nrhours_year&gt;=pers_oi_minFTE)=TRUE,INDEX(#REF!,H19)/12,""))</f>
        <v/>
      </c>
      <c r="J19" s="140"/>
      <c r="K19" s="132" t="str">
        <f ca="1">IF(IFERROR(MATCH("*Non-scientific*",OFFSET(Budget!$A$20,K18,0,ROWS(Personnel[]),1),0)+K18,999)&lt;ROWS(Personnel[]),IFERROR(MATCH("*Non-scientific*",OFFSET(Budget!$A$20,K18,0,ROWS(Personnel[]),1),0)+K18,999),"")</f>
        <v/>
      </c>
      <c r="L19" s="115" t="str">
        <f ca="1">IFERROR(INDEX(Personnel[Amount],K19),"")</f>
        <v/>
      </c>
      <c r="M19" s="195"/>
      <c r="N19" s="132" t="str">
        <f ca="1">IF(IFERROR(MATCH("*leave*",OFFSET(Budget!$A$20,N18,0,ROWS(Personnel[]),1),0)+N18,999)&lt;ROWS(Personnel[]),IFERROR(MATCH("*leave*",OFFSET(Budget!$A$20,N18,0,ROWS(Personnel[]),1),0)+N18,999),"")</f>
        <v/>
      </c>
      <c r="O19" s="137" t="str">
        <f ca="1">IFERROR(INDEX(Personnel[Months],N19)*INDEX(Personnel[FTE],N19),"")</f>
        <v/>
      </c>
      <c r="P19" s="195"/>
      <c r="Q19" s="132" t="str">
        <f ca="1">IF(MIN(IFERROR(MATCH("*PostDoc*",OFFSET(Budget!$A$20,Q18,0,ROWS(Personnel[])-Q18,1),0)+Q18,999),IFERROR(MATCH("*PhD*",OFFSET(Budget!$A$20,Q18,0,ROWS(Personnel[])-Q18,1),0)+Q18,999),IFERROR(MATCH("*PDEng*",OFFSET(Budget!$A$20,Q18,0,ROWS(Personnel[])-Q18,1),0)+Q18,999),IFERROR(MATCH("*Doctorate*",OFFSET(Budget!$A$20,Q18,0,ROWS(Personnel[])-Q18,1),0)+Q18,999))&lt;ROWS(Personnel[]),MIN(IFERROR(MATCH("*PostDoc*",OFFSET(Budget!$A$20,Q18,0,ROWS(Personnel[])-Q18,1),0)+Q18,999),IFERROR(MATCH("*PhD*",OFFSET(Budget!$A$20,Q18,0,ROWS(Personnel[])-Q18,1),0)+Q18,999),IFERROR(MATCH("*PDEng*",OFFSET(Budget!$A$20,Q18,0,ROWS(Personnel[])-Q18,1),0)+Q18,999),IFERROR(MATCH("*Doctorate*",OFFSET(Budget!$A$20,Q18,0,ROWS(Personnel[])-Q18,1),0)+Q18,999)),"")</f>
        <v/>
      </c>
      <c r="R19" s="205" t="str">
        <f ca="1">IFERROR(INDEX(Personnel[Category],Q19),"")</f>
        <v/>
      </c>
      <c r="S19" s="205" t="str">
        <f ca="1">IFERROR(INDEX(Personnel[FTE],Q19),"")</f>
        <v/>
      </c>
      <c r="T19" s="205" t="str">
        <f ca="1">IFERROR(INDEX(Personnel[Months],Q19),"")</f>
        <v/>
      </c>
      <c r="U19" s="205" t="str">
        <f ca="1">SUBSTITUTE(IFERROR(INDEX(Personnel[Organisation type],Q19),""),0,"")</f>
        <v/>
      </c>
      <c r="V19" s="206" t="str">
        <f ca="1">SUBSTITUTE(IFERROR(INDEX(Personnel[Name organisation],Q19),""),0,"")</f>
        <v/>
      </c>
      <c r="W19" s="195"/>
      <c r="X19" s="207" t="str">
        <f>IF(ROW(E1556)-ROW($E$1548)&lt;ROWS(inkind[]),IFERROR(IF(INDEX(list_cofunders[private?],MATCH(Budget!F176,list_cofunders[list cofunders],0),1)="yes",Budget!H176,""),""),"")</f>
        <v/>
      </c>
      <c r="Y19" s="208" t="str">
        <f>IF(ROW(E1659)-ROW($E$1651)&lt;ROWS(incash[]),IFERROR(IF(INDEX(list_cofunders[private?],MATCH(Budget!F194,list_cofunders[list cofunders],0),1)="yes",Budget!H194,""),""),"")</f>
        <v/>
      </c>
      <c r="Z19" s="205" t="str">
        <f>IFERROR(INDEX(Personnel[FTE],X19),"")</f>
        <v/>
      </c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7"/>
      <c r="DA19" s="27"/>
      <c r="DB19" s="27"/>
      <c r="DC19" s="27"/>
      <c r="DD19" s="27"/>
      <c r="DE19" s="27"/>
      <c r="DF19" s="27"/>
      <c r="DG19" s="27"/>
      <c r="DH19" s="27"/>
    </row>
    <row r="20" spans="2:112" s="26" customFormat="1" ht="11.25" customHeight="1" outlineLevel="1" x14ac:dyDescent="0.35">
      <c r="B20" s="132" t="str">
        <f ca="1">IF(IFERROR(MATCH("*Other*",OFFSET(Budget!$A$20,B19,0,ROWS(Personnel[]),1),0)+B19,999)&lt;ROWS(Personnel[]),IFERROR(MATCH("*Other*",OFFSET(Budget!$A$20,B19,0,ROWS(Personnel[]),1),0)+B19,999),"")</f>
        <v/>
      </c>
      <c r="C20" s="115" t="str">
        <f ca="1">IFERROR(INDEX(Personnel[Amount],B20),"")</f>
        <v/>
      </c>
      <c r="D20" s="29"/>
      <c r="E20" s="132" t="str">
        <f ca="1">IF(MIN(IFERROR(MATCH("*PostDoc*",OFFSET(Budget!$A$20,E19,0,ROWS(Personnel[]),1),0)+E19,999),IFERROR(MATCH("*PhD*",OFFSET(Budget!$A$20,E19,0,ROWS(Personnel[]),1),0)+E19,999),IFERROR(MATCH("*PDEng*",OFFSET(Budget!$A$20,E19,0,ROWS(Personnel[]),1),0)+E19,999))&lt;ROWS(Personnel[]),MIN(IFERROR(MATCH("*PostDoc*",OFFSET(Budget!$A$20,E19,0,ROWS(Personnel[]),1),0)+E19,999),IFERROR(MATCH("*PhD*",OFFSET(Budget!$A$20,E19,0,ROWS(Personnel[]),1),0)+E19,999),IFERROR(MATCH("*PDEng*",OFFSET(Budget!$A$20,E19,0,ROWS(Personnel[]),1),0)+E19,999)),"")</f>
        <v/>
      </c>
      <c r="F20" s="119" t="str">
        <f ca="1">IFERROR(INDEX(Personnel[FTE],E20)*INDEX(Personnel[Months],E20)/12,"")</f>
        <v/>
      </c>
      <c r="G20" s="140"/>
      <c r="H20" s="142" t="e">
        <f ca="1">IF(IFERROR(MATCH("*researcher*",OFFSET(Budget!#REF!,H19,0,ROWS(#REF!),1),0)+H19,999)&lt;ROWS(#REF!),IFERROR(MATCH("*researcher*",OFFSET(Budget!#REF!,H19,0,ROWS(#REF!),1),0)+H19,999),"")</f>
        <v>#REF!</v>
      </c>
      <c r="I20" s="146" t="str">
        <f ca="1">IF(ISERROR(IF(AND(INDEX(#REF!,H20)&gt;=pers_oi_min_months,INDEX(#REF!,H20)/INDEX(#REF!,H20)*12/pers_other_nrhours_year&gt;=pers_oi_minFTE)=TRUE,INDEX(#REF!,H20)/12,0)),"",IF(AND(INDEX(#REF!,H20)&gt;=pers_oi_min_months,INDEX(#REF!,H20)/INDEX(#REF!,H20)*12/pers_other_nrhours_year&gt;=pers_oi_minFTE)=TRUE,INDEX(#REF!,H20)/12,""))</f>
        <v/>
      </c>
      <c r="J20" s="140"/>
      <c r="K20" s="132" t="str">
        <f ca="1">IF(IFERROR(MATCH("*Non-scientific*",OFFSET(Budget!$A$20,K19,0,ROWS(Personnel[]),1),0)+K19,999)&lt;ROWS(Personnel[]),IFERROR(MATCH("*Non-scientific*",OFFSET(Budget!$A$20,K19,0,ROWS(Personnel[]),1),0)+K19,999),"")</f>
        <v/>
      </c>
      <c r="L20" s="115" t="str">
        <f ca="1">IFERROR(INDEX(Personnel[Amount],K20),"")</f>
        <v/>
      </c>
      <c r="M20" s="195"/>
      <c r="N20" s="132" t="str">
        <f ca="1">IF(IFERROR(MATCH("*leave*",OFFSET(Budget!$A$20,N19,0,ROWS(Personnel[]),1),0)+N19,999)&lt;ROWS(Personnel[]),IFERROR(MATCH("*leave*",OFFSET(Budget!$A$20,N19,0,ROWS(Personnel[]),1),0)+N19,999),"")</f>
        <v/>
      </c>
      <c r="O20" s="137" t="str">
        <f ca="1">IFERROR(INDEX(Personnel[Months],N20)*INDEX(Personnel[FTE],N20),"")</f>
        <v/>
      </c>
      <c r="P20" s="195"/>
      <c r="Q20" s="132" t="str">
        <f ca="1">IF(MIN(IFERROR(MATCH("*PostDoc*",OFFSET(Budget!$A$20,Q19,0,ROWS(Personnel[])-Q19,1),0)+Q19,999),IFERROR(MATCH("*PhD*",OFFSET(Budget!$A$20,Q19,0,ROWS(Personnel[])-Q19,1),0)+Q19,999),IFERROR(MATCH("*PDEng*",OFFSET(Budget!$A$20,Q19,0,ROWS(Personnel[])-Q19,1),0)+Q19,999),IFERROR(MATCH("*Doctorate*",OFFSET(Budget!$A$20,Q19,0,ROWS(Personnel[])-Q19,1),0)+Q19,999))&lt;ROWS(Personnel[]),MIN(IFERROR(MATCH("*PostDoc*",OFFSET(Budget!$A$20,Q19,0,ROWS(Personnel[])-Q19,1),0)+Q19,999),IFERROR(MATCH("*PhD*",OFFSET(Budget!$A$20,Q19,0,ROWS(Personnel[])-Q19,1),0)+Q19,999),IFERROR(MATCH("*PDEng*",OFFSET(Budget!$A$20,Q19,0,ROWS(Personnel[])-Q19,1),0)+Q19,999),IFERROR(MATCH("*Doctorate*",OFFSET(Budget!$A$20,Q19,0,ROWS(Personnel[])-Q19,1),0)+Q19,999)),"")</f>
        <v/>
      </c>
      <c r="R20" s="205" t="str">
        <f ca="1">IFERROR(INDEX(Personnel[Category],Q20),"")</f>
        <v/>
      </c>
      <c r="S20" s="205" t="str">
        <f ca="1">IFERROR(INDEX(Personnel[FTE],Q20),"")</f>
        <v/>
      </c>
      <c r="T20" s="205" t="str">
        <f ca="1">IFERROR(INDEX(Personnel[Months],Q20),"")</f>
        <v/>
      </c>
      <c r="U20" s="205" t="str">
        <f ca="1">SUBSTITUTE(IFERROR(INDEX(Personnel[Organisation type],Q20),""),0,"")</f>
        <v/>
      </c>
      <c r="V20" s="206" t="str">
        <f ca="1">SUBSTITUTE(IFERROR(INDEX(Personnel[Name organisation],Q20),""),0,"")</f>
        <v/>
      </c>
      <c r="W20" s="195"/>
      <c r="X20" s="207" t="str">
        <f>IF(ROW(E1557)-ROW($E$1548)&lt;ROWS(inkind[]),IFERROR(IF(INDEX(list_cofunders[private?],MATCH(Budget!F177,list_cofunders[list cofunders],0),1)="yes",Budget!H177,""),""),"")</f>
        <v/>
      </c>
      <c r="Y20" s="208" t="str">
        <f>IF(ROW(E1660)-ROW($E$1651)&lt;ROWS(incash[]),IFERROR(IF(INDEX(list_cofunders[private?],MATCH(Budget!F195,list_cofunders[list cofunders],0),1)="yes",Budget!H195,""),""),"")</f>
        <v/>
      </c>
      <c r="Z20" s="205" t="str">
        <f>IFERROR(INDEX(Personnel[FTE],X20),"")</f>
        <v/>
      </c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7"/>
      <c r="DA20" s="27"/>
      <c r="DB20" s="27"/>
      <c r="DC20" s="27"/>
      <c r="DD20" s="27"/>
      <c r="DE20" s="27"/>
      <c r="DF20" s="27"/>
      <c r="DG20" s="27"/>
      <c r="DH20" s="27"/>
    </row>
    <row r="21" spans="2:112" s="26" customFormat="1" ht="11.25" customHeight="1" outlineLevel="1" x14ac:dyDescent="0.35">
      <c r="B21" s="132" t="str">
        <f ca="1">IF(IFERROR(MATCH("*Other*",OFFSET(Budget!$A$20,B20,0,ROWS(Personnel[]),1),0)+B20,999)&lt;ROWS(Personnel[]),IFERROR(MATCH("*Other*",OFFSET(Budget!$A$20,B20,0,ROWS(Personnel[]),1),0)+B20,999),"")</f>
        <v/>
      </c>
      <c r="C21" s="115" t="str">
        <f ca="1">IFERROR(INDEX(Personnel[Amount],B21),"")</f>
        <v/>
      </c>
      <c r="D21" s="29"/>
      <c r="E21" s="132" t="str">
        <f ca="1">IF(MIN(IFERROR(MATCH("*PostDoc*",OFFSET(Budget!$A$20,E20,0,ROWS(Personnel[]),1),0)+E20,999),IFERROR(MATCH("*PhD*",OFFSET(Budget!$A$20,E20,0,ROWS(Personnel[]),1),0)+E20,999),IFERROR(MATCH("*PDEng*",OFFSET(Budget!$A$20,E20,0,ROWS(Personnel[]),1),0)+E20,999))&lt;ROWS(Personnel[]),MIN(IFERROR(MATCH("*PostDoc*",OFFSET(Budget!$A$20,E20,0,ROWS(Personnel[]),1),0)+E20,999),IFERROR(MATCH("*PhD*",OFFSET(Budget!$A$20,E20,0,ROWS(Personnel[]),1),0)+E20,999),IFERROR(MATCH("*PDEng*",OFFSET(Budget!$A$20,E20,0,ROWS(Personnel[]),1),0)+E20,999)),"")</f>
        <v/>
      </c>
      <c r="F21" s="119" t="str">
        <f ca="1">IFERROR(INDEX(Personnel[FTE],E21)*INDEX(Personnel[Months],E21)/12,"")</f>
        <v/>
      </c>
      <c r="G21" s="140"/>
      <c r="H21" s="142" t="e">
        <f ca="1">IF(IFERROR(MATCH("*researcher*",OFFSET(Budget!#REF!,H20,0,ROWS(#REF!),1),0)+H20,999)&lt;ROWS(#REF!),IFERROR(MATCH("*researcher*",OFFSET(Budget!#REF!,H20,0,ROWS(#REF!),1),0)+H20,999),"")</f>
        <v>#REF!</v>
      </c>
      <c r="I21" s="146" t="str">
        <f ca="1">IF(ISERROR(IF(AND(INDEX(#REF!,H21)&gt;=pers_oi_min_months,INDEX(#REF!,H21)/INDEX(#REF!,H21)*12/pers_other_nrhours_year&gt;=pers_oi_minFTE)=TRUE,INDEX(#REF!,H21)/12,0)),"",IF(AND(INDEX(#REF!,H21)&gt;=pers_oi_min_months,INDEX(#REF!,H21)/INDEX(#REF!,H21)*12/pers_other_nrhours_year&gt;=pers_oi_minFTE)=TRUE,INDEX(#REF!,H21)/12,""))</f>
        <v/>
      </c>
      <c r="J21" s="140"/>
      <c r="K21" s="132" t="str">
        <f ca="1">IF(IFERROR(MATCH("*Non-scientific*",OFFSET(Budget!$A$20,K20,0,ROWS(Personnel[]),1),0)+K20,999)&lt;ROWS(Personnel[]),IFERROR(MATCH("*Non-scientific*",OFFSET(Budget!$A$20,K20,0,ROWS(Personnel[]),1),0)+K20,999),"")</f>
        <v/>
      </c>
      <c r="L21" s="115" t="str">
        <f ca="1">IFERROR(INDEX(Personnel[Amount],K21),"")</f>
        <v/>
      </c>
      <c r="M21" s="195"/>
      <c r="N21" s="132" t="str">
        <f ca="1">IF(IFERROR(MATCH("*leave*",OFFSET(Budget!$A$20,N20,0,ROWS(Personnel[]),1),0)+N20,999)&lt;ROWS(Personnel[]),IFERROR(MATCH("*leave*",OFFSET(Budget!$A$20,N20,0,ROWS(Personnel[]),1),0)+N20,999),"")</f>
        <v/>
      </c>
      <c r="O21" s="137" t="str">
        <f ca="1">IFERROR(INDEX(Personnel[Months],N21)*INDEX(Personnel[FTE],N21),"")</f>
        <v/>
      </c>
      <c r="P21" s="195"/>
      <c r="Q21" s="132" t="str">
        <f ca="1">IF(MIN(IFERROR(MATCH("*PostDoc*",OFFSET(Budget!$A$20,Q20,0,ROWS(Personnel[])-Q20,1),0)+Q20,999),IFERROR(MATCH("*PhD*",OFFSET(Budget!$A$20,Q20,0,ROWS(Personnel[])-Q20,1),0)+Q20,999),IFERROR(MATCH("*PDEng*",OFFSET(Budget!$A$20,Q20,0,ROWS(Personnel[])-Q20,1),0)+Q20,999),IFERROR(MATCH("*Doctorate*",OFFSET(Budget!$A$20,Q20,0,ROWS(Personnel[])-Q20,1),0)+Q20,999))&lt;ROWS(Personnel[]),MIN(IFERROR(MATCH("*PostDoc*",OFFSET(Budget!$A$20,Q20,0,ROWS(Personnel[])-Q20,1),0)+Q20,999),IFERROR(MATCH("*PhD*",OFFSET(Budget!$A$20,Q20,0,ROWS(Personnel[])-Q20,1),0)+Q20,999),IFERROR(MATCH("*PDEng*",OFFSET(Budget!$A$20,Q20,0,ROWS(Personnel[])-Q20,1),0)+Q20,999),IFERROR(MATCH("*Doctorate*",OFFSET(Budget!$A$20,Q20,0,ROWS(Personnel[])-Q20,1),0)+Q20,999)),"")</f>
        <v/>
      </c>
      <c r="R21" s="205" t="str">
        <f ca="1">IFERROR(INDEX(Personnel[Category],Q21),"")</f>
        <v/>
      </c>
      <c r="S21" s="205" t="str">
        <f ca="1">IFERROR(INDEX(Personnel[FTE],Q21),"")</f>
        <v/>
      </c>
      <c r="T21" s="205" t="str">
        <f ca="1">IFERROR(INDEX(Personnel[Months],Q21),"")</f>
        <v/>
      </c>
      <c r="U21" s="205" t="str">
        <f ca="1">SUBSTITUTE(IFERROR(INDEX(Personnel[Organisation type],Q21),""),0,"")</f>
        <v/>
      </c>
      <c r="V21" s="206" t="str">
        <f ca="1">SUBSTITUTE(IFERROR(INDEX(Personnel[Name organisation],Q21),""),0,"")</f>
        <v/>
      </c>
      <c r="W21" s="195"/>
      <c r="X21" s="207" t="str">
        <f>IF(ROW(E1558)-ROW($E$1548)&lt;ROWS(inkind[]),IFERROR(IF(INDEX(list_cofunders[private?],MATCH(Budget!F178,list_cofunders[list cofunders],0),1)="yes",Budget!H178,""),""),"")</f>
        <v/>
      </c>
      <c r="Y21" s="208" t="str">
        <f>IF(ROW(E1661)-ROW($E$1651)&lt;ROWS(incash[]),IFERROR(IF(INDEX(list_cofunders[private?],MATCH(Budget!#REF!,list_cofunders[list cofunders],0),1)="yes",Budget!#REF!,""),""),"")</f>
        <v/>
      </c>
      <c r="Z21" s="205" t="str">
        <f>IFERROR(INDEX(Personnel[FTE],X21),"")</f>
        <v/>
      </c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7"/>
      <c r="DA21" s="27"/>
      <c r="DB21" s="27"/>
      <c r="DC21" s="27"/>
      <c r="DD21" s="27"/>
      <c r="DE21" s="27"/>
      <c r="DF21" s="27"/>
      <c r="DG21" s="27"/>
      <c r="DH21" s="27"/>
    </row>
    <row r="22" spans="2:112" s="26" customFormat="1" ht="11.25" customHeight="1" outlineLevel="1" x14ac:dyDescent="0.35">
      <c r="B22" s="132" t="str">
        <f ca="1">IF(IFERROR(MATCH("*Other*",OFFSET(Budget!$A$20,B21,0,ROWS(Personnel[]),1),0)+B21,999)&lt;ROWS(Personnel[]),IFERROR(MATCH("*Other*",OFFSET(Budget!$A$20,B21,0,ROWS(Personnel[]),1),0)+B21,999),"")</f>
        <v/>
      </c>
      <c r="C22" s="115" t="str">
        <f ca="1">IFERROR(INDEX(Personnel[Amount],B22),"")</f>
        <v/>
      </c>
      <c r="D22" s="29"/>
      <c r="E22" s="132" t="str">
        <f ca="1">IF(MIN(IFERROR(MATCH("*PostDoc*",OFFSET(Budget!$A$20,E21,0,ROWS(Personnel[]),1),0)+E21,999),IFERROR(MATCH("*PhD*",OFFSET(Budget!$A$20,E21,0,ROWS(Personnel[]),1),0)+E21,999),IFERROR(MATCH("*PDEng*",OFFSET(Budget!$A$20,E21,0,ROWS(Personnel[]),1),0)+E21,999))&lt;ROWS(Personnel[]),MIN(IFERROR(MATCH("*PostDoc*",OFFSET(Budget!$A$20,E21,0,ROWS(Personnel[]),1),0)+E21,999),IFERROR(MATCH("*PhD*",OFFSET(Budget!$A$20,E21,0,ROWS(Personnel[]),1),0)+E21,999),IFERROR(MATCH("*PDEng*",OFFSET(Budget!$A$20,E21,0,ROWS(Personnel[]),1),0)+E21,999)),"")</f>
        <v/>
      </c>
      <c r="F22" s="119" t="str">
        <f ca="1">IFERROR(INDEX(Personnel[FTE],E22)*INDEX(Personnel[Months],E22)/12,"")</f>
        <v/>
      </c>
      <c r="G22" s="140"/>
      <c r="H22" s="142" t="e">
        <f ca="1">IF(IFERROR(MATCH("*researcher*",OFFSET(Budget!#REF!,H21,0,ROWS(#REF!),1),0)+H21,999)&lt;ROWS(#REF!),IFERROR(MATCH("*researcher*",OFFSET(Budget!#REF!,H21,0,ROWS(#REF!),1),0)+H21,999),"")</f>
        <v>#REF!</v>
      </c>
      <c r="I22" s="146" t="str">
        <f ca="1">IF(ISERROR(IF(AND(INDEX(#REF!,H22)&gt;=pers_oi_min_months,INDEX(#REF!,H22)/INDEX(#REF!,H22)*12/pers_other_nrhours_year&gt;=pers_oi_minFTE)=TRUE,INDEX(#REF!,H22)/12,0)),"",IF(AND(INDEX(#REF!,H22)&gt;=pers_oi_min_months,INDEX(#REF!,H22)/INDEX(#REF!,H22)*12/pers_other_nrhours_year&gt;=pers_oi_minFTE)=TRUE,INDEX(#REF!,H22)/12,""))</f>
        <v/>
      </c>
      <c r="J22" s="140"/>
      <c r="K22" s="132" t="str">
        <f ca="1">IF(IFERROR(MATCH("*Non-scientific*",OFFSET(Budget!$A$20,K21,0,ROWS(Personnel[]),1),0)+K21,999)&lt;ROWS(Personnel[]),IFERROR(MATCH("*Non-scientific*",OFFSET(Budget!$A$20,K21,0,ROWS(Personnel[]),1),0)+K21,999),"")</f>
        <v/>
      </c>
      <c r="L22" s="115" t="str">
        <f ca="1">IFERROR(INDEX(Personnel[Amount],K22),"")</f>
        <v/>
      </c>
      <c r="M22" s="195"/>
      <c r="N22" s="132" t="str">
        <f ca="1">IF(IFERROR(MATCH("*leave*",OFFSET(Budget!$A$20,N21,0,ROWS(Personnel[]),1),0)+N21,999)&lt;ROWS(Personnel[]),IFERROR(MATCH("*leave*",OFFSET(Budget!$A$20,N21,0,ROWS(Personnel[]),1),0)+N21,999),"")</f>
        <v/>
      </c>
      <c r="O22" s="137" t="str">
        <f ca="1">IFERROR(INDEX(Personnel[Months],N22)*INDEX(Personnel[FTE],N22),"")</f>
        <v/>
      </c>
      <c r="P22" s="195"/>
      <c r="Q22" s="132" t="str">
        <f ca="1">IF(MIN(IFERROR(MATCH("*PostDoc*",OFFSET(Budget!$A$20,Q21,0,ROWS(Personnel[])-Q21,1),0)+Q21,999),IFERROR(MATCH("*PhD*",OFFSET(Budget!$A$20,Q21,0,ROWS(Personnel[])-Q21,1),0)+Q21,999),IFERROR(MATCH("*PDEng*",OFFSET(Budget!$A$20,Q21,0,ROWS(Personnel[])-Q21,1),0)+Q21,999),IFERROR(MATCH("*Doctorate*",OFFSET(Budget!$A$20,Q21,0,ROWS(Personnel[])-Q21,1),0)+Q21,999))&lt;ROWS(Personnel[]),MIN(IFERROR(MATCH("*PostDoc*",OFFSET(Budget!$A$20,Q21,0,ROWS(Personnel[])-Q21,1),0)+Q21,999),IFERROR(MATCH("*PhD*",OFFSET(Budget!$A$20,Q21,0,ROWS(Personnel[])-Q21,1),0)+Q21,999),IFERROR(MATCH("*PDEng*",OFFSET(Budget!$A$20,Q21,0,ROWS(Personnel[])-Q21,1),0)+Q21,999),IFERROR(MATCH("*Doctorate*",OFFSET(Budget!$A$20,Q21,0,ROWS(Personnel[])-Q21,1),0)+Q21,999)),"")</f>
        <v/>
      </c>
      <c r="R22" s="205" t="str">
        <f ca="1">IFERROR(INDEX(Personnel[Category],Q22),"")</f>
        <v/>
      </c>
      <c r="S22" s="205" t="str">
        <f ca="1">IFERROR(INDEX(Personnel[FTE],Q22),"")</f>
        <v/>
      </c>
      <c r="T22" s="205" t="str">
        <f ca="1">IFERROR(INDEX(Personnel[Months],Q22),"")</f>
        <v/>
      </c>
      <c r="U22" s="205" t="str">
        <f ca="1">SUBSTITUTE(IFERROR(INDEX(Personnel[Organisation type],Q22),""),0,"")</f>
        <v/>
      </c>
      <c r="V22" s="206" t="str">
        <f ca="1">SUBSTITUTE(IFERROR(INDEX(Personnel[Name organisation],Q22),""),0,"")</f>
        <v/>
      </c>
      <c r="W22" s="195"/>
      <c r="X22" s="207" t="str">
        <f>IF(ROW(E1559)-ROW($E$1548)&lt;ROWS(inkind[]),IFERROR(IF(INDEX(list_cofunders[private?],MATCH(Budget!F179,list_cofunders[list cofunders],0),1)="yes",Budget!H179,""),""),"")</f>
        <v/>
      </c>
      <c r="Y22" s="208" t="str">
        <f>IF(ROW(E1662)-ROW($E$1651)&lt;ROWS(incash[]),IFERROR(IF(INDEX(list_cofunders[private?],MATCH(Budget!#REF!,list_cofunders[list cofunders],0),1)="yes",Budget!#REF!,""),""),"")</f>
        <v/>
      </c>
      <c r="Z22" s="205" t="str">
        <f>IFERROR(INDEX(Personnel[FTE],X22),"")</f>
        <v/>
      </c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7"/>
      <c r="DA22" s="27"/>
      <c r="DB22" s="27"/>
      <c r="DC22" s="27"/>
      <c r="DD22" s="27"/>
      <c r="DE22" s="27"/>
      <c r="DF22" s="27"/>
      <c r="DG22" s="27"/>
      <c r="DH22" s="27"/>
    </row>
    <row r="23" spans="2:112" s="26" customFormat="1" ht="11.25" customHeight="1" outlineLevel="1" x14ac:dyDescent="0.35">
      <c r="B23" s="132" t="str">
        <f ca="1">IF(IFERROR(MATCH("*Other*",OFFSET(Budget!$A$20,B22,0,ROWS(Personnel[]),1),0)+B22,999)&lt;ROWS(Personnel[]),IFERROR(MATCH("*Other*",OFFSET(Budget!$A$20,B22,0,ROWS(Personnel[]),1),0)+B22,999),"")</f>
        <v/>
      </c>
      <c r="C23" s="115" t="str">
        <f ca="1">IFERROR(INDEX(Personnel[Amount],B23),"")</f>
        <v/>
      </c>
      <c r="D23" s="29"/>
      <c r="E23" s="132" t="str">
        <f ca="1">IF(MIN(IFERROR(MATCH("*PostDoc*",OFFSET(Budget!$A$20,E22,0,ROWS(Personnel[]),1),0)+E22,999),IFERROR(MATCH("*PhD*",OFFSET(Budget!$A$20,E22,0,ROWS(Personnel[]),1),0)+E22,999),IFERROR(MATCH("*PDEng*",OFFSET(Budget!$A$20,E22,0,ROWS(Personnel[]),1),0)+E22,999))&lt;ROWS(Personnel[]),MIN(IFERROR(MATCH("*PostDoc*",OFFSET(Budget!$A$20,E22,0,ROWS(Personnel[]),1),0)+E22,999),IFERROR(MATCH("*PhD*",OFFSET(Budget!$A$20,E22,0,ROWS(Personnel[]),1),0)+E22,999),IFERROR(MATCH("*PDEng*",OFFSET(Budget!$A$20,E22,0,ROWS(Personnel[]),1),0)+E22,999)),"")</f>
        <v/>
      </c>
      <c r="F23" s="119" t="str">
        <f ca="1">IFERROR(INDEX(Personnel[FTE],E23)*INDEX(Personnel[Months],E23)/12,"")</f>
        <v/>
      </c>
      <c r="G23" s="140"/>
      <c r="H23" s="142" t="e">
        <f ca="1">IF(IFERROR(MATCH("*researcher*",OFFSET(Budget!#REF!,H22,0,ROWS(#REF!),1),0)+H22,999)&lt;ROWS(#REF!),IFERROR(MATCH("*researcher*",OFFSET(Budget!#REF!,H22,0,ROWS(#REF!),1),0)+H22,999),"")</f>
        <v>#REF!</v>
      </c>
      <c r="I23" s="146" t="str">
        <f ca="1">IF(ISERROR(IF(AND(INDEX(#REF!,H23)&gt;=pers_oi_min_months,INDEX(#REF!,H23)/INDEX(#REF!,H23)*12/pers_other_nrhours_year&gt;=pers_oi_minFTE)=TRUE,INDEX(#REF!,H23)/12,0)),"",IF(AND(INDEX(#REF!,H23)&gt;=pers_oi_min_months,INDEX(#REF!,H23)/INDEX(#REF!,H23)*12/pers_other_nrhours_year&gt;=pers_oi_minFTE)=TRUE,INDEX(#REF!,H23)/12,""))</f>
        <v/>
      </c>
      <c r="J23" s="140"/>
      <c r="K23" s="132" t="str">
        <f ca="1">IF(IFERROR(MATCH("*Non-scientific*",OFFSET(Budget!$A$20,K22,0,ROWS(Personnel[]),1),0)+K22,999)&lt;ROWS(Personnel[]),IFERROR(MATCH("*Non-scientific*",OFFSET(Budget!$A$20,K22,0,ROWS(Personnel[]),1),0)+K22,999),"")</f>
        <v/>
      </c>
      <c r="L23" s="115" t="str">
        <f ca="1">IFERROR(INDEX(Personnel[Amount],K23),"")</f>
        <v/>
      </c>
      <c r="M23" s="195"/>
      <c r="N23" s="132" t="str">
        <f ca="1">IF(IFERROR(MATCH("*leave*",OFFSET(Budget!$A$20,N22,0,ROWS(Personnel[]),1),0)+N22,999)&lt;ROWS(Personnel[]),IFERROR(MATCH("*leave*",OFFSET(Budget!$A$20,N22,0,ROWS(Personnel[]),1),0)+N22,999),"")</f>
        <v/>
      </c>
      <c r="O23" s="137" t="str">
        <f ca="1">IFERROR(INDEX(Personnel[Months],N23)*INDEX(Personnel[FTE],N23),"")</f>
        <v/>
      </c>
      <c r="P23" s="195"/>
      <c r="Q23" s="132" t="str">
        <f ca="1">IF(MIN(IFERROR(MATCH("*PostDoc*",OFFSET(Budget!$A$20,Q22,0,ROWS(Personnel[])-Q22,1),0)+Q22,999),IFERROR(MATCH("*PhD*",OFFSET(Budget!$A$20,Q22,0,ROWS(Personnel[])-Q22,1),0)+Q22,999),IFERROR(MATCH("*PDEng*",OFFSET(Budget!$A$20,Q22,0,ROWS(Personnel[])-Q22,1),0)+Q22,999),IFERROR(MATCH("*Doctorate*",OFFSET(Budget!$A$20,Q22,0,ROWS(Personnel[])-Q22,1),0)+Q22,999))&lt;ROWS(Personnel[]),MIN(IFERROR(MATCH("*PostDoc*",OFFSET(Budget!$A$20,Q22,0,ROWS(Personnel[])-Q22,1),0)+Q22,999),IFERROR(MATCH("*PhD*",OFFSET(Budget!$A$20,Q22,0,ROWS(Personnel[])-Q22,1),0)+Q22,999),IFERROR(MATCH("*PDEng*",OFFSET(Budget!$A$20,Q22,0,ROWS(Personnel[])-Q22,1),0)+Q22,999),IFERROR(MATCH("*Doctorate*",OFFSET(Budget!$A$20,Q22,0,ROWS(Personnel[])-Q22,1),0)+Q22,999)),"")</f>
        <v/>
      </c>
      <c r="R23" s="205" t="str">
        <f ca="1">IFERROR(INDEX(Personnel[Category],Q23),"")</f>
        <v/>
      </c>
      <c r="S23" s="205" t="str">
        <f ca="1">IFERROR(INDEX(Personnel[FTE],Q23),"")</f>
        <v/>
      </c>
      <c r="T23" s="205" t="str">
        <f ca="1">IFERROR(INDEX(Personnel[Months],Q23),"")</f>
        <v/>
      </c>
      <c r="U23" s="205" t="str">
        <f ca="1">SUBSTITUTE(IFERROR(INDEX(Personnel[Organisation type],Q23),""),0,"")</f>
        <v/>
      </c>
      <c r="V23" s="206" t="str">
        <f ca="1">SUBSTITUTE(IFERROR(INDEX(Personnel[Name organisation],Q23),""),0,"")</f>
        <v/>
      </c>
      <c r="W23" s="195"/>
      <c r="X23" s="207" t="str">
        <f>IF(ROW(E1560)-ROW($E$1548)&lt;ROWS(inkind[]),IFERROR(IF(INDEX(list_cofunders[private?],MATCH(Budget!F180,list_cofunders[list cofunders],0),1)="yes",Budget!H180,""),""),"")</f>
        <v/>
      </c>
      <c r="Y23" s="208" t="str">
        <f>IF(ROW(E1663)-ROW($E$1651)&lt;ROWS(incash[]),IFERROR(IF(INDEX(list_cofunders[private?],MATCH(Budget!#REF!,list_cofunders[list cofunders],0),1)="yes",Budget!#REF!,""),""),"")</f>
        <v/>
      </c>
      <c r="Z23" s="205" t="str">
        <f>IFERROR(INDEX(Personnel[FTE],X23),"")</f>
        <v/>
      </c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7"/>
      <c r="DA23" s="27"/>
      <c r="DB23" s="27"/>
      <c r="DC23" s="27"/>
      <c r="DD23" s="27"/>
      <c r="DE23" s="27"/>
      <c r="DF23" s="27"/>
      <c r="DG23" s="27"/>
      <c r="DH23" s="27"/>
    </row>
    <row r="24" spans="2:112" s="26" customFormat="1" ht="11.25" customHeight="1" outlineLevel="1" x14ac:dyDescent="0.35">
      <c r="B24" s="132" t="str">
        <f ca="1">IF(IFERROR(MATCH("*Other*",OFFSET(Budget!$A$20,B23,0,ROWS(Personnel[]),1),0)+B23,999)&lt;ROWS(Personnel[]),IFERROR(MATCH("*Other*",OFFSET(Budget!$A$20,B23,0,ROWS(Personnel[]),1),0)+B23,999),"")</f>
        <v/>
      </c>
      <c r="C24" s="115" t="str">
        <f ca="1">IFERROR(INDEX(Personnel[Amount],B24),"")</f>
        <v/>
      </c>
      <c r="D24" s="29"/>
      <c r="E24" s="132" t="str">
        <f ca="1">IF(MIN(IFERROR(MATCH("*PostDoc*",OFFSET(Budget!$A$20,E23,0,ROWS(Personnel[]),1),0)+E23,999),IFERROR(MATCH("*PhD*",OFFSET(Budget!$A$20,E23,0,ROWS(Personnel[]),1),0)+E23,999),IFERROR(MATCH("*PDEng*",OFFSET(Budget!$A$20,E23,0,ROWS(Personnel[]),1),0)+E23,999))&lt;ROWS(Personnel[]),MIN(IFERROR(MATCH("*PostDoc*",OFFSET(Budget!$A$20,E23,0,ROWS(Personnel[]),1),0)+E23,999),IFERROR(MATCH("*PhD*",OFFSET(Budget!$A$20,E23,0,ROWS(Personnel[]),1),0)+E23,999),IFERROR(MATCH("*PDEng*",OFFSET(Budget!$A$20,E23,0,ROWS(Personnel[]),1),0)+E23,999)),"")</f>
        <v/>
      </c>
      <c r="F24" s="119" t="str">
        <f ca="1">IFERROR(INDEX(Personnel[FTE],E24)*INDEX(Personnel[Months],E24)/12,"")</f>
        <v/>
      </c>
      <c r="G24" s="140"/>
      <c r="H24" s="142" t="e">
        <f ca="1">IF(IFERROR(MATCH("*researcher*",OFFSET(Budget!#REF!,H23,0,ROWS(#REF!),1),0)+H23,999)&lt;ROWS(#REF!),IFERROR(MATCH("*researcher*",OFFSET(Budget!#REF!,H23,0,ROWS(#REF!),1),0)+H23,999),"")</f>
        <v>#REF!</v>
      </c>
      <c r="I24" s="146" t="str">
        <f ca="1">IF(ISERROR(IF(AND(INDEX(#REF!,H24)&gt;=pers_oi_min_months,INDEX(#REF!,H24)/INDEX(#REF!,H24)*12/pers_other_nrhours_year&gt;=pers_oi_minFTE)=TRUE,INDEX(#REF!,H24)/12,0)),"",IF(AND(INDEX(#REF!,H24)&gt;=pers_oi_min_months,INDEX(#REF!,H24)/INDEX(#REF!,H24)*12/pers_other_nrhours_year&gt;=pers_oi_minFTE)=TRUE,INDEX(#REF!,H24)/12,""))</f>
        <v/>
      </c>
      <c r="J24" s="140"/>
      <c r="K24" s="132" t="str">
        <f ca="1">IF(IFERROR(MATCH("*Non-scientific*",OFFSET(Budget!$A$20,K23,0,ROWS(Personnel[]),1),0)+K23,999)&lt;ROWS(Personnel[]),IFERROR(MATCH("*Non-scientific*",OFFSET(Budget!$A$20,K23,0,ROWS(Personnel[]),1),0)+K23,999),"")</f>
        <v/>
      </c>
      <c r="L24" s="115" t="str">
        <f ca="1">IFERROR(INDEX(Personnel[Amount],K24),"")</f>
        <v/>
      </c>
      <c r="M24" s="195"/>
      <c r="N24" s="132" t="str">
        <f ca="1">IF(IFERROR(MATCH("*leave*",OFFSET(Budget!$A$20,N23,0,ROWS(Personnel[]),1),0)+N23,999)&lt;ROWS(Personnel[]),IFERROR(MATCH("*leave*",OFFSET(Budget!$A$20,N23,0,ROWS(Personnel[]),1),0)+N23,999),"")</f>
        <v/>
      </c>
      <c r="O24" s="137" t="str">
        <f ca="1">IFERROR(INDEX(Personnel[Months],N24)*INDEX(Personnel[FTE],N24),"")</f>
        <v/>
      </c>
      <c r="P24" s="195"/>
      <c r="Q24" s="132" t="str">
        <f ca="1">IF(MIN(IFERROR(MATCH("*PostDoc*",OFFSET(Budget!$A$20,Q23,0,ROWS(Personnel[])-Q23,1),0)+Q23,999),IFERROR(MATCH("*PhD*",OFFSET(Budget!$A$20,Q23,0,ROWS(Personnel[])-Q23,1),0)+Q23,999),IFERROR(MATCH("*PDEng*",OFFSET(Budget!$A$20,Q23,0,ROWS(Personnel[])-Q23,1),0)+Q23,999),IFERROR(MATCH("*Doctorate*",OFFSET(Budget!$A$20,Q23,0,ROWS(Personnel[])-Q23,1),0)+Q23,999))&lt;ROWS(Personnel[]),MIN(IFERROR(MATCH("*PostDoc*",OFFSET(Budget!$A$20,Q23,0,ROWS(Personnel[])-Q23,1),0)+Q23,999),IFERROR(MATCH("*PhD*",OFFSET(Budget!$A$20,Q23,0,ROWS(Personnel[])-Q23,1),0)+Q23,999),IFERROR(MATCH("*PDEng*",OFFSET(Budget!$A$20,Q23,0,ROWS(Personnel[])-Q23,1),0)+Q23,999),IFERROR(MATCH("*Doctorate*",OFFSET(Budget!$A$20,Q23,0,ROWS(Personnel[])-Q23,1),0)+Q23,999)),"")</f>
        <v/>
      </c>
      <c r="R24" s="205" t="str">
        <f ca="1">IFERROR(INDEX(Personnel[Category],Q24),"")</f>
        <v/>
      </c>
      <c r="S24" s="205" t="str">
        <f ca="1">IFERROR(INDEX(Personnel[FTE],Q24),"")</f>
        <v/>
      </c>
      <c r="T24" s="205" t="str">
        <f ca="1">IFERROR(INDEX(Personnel[Months],Q24),"")</f>
        <v/>
      </c>
      <c r="U24" s="205" t="str">
        <f ca="1">SUBSTITUTE(IFERROR(INDEX(Personnel[Organisation type],Q24),""),0,"")</f>
        <v/>
      </c>
      <c r="V24" s="206" t="str">
        <f ca="1">SUBSTITUTE(IFERROR(INDEX(Personnel[Name organisation],Q24),""),0,"")</f>
        <v/>
      </c>
      <c r="W24" s="195"/>
      <c r="X24" s="207" t="str">
        <f>IF(ROW(E1561)-ROW($E$1548)&lt;ROWS(inkind[]),IFERROR(IF(INDEX(list_cofunders[private?],MATCH(Budget!F181,list_cofunders[list cofunders],0),1)="yes",Budget!H181,""),""),"")</f>
        <v/>
      </c>
      <c r="Y24" s="208" t="str">
        <f>IF(ROW(E1664)-ROW($E$1651)&lt;ROWS(incash[]),IFERROR(IF(INDEX(list_cofunders[private?],MATCH(Budget!#REF!,list_cofunders[list cofunders],0),1)="yes",Budget!#REF!,""),""),"")</f>
        <v/>
      </c>
      <c r="Z24" s="205" t="str">
        <f>IFERROR(INDEX(Personnel[FTE],X24),"")</f>
        <v/>
      </c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7"/>
      <c r="DA24" s="27"/>
      <c r="DB24" s="27"/>
      <c r="DC24" s="27"/>
      <c r="DD24" s="27"/>
      <c r="DE24" s="27"/>
      <c r="DF24" s="27"/>
      <c r="DG24" s="27"/>
      <c r="DH24" s="27"/>
    </row>
    <row r="25" spans="2:112" s="26" customFormat="1" ht="11.25" customHeight="1" outlineLevel="1" x14ac:dyDescent="0.35">
      <c r="B25" s="132" t="str">
        <f ca="1">IF(IFERROR(MATCH("*Other*",OFFSET(Budget!$A$20,B24,0,ROWS(Personnel[]),1),0)+B24,999)&lt;ROWS(Personnel[]),IFERROR(MATCH("*Other*",OFFSET(Budget!$A$20,B24,0,ROWS(Personnel[]),1),0)+B24,999),"")</f>
        <v/>
      </c>
      <c r="C25" s="115" t="str">
        <f ca="1">IFERROR(INDEX(Personnel[Amount],B25),"")</f>
        <v/>
      </c>
      <c r="D25" s="29"/>
      <c r="E25" s="132" t="str">
        <f ca="1">IF(MIN(IFERROR(MATCH("*PostDoc*",OFFSET(Budget!$A$20,E24,0,ROWS(Personnel[]),1),0)+E24,999),IFERROR(MATCH("*PhD*",OFFSET(Budget!$A$20,E24,0,ROWS(Personnel[]),1),0)+E24,999),IFERROR(MATCH("*PDEng*",OFFSET(Budget!$A$20,E24,0,ROWS(Personnel[]),1),0)+E24,999))&lt;ROWS(Personnel[]),MIN(IFERROR(MATCH("*PostDoc*",OFFSET(Budget!$A$20,E24,0,ROWS(Personnel[]),1),0)+E24,999),IFERROR(MATCH("*PhD*",OFFSET(Budget!$A$20,E24,0,ROWS(Personnel[]),1),0)+E24,999),IFERROR(MATCH("*PDEng*",OFFSET(Budget!$A$20,E24,0,ROWS(Personnel[]),1),0)+E24,999)),"")</f>
        <v/>
      </c>
      <c r="F25" s="119" t="str">
        <f ca="1">IFERROR(INDEX(Personnel[FTE],E25)*INDEX(Personnel[Months],E25)/12,"")</f>
        <v/>
      </c>
      <c r="G25" s="140"/>
      <c r="H25" s="142" t="e">
        <f ca="1">IF(IFERROR(MATCH("*researcher*",OFFSET(Budget!#REF!,H24,0,ROWS(#REF!),1),0)+H24,999)&lt;ROWS(#REF!),IFERROR(MATCH("*researcher*",OFFSET(Budget!#REF!,H24,0,ROWS(#REF!),1),0)+H24,999),"")</f>
        <v>#REF!</v>
      </c>
      <c r="I25" s="146" t="str">
        <f ca="1">IF(ISERROR(IF(AND(INDEX(#REF!,H25)&gt;=pers_oi_min_months,INDEX(#REF!,H25)/INDEX(#REF!,H25)*12/pers_other_nrhours_year&gt;=pers_oi_minFTE)=TRUE,INDEX(#REF!,H25)/12,0)),"",IF(AND(INDEX(#REF!,H25)&gt;=pers_oi_min_months,INDEX(#REF!,H25)/INDEX(#REF!,H25)*12/pers_other_nrhours_year&gt;=pers_oi_minFTE)=TRUE,INDEX(#REF!,H25)/12,""))</f>
        <v/>
      </c>
      <c r="J25" s="140"/>
      <c r="K25" s="132" t="str">
        <f ca="1">IF(IFERROR(MATCH("*Non-scientific*",OFFSET(Budget!$A$20,K24,0,ROWS(Personnel[]),1),0)+K24,999)&lt;ROWS(Personnel[]),IFERROR(MATCH("*Non-scientific*",OFFSET(Budget!$A$20,K24,0,ROWS(Personnel[]),1),0)+K24,999),"")</f>
        <v/>
      </c>
      <c r="L25" s="115" t="str">
        <f ca="1">IFERROR(INDEX(Personnel[Amount],K25),"")</f>
        <v/>
      </c>
      <c r="M25" s="195"/>
      <c r="N25" s="132" t="str">
        <f ca="1">IF(IFERROR(MATCH("*leave*",OFFSET(Budget!$A$20,N24,0,ROWS(Personnel[]),1),0)+N24,999)&lt;ROWS(Personnel[]),IFERROR(MATCH("*leave*",OFFSET(Budget!$A$20,N24,0,ROWS(Personnel[]),1),0)+N24,999),"")</f>
        <v/>
      </c>
      <c r="O25" s="137" t="str">
        <f ca="1">IFERROR(INDEX(Personnel[Months],N25)*INDEX(Personnel[FTE],N25),"")</f>
        <v/>
      </c>
      <c r="P25" s="195"/>
      <c r="Q25" s="132" t="str">
        <f ca="1">IF(MIN(IFERROR(MATCH("*PostDoc*",OFFSET(Budget!$A$20,Q24,0,ROWS(Personnel[])-Q24,1),0)+Q24,999),IFERROR(MATCH("*PhD*",OFFSET(Budget!$A$20,Q24,0,ROWS(Personnel[])-Q24,1),0)+Q24,999),IFERROR(MATCH("*PDEng*",OFFSET(Budget!$A$20,Q24,0,ROWS(Personnel[])-Q24,1),0)+Q24,999),IFERROR(MATCH("*Doctorate*",OFFSET(Budget!$A$20,Q24,0,ROWS(Personnel[])-Q24,1),0)+Q24,999))&lt;ROWS(Personnel[]),MIN(IFERROR(MATCH("*PostDoc*",OFFSET(Budget!$A$20,Q24,0,ROWS(Personnel[])-Q24,1),0)+Q24,999),IFERROR(MATCH("*PhD*",OFFSET(Budget!$A$20,Q24,0,ROWS(Personnel[])-Q24,1),0)+Q24,999),IFERROR(MATCH("*PDEng*",OFFSET(Budget!$A$20,Q24,0,ROWS(Personnel[])-Q24,1),0)+Q24,999),IFERROR(MATCH("*Doctorate*",OFFSET(Budget!$A$20,Q24,0,ROWS(Personnel[])-Q24,1),0)+Q24,999)),"")</f>
        <v/>
      </c>
      <c r="R25" s="205" t="str">
        <f ca="1">IFERROR(INDEX(Personnel[Category],Q25),"")</f>
        <v/>
      </c>
      <c r="S25" s="205" t="str">
        <f ca="1">IFERROR(INDEX(Personnel[FTE],Q25),"")</f>
        <v/>
      </c>
      <c r="T25" s="205" t="str">
        <f ca="1">IFERROR(INDEX(Personnel[Months],Q25),"")</f>
        <v/>
      </c>
      <c r="U25" s="205" t="str">
        <f ca="1">SUBSTITUTE(IFERROR(INDEX(Personnel[Organisation type],Q25),""),0,"")</f>
        <v/>
      </c>
      <c r="V25" s="206" t="str">
        <f ca="1">SUBSTITUTE(IFERROR(INDEX(Personnel[Name organisation],Q25),""),0,"")</f>
        <v/>
      </c>
      <c r="W25" s="195"/>
      <c r="X25" s="207" t="str">
        <f>IF(ROW(E1562)-ROW($E$1548)&lt;ROWS(inkind[]),IFERROR(IF(INDEX(list_cofunders[private?],MATCH(Budget!F182,list_cofunders[list cofunders],0),1)="yes",Budget!H182,""),""),"")</f>
        <v/>
      </c>
      <c r="Y25" s="208" t="str">
        <f>IF(ROW(E1665)-ROW($E$1651)&lt;ROWS(incash[]),IFERROR(IF(INDEX(list_cofunders[private?],MATCH(Budget!#REF!,list_cofunders[list cofunders],0),1)="yes",Budget!#REF!,""),""),"")</f>
        <v/>
      </c>
      <c r="Z25" s="205" t="str">
        <f>IFERROR(INDEX(Personnel[FTE],X25),"")</f>
        <v/>
      </c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7"/>
      <c r="DA25" s="27"/>
      <c r="DB25" s="27"/>
      <c r="DC25" s="27"/>
      <c r="DD25" s="27"/>
      <c r="DE25" s="27"/>
      <c r="DF25" s="27"/>
      <c r="DG25" s="27"/>
      <c r="DH25" s="27"/>
    </row>
    <row r="26" spans="2:112" s="26" customFormat="1" ht="11.25" customHeight="1" outlineLevel="1" x14ac:dyDescent="0.35">
      <c r="B26" s="132" t="str">
        <f ca="1">IF(IFERROR(MATCH("*Other*",OFFSET(Budget!$A$20,B25,0,ROWS(Personnel[]),1),0)+B25,999)&lt;ROWS(Personnel[]),IFERROR(MATCH("*Other*",OFFSET(Budget!$A$20,B25,0,ROWS(Personnel[]),1),0)+B25,999),"")</f>
        <v/>
      </c>
      <c r="C26" s="115" t="str">
        <f ca="1">IFERROR(INDEX(Personnel[Amount],B26),"")</f>
        <v/>
      </c>
      <c r="D26" s="29"/>
      <c r="E26" s="132" t="str">
        <f ca="1">IF(MIN(IFERROR(MATCH("*PostDoc*",OFFSET(Budget!$A$20,E25,0,ROWS(Personnel[]),1),0)+E25,999),IFERROR(MATCH("*PhD*",OFFSET(Budget!$A$20,E25,0,ROWS(Personnel[]),1),0)+E25,999),IFERROR(MATCH("*PDEng*",OFFSET(Budget!$A$20,E25,0,ROWS(Personnel[]),1),0)+E25,999))&lt;ROWS(Personnel[]),MIN(IFERROR(MATCH("*PostDoc*",OFFSET(Budget!$A$20,E25,0,ROWS(Personnel[]),1),0)+E25,999),IFERROR(MATCH("*PhD*",OFFSET(Budget!$A$20,E25,0,ROWS(Personnel[]),1),0)+E25,999),IFERROR(MATCH("*PDEng*",OFFSET(Budget!$A$20,E25,0,ROWS(Personnel[]),1),0)+E25,999)),"")</f>
        <v/>
      </c>
      <c r="F26" s="119" t="str">
        <f ca="1">IFERROR(INDEX(Personnel[FTE],E26)*INDEX(Personnel[Months],E26)/12,"")</f>
        <v/>
      </c>
      <c r="G26" s="140"/>
      <c r="H26" s="142" t="e">
        <f ca="1">IF(IFERROR(MATCH("*researcher*",OFFSET(Budget!#REF!,H25,0,ROWS(#REF!),1),0)+H25,999)&lt;ROWS(#REF!),IFERROR(MATCH("*researcher*",OFFSET(Budget!#REF!,H25,0,ROWS(#REF!),1),0)+H25,999),"")</f>
        <v>#REF!</v>
      </c>
      <c r="I26" s="146" t="str">
        <f ca="1">IF(ISERROR(IF(AND(INDEX(#REF!,H26)&gt;=pers_oi_min_months,INDEX(#REF!,H26)/INDEX(#REF!,H26)*12/pers_other_nrhours_year&gt;=pers_oi_minFTE)=TRUE,INDEX(#REF!,H26)/12,0)),"",IF(AND(INDEX(#REF!,H26)&gt;=pers_oi_min_months,INDEX(#REF!,H26)/INDEX(#REF!,H26)*12/pers_other_nrhours_year&gt;=pers_oi_minFTE)=TRUE,INDEX(#REF!,H26)/12,""))</f>
        <v/>
      </c>
      <c r="J26" s="140"/>
      <c r="K26" s="132" t="str">
        <f ca="1">IF(IFERROR(MATCH("*Non-scientific*",OFFSET(Budget!$A$20,K25,0,ROWS(Personnel[]),1),0)+K25,999)&lt;ROWS(Personnel[]),IFERROR(MATCH("*Non-scientific*",OFFSET(Budget!$A$20,K25,0,ROWS(Personnel[]),1),0)+K25,999),"")</f>
        <v/>
      </c>
      <c r="L26" s="115" t="str">
        <f ca="1">IFERROR(INDEX(Personnel[Amount],K26),"")</f>
        <v/>
      </c>
      <c r="M26" s="195"/>
      <c r="N26" s="132" t="str">
        <f ca="1">IF(IFERROR(MATCH("*leave*",OFFSET(Budget!$A$20,N25,0,ROWS(Personnel[]),1),0)+N25,999)&lt;ROWS(Personnel[]),IFERROR(MATCH("*leave*",OFFSET(Budget!$A$20,N25,0,ROWS(Personnel[]),1),0)+N25,999),"")</f>
        <v/>
      </c>
      <c r="O26" s="137" t="str">
        <f ca="1">IFERROR(INDEX(Personnel[Months],N26)*INDEX(Personnel[FTE],N26),"")</f>
        <v/>
      </c>
      <c r="P26" s="195"/>
      <c r="Q26" s="132" t="str">
        <f ca="1">IF(MIN(IFERROR(MATCH("*PostDoc*",OFFSET(Budget!$A$20,Q25,0,ROWS(Personnel[])-Q25,1),0)+Q25,999),IFERROR(MATCH("*PhD*",OFFSET(Budget!$A$20,Q25,0,ROWS(Personnel[])-Q25,1),0)+Q25,999),IFERROR(MATCH("*PDEng*",OFFSET(Budget!$A$20,Q25,0,ROWS(Personnel[])-Q25,1),0)+Q25,999),IFERROR(MATCH("*Doctorate*",OFFSET(Budget!$A$20,Q25,0,ROWS(Personnel[])-Q25,1),0)+Q25,999))&lt;ROWS(Personnel[]),MIN(IFERROR(MATCH("*PostDoc*",OFFSET(Budget!$A$20,Q25,0,ROWS(Personnel[])-Q25,1),0)+Q25,999),IFERROR(MATCH("*PhD*",OFFSET(Budget!$A$20,Q25,0,ROWS(Personnel[])-Q25,1),0)+Q25,999),IFERROR(MATCH("*PDEng*",OFFSET(Budget!$A$20,Q25,0,ROWS(Personnel[])-Q25,1),0)+Q25,999),IFERROR(MATCH("*Doctorate*",OFFSET(Budget!$A$20,Q25,0,ROWS(Personnel[])-Q25,1),0)+Q25,999)),"")</f>
        <v/>
      </c>
      <c r="R26" s="205" t="str">
        <f ca="1">IFERROR(INDEX(Personnel[Category],Q26),"")</f>
        <v/>
      </c>
      <c r="S26" s="205" t="str">
        <f ca="1">IFERROR(INDEX(Personnel[FTE],Q26),"")</f>
        <v/>
      </c>
      <c r="T26" s="205" t="str">
        <f ca="1">IFERROR(INDEX(Personnel[Months],Q26),"")</f>
        <v/>
      </c>
      <c r="U26" s="205" t="str">
        <f ca="1">SUBSTITUTE(IFERROR(INDEX(Personnel[Organisation type],Q26),""),0,"")</f>
        <v/>
      </c>
      <c r="V26" s="206" t="str">
        <f ca="1">SUBSTITUTE(IFERROR(INDEX(Personnel[Name organisation],Q26),""),0,"")</f>
        <v/>
      </c>
      <c r="W26" s="195"/>
      <c r="X26" s="207" t="str">
        <f>IF(ROW(E1563)-ROW($E$1548)&lt;ROWS(inkind[]),IFERROR(IF(INDEX(list_cofunders[private?],MATCH(Budget!#REF!,list_cofunders[list cofunders],0),1)="yes",Budget!#REF!,""),""),"")</f>
        <v/>
      </c>
      <c r="Y26" s="208" t="str">
        <f>IF(ROW(E1666)-ROW($E$1651)&lt;ROWS(incash[]),IFERROR(IF(INDEX(list_cofunders[private?],MATCH(Budget!#REF!,list_cofunders[list cofunders],0),1)="yes",Budget!#REF!,""),""),"")</f>
        <v/>
      </c>
      <c r="Z26" s="205" t="str">
        <f>IFERROR(INDEX(Personnel[FTE],X26),"")</f>
        <v/>
      </c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7"/>
      <c r="DA26" s="27"/>
      <c r="DB26" s="27"/>
      <c r="DC26" s="27"/>
      <c r="DD26" s="27"/>
      <c r="DE26" s="27"/>
      <c r="DF26" s="27"/>
      <c r="DG26" s="27"/>
      <c r="DH26" s="27"/>
    </row>
    <row r="27" spans="2:112" s="26" customFormat="1" ht="11.25" customHeight="1" outlineLevel="1" x14ac:dyDescent="0.35">
      <c r="B27" s="132" t="str">
        <f ca="1">IF(IFERROR(MATCH("*Other*",OFFSET(Budget!$A$20,B26,0,ROWS(Personnel[]),1),0)+B26,999)&lt;ROWS(Personnel[]),IFERROR(MATCH("*Other*",OFFSET(Budget!$A$20,B26,0,ROWS(Personnel[]),1),0)+B26,999),"")</f>
        <v/>
      </c>
      <c r="C27" s="115" t="str">
        <f ca="1">IFERROR(INDEX(Personnel[Amount],B27),"")</f>
        <v/>
      </c>
      <c r="D27" s="29"/>
      <c r="E27" s="132" t="str">
        <f ca="1">IF(MIN(IFERROR(MATCH("*PostDoc*",OFFSET(Budget!$A$20,E26,0,ROWS(Personnel[]),1),0)+E26,999),IFERROR(MATCH("*PhD*",OFFSET(Budget!$A$20,E26,0,ROWS(Personnel[]),1),0)+E26,999),IFERROR(MATCH("*PDEng*",OFFSET(Budget!$A$20,E26,0,ROWS(Personnel[]),1),0)+E26,999))&lt;ROWS(Personnel[]),MIN(IFERROR(MATCH("*PostDoc*",OFFSET(Budget!$A$20,E26,0,ROWS(Personnel[]),1),0)+E26,999),IFERROR(MATCH("*PhD*",OFFSET(Budget!$A$20,E26,0,ROWS(Personnel[]),1),0)+E26,999),IFERROR(MATCH("*PDEng*",OFFSET(Budget!$A$20,E26,0,ROWS(Personnel[]),1),0)+E26,999)),"")</f>
        <v/>
      </c>
      <c r="F27" s="119" t="str">
        <f ca="1">IFERROR(INDEX(Personnel[FTE],E27)*INDEX(Personnel[Months],E27)/12,"")</f>
        <v/>
      </c>
      <c r="G27" s="140"/>
      <c r="H27" s="142" t="e">
        <f ca="1">IF(IFERROR(MATCH("*researcher*",OFFSET(Budget!#REF!,H26,0,ROWS(#REF!),1),0)+H26,999)&lt;ROWS(#REF!),IFERROR(MATCH("*researcher*",OFFSET(Budget!#REF!,H26,0,ROWS(#REF!),1),0)+H26,999),"")</f>
        <v>#REF!</v>
      </c>
      <c r="I27" s="146" t="str">
        <f ca="1">IF(ISERROR(IF(AND(INDEX(#REF!,H27)&gt;=pers_oi_min_months,INDEX(#REF!,H27)/INDEX(#REF!,H27)*12/pers_other_nrhours_year&gt;=pers_oi_minFTE)=TRUE,INDEX(#REF!,H27)/12,0)),"",IF(AND(INDEX(#REF!,H27)&gt;=pers_oi_min_months,INDEX(#REF!,H27)/INDEX(#REF!,H27)*12/pers_other_nrhours_year&gt;=pers_oi_minFTE)=TRUE,INDEX(#REF!,H27)/12,""))</f>
        <v/>
      </c>
      <c r="J27" s="140"/>
      <c r="K27" s="132" t="str">
        <f ca="1">IF(IFERROR(MATCH("*Non-scientific*",OFFSET(Budget!$A$20,K26,0,ROWS(Personnel[]),1),0)+K26,999)&lt;ROWS(Personnel[]),IFERROR(MATCH("*Non-scientific*",OFFSET(Budget!$A$20,K26,0,ROWS(Personnel[]),1),0)+K26,999),"")</f>
        <v/>
      </c>
      <c r="L27" s="115" t="str">
        <f ca="1">IFERROR(INDEX(Personnel[Amount],K27),"")</f>
        <v/>
      </c>
      <c r="M27" s="195"/>
      <c r="N27" s="132" t="str">
        <f ca="1">IF(IFERROR(MATCH("*leave*",OFFSET(Budget!$A$20,N26,0,ROWS(Personnel[]),1),0)+N26,999)&lt;ROWS(Personnel[]),IFERROR(MATCH("*leave*",OFFSET(Budget!$A$20,N26,0,ROWS(Personnel[]),1),0)+N26,999),"")</f>
        <v/>
      </c>
      <c r="O27" s="137" t="str">
        <f ca="1">IFERROR(INDEX(Personnel[Months],N27)*INDEX(Personnel[FTE],N27),"")</f>
        <v/>
      </c>
      <c r="P27" s="195"/>
      <c r="Q27" s="132" t="str">
        <f ca="1">IF(MIN(IFERROR(MATCH("*PostDoc*",OFFSET(Budget!$A$20,Q26,0,ROWS(Personnel[])-Q26,1),0)+Q26,999),IFERROR(MATCH("*PhD*",OFFSET(Budget!$A$20,Q26,0,ROWS(Personnel[])-Q26,1),0)+Q26,999),IFERROR(MATCH("*PDEng*",OFFSET(Budget!$A$20,Q26,0,ROWS(Personnel[])-Q26,1),0)+Q26,999),IFERROR(MATCH("*Doctorate*",OFFSET(Budget!$A$20,Q26,0,ROWS(Personnel[])-Q26,1),0)+Q26,999))&lt;ROWS(Personnel[]),MIN(IFERROR(MATCH("*PostDoc*",OFFSET(Budget!$A$20,Q26,0,ROWS(Personnel[])-Q26,1),0)+Q26,999),IFERROR(MATCH("*PhD*",OFFSET(Budget!$A$20,Q26,0,ROWS(Personnel[])-Q26,1),0)+Q26,999),IFERROR(MATCH("*PDEng*",OFFSET(Budget!$A$20,Q26,0,ROWS(Personnel[])-Q26,1),0)+Q26,999),IFERROR(MATCH("*Doctorate*",OFFSET(Budget!$A$20,Q26,0,ROWS(Personnel[])-Q26,1),0)+Q26,999)),"")</f>
        <v/>
      </c>
      <c r="R27" s="205" t="str">
        <f ca="1">IFERROR(INDEX(Personnel[Category],Q27),"")</f>
        <v/>
      </c>
      <c r="S27" s="205" t="str">
        <f ca="1">IFERROR(INDEX(Personnel[FTE],Q27),"")</f>
        <v/>
      </c>
      <c r="T27" s="205" t="str">
        <f ca="1">IFERROR(INDEX(Personnel[Months],Q27),"")</f>
        <v/>
      </c>
      <c r="U27" s="205" t="str">
        <f ca="1">SUBSTITUTE(IFERROR(INDEX(Personnel[Organisation type],Q27),""),0,"")</f>
        <v/>
      </c>
      <c r="V27" s="206" t="str">
        <f ca="1">SUBSTITUTE(IFERROR(INDEX(Personnel[Name organisation],Q27),""),0,"")</f>
        <v/>
      </c>
      <c r="W27" s="195"/>
      <c r="X27" s="207" t="str">
        <f>IF(ROW(E1564)-ROW($E$1548)&lt;ROWS(inkind[]),IFERROR(IF(INDEX(list_cofunders[private?],MATCH(Budget!#REF!,list_cofunders[list cofunders],0),1)="yes",Budget!#REF!,""),""),"")</f>
        <v/>
      </c>
      <c r="Y27" s="208" t="str">
        <f>IF(ROW(E1667)-ROW($E$1651)&lt;ROWS(incash[]),IFERROR(IF(INDEX(list_cofunders[private?],MATCH(Budget!#REF!,list_cofunders[list cofunders],0),1)="yes",Budget!#REF!,""),""),"")</f>
        <v/>
      </c>
      <c r="Z27" s="205" t="str">
        <f>IFERROR(INDEX(Personnel[FTE],X27),"")</f>
        <v/>
      </c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7"/>
      <c r="DA27" s="27"/>
      <c r="DB27" s="27"/>
      <c r="DC27" s="27"/>
      <c r="DD27" s="27"/>
      <c r="DE27" s="27"/>
      <c r="DF27" s="27"/>
      <c r="DG27" s="27"/>
      <c r="DH27" s="27"/>
    </row>
    <row r="28" spans="2:112" s="26" customFormat="1" ht="11.25" customHeight="1" outlineLevel="1" x14ac:dyDescent="0.35">
      <c r="B28" s="132" t="str">
        <f ca="1">IF(IFERROR(MATCH("*Other*",OFFSET(Budget!$A$20,B27,0,ROWS(Personnel[]),1),0)+B27,999)&lt;ROWS(Personnel[]),IFERROR(MATCH("*Other*",OFFSET(Budget!$A$20,B27,0,ROWS(Personnel[]),1),0)+B27,999),"")</f>
        <v/>
      </c>
      <c r="C28" s="115" t="str">
        <f ca="1">IFERROR(INDEX(Personnel[Amount],B28),"")</f>
        <v/>
      </c>
      <c r="D28" s="29"/>
      <c r="E28" s="132" t="str">
        <f ca="1">IF(MIN(IFERROR(MATCH("*PostDoc*",OFFSET(Budget!$A$20,E27,0,ROWS(Personnel[]),1),0)+E27,999),IFERROR(MATCH("*PhD*",OFFSET(Budget!$A$20,E27,0,ROWS(Personnel[]),1),0)+E27,999),IFERROR(MATCH("*PDEng*",OFFSET(Budget!$A$20,E27,0,ROWS(Personnel[]),1),0)+E27,999))&lt;ROWS(Personnel[]),MIN(IFERROR(MATCH("*PostDoc*",OFFSET(Budget!$A$20,E27,0,ROWS(Personnel[]),1),0)+E27,999),IFERROR(MATCH("*PhD*",OFFSET(Budget!$A$20,E27,0,ROWS(Personnel[]),1),0)+E27,999),IFERROR(MATCH("*PDEng*",OFFSET(Budget!$A$20,E27,0,ROWS(Personnel[]),1),0)+E27,999)),"")</f>
        <v/>
      </c>
      <c r="F28" s="119" t="str">
        <f ca="1">IFERROR(INDEX(Personnel[FTE],E28)*INDEX(Personnel[Months],E28)/12,"")</f>
        <v/>
      </c>
      <c r="G28" s="140"/>
      <c r="H28" s="142" t="e">
        <f ca="1">IF(IFERROR(MATCH("*researcher*",OFFSET(Budget!#REF!,H27,0,ROWS(#REF!),1),0)+H27,999)&lt;ROWS(#REF!),IFERROR(MATCH("*researcher*",OFFSET(Budget!#REF!,H27,0,ROWS(#REF!),1),0)+H27,999),"")</f>
        <v>#REF!</v>
      </c>
      <c r="I28" s="146" t="str">
        <f ca="1">IF(ISERROR(IF(AND(INDEX(#REF!,H28)&gt;=pers_oi_min_months,INDEX(#REF!,H28)/INDEX(#REF!,H28)*12/pers_other_nrhours_year&gt;=pers_oi_minFTE)=TRUE,INDEX(#REF!,H28)/12,0)),"",IF(AND(INDEX(#REF!,H28)&gt;=pers_oi_min_months,INDEX(#REF!,H28)/INDEX(#REF!,H28)*12/pers_other_nrhours_year&gt;=pers_oi_minFTE)=TRUE,INDEX(#REF!,H28)/12,""))</f>
        <v/>
      </c>
      <c r="J28" s="140"/>
      <c r="K28" s="132" t="str">
        <f ca="1">IF(IFERROR(MATCH("*Non-scientific*",OFFSET(Budget!$A$20,K27,0,ROWS(Personnel[]),1),0)+K27,999)&lt;ROWS(Personnel[]),IFERROR(MATCH("*Non-scientific*",OFFSET(Budget!$A$20,K27,0,ROWS(Personnel[]),1),0)+K27,999),"")</f>
        <v/>
      </c>
      <c r="L28" s="115" t="str">
        <f ca="1">IFERROR(INDEX(Personnel[Amount],K28),"")</f>
        <v/>
      </c>
      <c r="M28" s="195"/>
      <c r="N28" s="132" t="str">
        <f ca="1">IF(IFERROR(MATCH("*leave*",OFFSET(Budget!$A$20,N27,0,ROWS(Personnel[]),1),0)+N27,999)&lt;ROWS(Personnel[]),IFERROR(MATCH("*leave*",OFFSET(Budget!$A$20,N27,0,ROWS(Personnel[]),1),0)+N27,999),"")</f>
        <v/>
      </c>
      <c r="O28" s="137" t="str">
        <f ca="1">IFERROR(INDEX(Personnel[Months],N28)*INDEX(Personnel[FTE],N28),"")</f>
        <v/>
      </c>
      <c r="P28" s="195"/>
      <c r="Q28" s="132" t="str">
        <f ca="1">IF(MIN(IFERROR(MATCH("*PostDoc*",OFFSET(Budget!$A$20,Q27,0,ROWS(Personnel[])-Q27,1),0)+Q27,999),IFERROR(MATCH("*PhD*",OFFSET(Budget!$A$20,Q27,0,ROWS(Personnel[])-Q27,1),0)+Q27,999),IFERROR(MATCH("*PDEng*",OFFSET(Budget!$A$20,Q27,0,ROWS(Personnel[])-Q27,1),0)+Q27,999),IFERROR(MATCH("*Doctorate*",OFFSET(Budget!$A$20,Q27,0,ROWS(Personnel[])-Q27,1),0)+Q27,999))&lt;ROWS(Personnel[]),MIN(IFERROR(MATCH("*PostDoc*",OFFSET(Budget!$A$20,Q27,0,ROWS(Personnel[])-Q27,1),0)+Q27,999),IFERROR(MATCH("*PhD*",OFFSET(Budget!$A$20,Q27,0,ROWS(Personnel[])-Q27,1),0)+Q27,999),IFERROR(MATCH("*PDEng*",OFFSET(Budget!$A$20,Q27,0,ROWS(Personnel[])-Q27,1),0)+Q27,999),IFERROR(MATCH("*Doctorate*",OFFSET(Budget!$A$20,Q27,0,ROWS(Personnel[])-Q27,1),0)+Q27,999)),"")</f>
        <v/>
      </c>
      <c r="R28" s="205" t="str">
        <f ca="1">IFERROR(INDEX(Personnel[Category],Q28),"")</f>
        <v/>
      </c>
      <c r="S28" s="205" t="str">
        <f ca="1">IFERROR(INDEX(Personnel[FTE],Q28),"")</f>
        <v/>
      </c>
      <c r="T28" s="205" t="str">
        <f ca="1">IFERROR(INDEX(Personnel[Months],Q28),"")</f>
        <v/>
      </c>
      <c r="U28" s="205" t="str">
        <f ca="1">SUBSTITUTE(IFERROR(INDEX(Personnel[Organisation type],Q28),""),0,"")</f>
        <v/>
      </c>
      <c r="V28" s="206" t="str">
        <f ca="1">SUBSTITUTE(IFERROR(INDEX(Personnel[Name organisation],Q28),""),0,"")</f>
        <v/>
      </c>
      <c r="W28" s="195"/>
      <c r="X28" s="207" t="str">
        <f>IF(ROW(E1565)-ROW($E$1548)&lt;ROWS(inkind[]),IFERROR(IF(INDEX(list_cofunders[private?],MATCH(Budget!#REF!,list_cofunders[list cofunders],0),1)="yes",Budget!#REF!,""),""),"")</f>
        <v/>
      </c>
      <c r="Y28" s="208" t="str">
        <f>IF(ROW(E1668)-ROW($E$1651)&lt;ROWS(incash[]),IFERROR(IF(INDEX(list_cofunders[private?],MATCH(Budget!#REF!,list_cofunders[list cofunders],0),1)="yes",Budget!#REF!,""),""),"")</f>
        <v/>
      </c>
      <c r="Z28" s="205" t="str">
        <f>IFERROR(INDEX(Personnel[FTE],X28),"")</f>
        <v/>
      </c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7"/>
      <c r="DA28" s="27"/>
      <c r="DB28" s="27"/>
      <c r="DC28" s="27"/>
      <c r="DD28" s="27"/>
      <c r="DE28" s="27"/>
      <c r="DF28" s="27"/>
      <c r="DG28" s="27"/>
      <c r="DH28" s="27"/>
    </row>
    <row r="29" spans="2:112" s="26" customFormat="1" ht="11.25" customHeight="1" outlineLevel="1" x14ac:dyDescent="0.35">
      <c r="B29" s="132" t="str">
        <f ca="1">IF(IFERROR(MATCH("*Other*",OFFSET(Budget!$A$20,B28,0,ROWS(Personnel[]),1),0)+B28,999)&lt;ROWS(Personnel[]),IFERROR(MATCH("*Other*",OFFSET(Budget!$A$20,B28,0,ROWS(Personnel[]),1),0)+B28,999),"")</f>
        <v/>
      </c>
      <c r="C29" s="115" t="str">
        <f ca="1">IFERROR(INDEX(Personnel[Amount],B29),"")</f>
        <v/>
      </c>
      <c r="D29" s="29"/>
      <c r="E29" s="132" t="str">
        <f ca="1">IF(MIN(IFERROR(MATCH("*PostDoc*",OFFSET(Budget!$A$20,E28,0,ROWS(Personnel[]),1),0)+E28,999),IFERROR(MATCH("*PhD*",OFFSET(Budget!$A$20,E28,0,ROWS(Personnel[]),1),0)+E28,999),IFERROR(MATCH("*PDEng*",OFFSET(Budget!$A$20,E28,0,ROWS(Personnel[]),1),0)+E28,999))&lt;ROWS(Personnel[]),MIN(IFERROR(MATCH("*PostDoc*",OFFSET(Budget!$A$20,E28,0,ROWS(Personnel[]),1),0)+E28,999),IFERROR(MATCH("*PhD*",OFFSET(Budget!$A$20,E28,0,ROWS(Personnel[]),1),0)+E28,999),IFERROR(MATCH("*PDEng*",OFFSET(Budget!$A$20,E28,0,ROWS(Personnel[]),1),0)+E28,999)),"")</f>
        <v/>
      </c>
      <c r="F29" s="119" t="str">
        <f ca="1">IFERROR(INDEX(Personnel[FTE],E29)*INDEX(Personnel[Months],E29)/12,"")</f>
        <v/>
      </c>
      <c r="G29" s="140"/>
      <c r="H29" s="142" t="e">
        <f ca="1">IF(IFERROR(MATCH("*researcher*",OFFSET(Budget!#REF!,H28,0,ROWS(#REF!),1),0)+H28,999)&lt;ROWS(#REF!),IFERROR(MATCH("*researcher*",OFFSET(Budget!#REF!,H28,0,ROWS(#REF!),1),0)+H28,999),"")</f>
        <v>#REF!</v>
      </c>
      <c r="I29" s="146" t="str">
        <f ca="1">IF(ISERROR(IF(AND(INDEX(#REF!,H29)&gt;=pers_oi_min_months,INDEX(#REF!,H29)/INDEX(#REF!,H29)*12/pers_other_nrhours_year&gt;=pers_oi_minFTE)=TRUE,INDEX(#REF!,H29)/12,0)),"",IF(AND(INDEX(#REF!,H29)&gt;=pers_oi_min_months,INDEX(#REF!,H29)/INDEX(#REF!,H29)*12/pers_other_nrhours_year&gt;=pers_oi_minFTE)=TRUE,INDEX(#REF!,H29)/12,""))</f>
        <v/>
      </c>
      <c r="J29" s="140"/>
      <c r="K29" s="132" t="str">
        <f ca="1">IF(IFERROR(MATCH("*Non-scientific*",OFFSET(Budget!$A$20,K28,0,ROWS(Personnel[]),1),0)+K28,999)&lt;ROWS(Personnel[]),IFERROR(MATCH("*Non-scientific*",OFFSET(Budget!$A$20,K28,0,ROWS(Personnel[]),1),0)+K28,999),"")</f>
        <v/>
      </c>
      <c r="L29" s="115" t="str">
        <f ca="1">IFERROR(INDEX(Personnel[Amount],K29),"")</f>
        <v/>
      </c>
      <c r="M29" s="195"/>
      <c r="N29" s="132" t="str">
        <f ca="1">IF(IFERROR(MATCH("*leave*",OFFSET(Budget!$A$20,N28,0,ROWS(Personnel[]),1),0)+N28,999)&lt;ROWS(Personnel[]),IFERROR(MATCH("*leave*",OFFSET(Budget!$A$20,N28,0,ROWS(Personnel[]),1),0)+N28,999),"")</f>
        <v/>
      </c>
      <c r="O29" s="137" t="str">
        <f ca="1">IFERROR(INDEX(Personnel[Months],N29)*INDEX(Personnel[FTE],N29),"")</f>
        <v/>
      </c>
      <c r="P29" s="195"/>
      <c r="Q29" s="132" t="str">
        <f ca="1">IF(MIN(IFERROR(MATCH("*PostDoc*",OFFSET(Budget!$A$20,Q28,0,ROWS(Personnel[])-Q28,1),0)+Q28,999),IFERROR(MATCH("*PhD*",OFFSET(Budget!$A$20,Q28,0,ROWS(Personnel[])-Q28,1),0)+Q28,999),IFERROR(MATCH("*PDEng*",OFFSET(Budget!$A$20,Q28,0,ROWS(Personnel[])-Q28,1),0)+Q28,999),IFERROR(MATCH("*Doctorate*",OFFSET(Budget!$A$20,Q28,0,ROWS(Personnel[])-Q28,1),0)+Q28,999))&lt;ROWS(Personnel[]),MIN(IFERROR(MATCH("*PostDoc*",OFFSET(Budget!$A$20,Q28,0,ROWS(Personnel[])-Q28,1),0)+Q28,999),IFERROR(MATCH("*PhD*",OFFSET(Budget!$A$20,Q28,0,ROWS(Personnel[])-Q28,1),0)+Q28,999),IFERROR(MATCH("*PDEng*",OFFSET(Budget!$A$20,Q28,0,ROWS(Personnel[])-Q28,1),0)+Q28,999),IFERROR(MATCH("*Doctorate*",OFFSET(Budget!$A$20,Q28,0,ROWS(Personnel[])-Q28,1),0)+Q28,999)),"")</f>
        <v/>
      </c>
      <c r="R29" s="205" t="str">
        <f ca="1">IFERROR(INDEX(Personnel[Category],Q29),"")</f>
        <v/>
      </c>
      <c r="S29" s="205" t="str">
        <f ca="1">IFERROR(INDEX(Personnel[FTE],Q29),"")</f>
        <v/>
      </c>
      <c r="T29" s="205" t="str">
        <f ca="1">IFERROR(INDEX(Personnel[Months],Q29),"")</f>
        <v/>
      </c>
      <c r="U29" s="205" t="str">
        <f ca="1">SUBSTITUTE(IFERROR(INDEX(Personnel[Organisation type],Q29),""),0,"")</f>
        <v/>
      </c>
      <c r="V29" s="206" t="str">
        <f ca="1">SUBSTITUTE(IFERROR(INDEX(Personnel[Name organisation],Q29),""),0,"")</f>
        <v/>
      </c>
      <c r="W29" s="195"/>
      <c r="X29" s="207" t="str">
        <f>IF(ROW(E1566)-ROW($E$1548)&lt;ROWS(inkind[]),IFERROR(IF(INDEX(list_cofunders[private?],MATCH(Budget!#REF!,list_cofunders[list cofunders],0),1)="yes",Budget!#REF!,""),""),"")</f>
        <v/>
      </c>
      <c r="Y29" s="208" t="str">
        <f>IF(ROW(E1669)-ROW($E$1651)&lt;ROWS(incash[]),IFERROR(IF(INDEX(list_cofunders[private?],MATCH(Budget!#REF!,list_cofunders[list cofunders],0),1)="yes",Budget!#REF!,""),""),"")</f>
        <v/>
      </c>
      <c r="Z29" s="205" t="str">
        <f>IFERROR(INDEX(Personnel[FTE],X29),"")</f>
        <v/>
      </c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7"/>
      <c r="DA29" s="27"/>
      <c r="DB29" s="27"/>
      <c r="DC29" s="27"/>
      <c r="DD29" s="27"/>
      <c r="DE29" s="27"/>
      <c r="DF29" s="27"/>
      <c r="DG29" s="27"/>
      <c r="DH29" s="27"/>
    </row>
    <row r="30" spans="2:112" s="26" customFormat="1" ht="11.25" customHeight="1" outlineLevel="1" x14ac:dyDescent="0.35">
      <c r="B30" s="132" t="str">
        <f ca="1">IF(IFERROR(MATCH("*Other*",OFFSET(Budget!$A$20,B29,0,ROWS(Personnel[]),1),0)+B29,999)&lt;ROWS(Personnel[]),IFERROR(MATCH("*Other*",OFFSET(Budget!$A$20,B29,0,ROWS(Personnel[]),1),0)+B29,999),"")</f>
        <v/>
      </c>
      <c r="C30" s="115" t="str">
        <f ca="1">IFERROR(INDEX(Personnel[Amount],B30),"")</f>
        <v/>
      </c>
      <c r="D30" s="29"/>
      <c r="E30" s="132" t="str">
        <f ca="1">IF(MIN(IFERROR(MATCH("*PostDoc*",OFFSET(Budget!$A$20,E29,0,ROWS(Personnel[]),1),0)+E29,999),IFERROR(MATCH("*PhD*",OFFSET(Budget!$A$20,E29,0,ROWS(Personnel[]),1),0)+E29,999),IFERROR(MATCH("*PDEng*",OFFSET(Budget!$A$20,E29,0,ROWS(Personnel[]),1),0)+E29,999))&lt;ROWS(Personnel[]),MIN(IFERROR(MATCH("*PostDoc*",OFFSET(Budget!$A$20,E29,0,ROWS(Personnel[]),1),0)+E29,999),IFERROR(MATCH("*PhD*",OFFSET(Budget!$A$20,E29,0,ROWS(Personnel[]),1),0)+E29,999),IFERROR(MATCH("*PDEng*",OFFSET(Budget!$A$20,E29,0,ROWS(Personnel[]),1),0)+E29,999)),"")</f>
        <v/>
      </c>
      <c r="F30" s="119" t="str">
        <f ca="1">IFERROR(INDEX(Personnel[FTE],E30)*INDEX(Personnel[Months],E30)/12,"")</f>
        <v/>
      </c>
      <c r="G30" s="140"/>
      <c r="H30" s="142" t="e">
        <f ca="1">IF(IFERROR(MATCH("*researcher*",OFFSET(Budget!#REF!,H29,0,ROWS(#REF!),1),0)+H29,999)&lt;ROWS(#REF!),IFERROR(MATCH("*researcher*",OFFSET(Budget!#REF!,H29,0,ROWS(#REF!),1),0)+H29,999),"")</f>
        <v>#REF!</v>
      </c>
      <c r="I30" s="146" t="str">
        <f ca="1">IF(ISERROR(IF(AND(INDEX(#REF!,H30)&gt;=pers_oi_min_months,INDEX(#REF!,H30)/INDEX(#REF!,H30)*12/pers_other_nrhours_year&gt;=pers_oi_minFTE)=TRUE,INDEX(#REF!,H30)/12,0)),"",IF(AND(INDEX(#REF!,H30)&gt;=pers_oi_min_months,INDEX(#REF!,H30)/INDEX(#REF!,H30)*12/pers_other_nrhours_year&gt;=pers_oi_minFTE)=TRUE,INDEX(#REF!,H30)/12,""))</f>
        <v/>
      </c>
      <c r="J30" s="140"/>
      <c r="K30" s="132" t="str">
        <f ca="1">IF(IFERROR(MATCH("*Non-scientific*",OFFSET(Budget!$A$20,K29,0,ROWS(Personnel[]),1),0)+K29,999)&lt;ROWS(Personnel[]),IFERROR(MATCH("*Non-scientific*",OFFSET(Budget!$A$20,K29,0,ROWS(Personnel[]),1),0)+K29,999),"")</f>
        <v/>
      </c>
      <c r="L30" s="115" t="str">
        <f ca="1">IFERROR(INDEX(Personnel[Amount],K30),"")</f>
        <v/>
      </c>
      <c r="M30" s="195"/>
      <c r="N30" s="132" t="str">
        <f ca="1">IF(IFERROR(MATCH("*leave*",OFFSET(Budget!$A$20,N29,0,ROWS(Personnel[]),1),0)+N29,999)&lt;ROWS(Personnel[]),IFERROR(MATCH("*leave*",OFFSET(Budget!$A$20,N29,0,ROWS(Personnel[]),1),0)+N29,999),"")</f>
        <v/>
      </c>
      <c r="O30" s="137" t="str">
        <f ca="1">IFERROR(INDEX(Personnel[Months],N30)*INDEX(Personnel[FTE],N30),"")</f>
        <v/>
      </c>
      <c r="P30" s="195"/>
      <c r="Q30" s="132" t="str">
        <f ca="1">IF(MIN(IFERROR(MATCH("*PostDoc*",OFFSET(Budget!$A$20,Q29,0,ROWS(Personnel[])-Q29,1),0)+Q29,999),IFERROR(MATCH("*PhD*",OFFSET(Budget!$A$20,Q29,0,ROWS(Personnel[])-Q29,1),0)+Q29,999),IFERROR(MATCH("*PDEng*",OFFSET(Budget!$A$20,Q29,0,ROWS(Personnel[])-Q29,1),0)+Q29,999),IFERROR(MATCH("*Doctorate*",OFFSET(Budget!$A$20,Q29,0,ROWS(Personnel[])-Q29,1),0)+Q29,999))&lt;ROWS(Personnel[]),MIN(IFERROR(MATCH("*PostDoc*",OFFSET(Budget!$A$20,Q29,0,ROWS(Personnel[])-Q29,1),0)+Q29,999),IFERROR(MATCH("*PhD*",OFFSET(Budget!$A$20,Q29,0,ROWS(Personnel[])-Q29,1),0)+Q29,999),IFERROR(MATCH("*PDEng*",OFFSET(Budget!$A$20,Q29,0,ROWS(Personnel[])-Q29,1),0)+Q29,999),IFERROR(MATCH("*Doctorate*",OFFSET(Budget!$A$20,Q29,0,ROWS(Personnel[])-Q29,1),0)+Q29,999)),"")</f>
        <v/>
      </c>
      <c r="R30" s="205" t="str">
        <f ca="1">IFERROR(INDEX(Personnel[Category],Q30),"")</f>
        <v/>
      </c>
      <c r="S30" s="205" t="str">
        <f ca="1">IFERROR(INDEX(Personnel[FTE],Q30),"")</f>
        <v/>
      </c>
      <c r="T30" s="205" t="str">
        <f ca="1">IFERROR(INDEX(Personnel[Months],Q30),"")</f>
        <v/>
      </c>
      <c r="U30" s="205" t="str">
        <f ca="1">SUBSTITUTE(IFERROR(INDEX(Personnel[Organisation type],Q30),""),0,"")</f>
        <v/>
      </c>
      <c r="V30" s="206" t="str">
        <f ca="1">SUBSTITUTE(IFERROR(INDEX(Personnel[Name organisation],Q30),""),0,"")</f>
        <v/>
      </c>
      <c r="W30" s="195"/>
      <c r="X30" s="207" t="str">
        <f>IF(ROW(E1567)-ROW($E$1548)&lt;ROWS(inkind[]),IFERROR(IF(INDEX(list_cofunders[private?],MATCH(Budget!#REF!,list_cofunders[list cofunders],0),1)="yes",Budget!#REF!,""),""),"")</f>
        <v/>
      </c>
      <c r="Y30" s="208" t="str">
        <f>IF(ROW(E1670)-ROW($E$1651)&lt;ROWS(incash[]),IFERROR(IF(INDEX(list_cofunders[private?],MATCH(Budget!#REF!,list_cofunders[list cofunders],0),1)="yes",Budget!#REF!,""),""),"")</f>
        <v/>
      </c>
      <c r="Z30" s="205" t="str">
        <f>IFERROR(INDEX(Personnel[FTE],X30),"")</f>
        <v/>
      </c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7"/>
      <c r="DA30" s="27"/>
      <c r="DB30" s="27"/>
      <c r="DC30" s="27"/>
      <c r="DD30" s="27"/>
      <c r="DE30" s="27"/>
      <c r="DF30" s="27"/>
      <c r="DG30" s="27"/>
      <c r="DH30" s="27"/>
    </row>
    <row r="31" spans="2:112" s="26" customFormat="1" ht="11.25" customHeight="1" outlineLevel="1" x14ac:dyDescent="0.35">
      <c r="B31" s="132" t="str">
        <f ca="1">IF(IFERROR(MATCH("*Other*",OFFSET(Budget!$A$20,B30,0,ROWS(Personnel[]),1),0)+B30,999)&lt;ROWS(Personnel[]),IFERROR(MATCH("*Other*",OFFSET(Budget!$A$20,B30,0,ROWS(Personnel[]),1),0)+B30,999),"")</f>
        <v/>
      </c>
      <c r="C31" s="115" t="str">
        <f ca="1">IFERROR(INDEX(Personnel[Amount],B31),"")</f>
        <v/>
      </c>
      <c r="D31" s="29"/>
      <c r="E31" s="132" t="str">
        <f ca="1">IF(MIN(IFERROR(MATCH("*PostDoc*",OFFSET(Budget!$A$20,E30,0,ROWS(Personnel[]),1),0)+E30,999),IFERROR(MATCH("*PhD*",OFFSET(Budget!$A$20,E30,0,ROWS(Personnel[]),1),0)+E30,999),IFERROR(MATCH("*PDEng*",OFFSET(Budget!$A$20,E30,0,ROWS(Personnel[]),1),0)+E30,999))&lt;ROWS(Personnel[]),MIN(IFERROR(MATCH("*PostDoc*",OFFSET(Budget!$A$20,E30,0,ROWS(Personnel[]),1),0)+E30,999),IFERROR(MATCH("*PhD*",OFFSET(Budget!$A$20,E30,0,ROWS(Personnel[]),1),0)+E30,999),IFERROR(MATCH("*PDEng*",OFFSET(Budget!$A$20,E30,0,ROWS(Personnel[]),1),0)+E30,999)),"")</f>
        <v/>
      </c>
      <c r="F31" s="119" t="str">
        <f ca="1">IFERROR(INDEX(Personnel[FTE],E31)*INDEX(Personnel[Months],E31)/12,"")</f>
        <v/>
      </c>
      <c r="G31" s="140"/>
      <c r="H31" s="142" t="e">
        <f ca="1">IF(IFERROR(MATCH("*researcher*",OFFSET(Budget!#REF!,H30,0,ROWS(#REF!),1),0)+H30,999)&lt;ROWS(#REF!),IFERROR(MATCH("*researcher*",OFFSET(Budget!#REF!,H30,0,ROWS(#REF!),1),0)+H30,999),"")</f>
        <v>#REF!</v>
      </c>
      <c r="I31" s="146" t="str">
        <f ca="1">IF(ISERROR(IF(AND(INDEX(#REF!,H31)&gt;=pers_oi_min_months,INDEX(#REF!,H31)/INDEX(#REF!,H31)*12/pers_other_nrhours_year&gt;=pers_oi_minFTE)=TRUE,INDEX(#REF!,H31)/12,0)),"",IF(AND(INDEX(#REF!,H31)&gt;=pers_oi_min_months,INDEX(#REF!,H31)/INDEX(#REF!,H31)*12/pers_other_nrhours_year&gt;=pers_oi_minFTE)=TRUE,INDEX(#REF!,H31)/12,""))</f>
        <v/>
      </c>
      <c r="J31" s="140"/>
      <c r="K31" s="132" t="str">
        <f ca="1">IF(IFERROR(MATCH("*Non-scientific*",OFFSET(Budget!$A$20,K30,0,ROWS(Personnel[]),1),0)+K30,999)&lt;ROWS(Personnel[]),IFERROR(MATCH("*Non-scientific*",OFFSET(Budget!$A$20,K30,0,ROWS(Personnel[]),1),0)+K30,999),"")</f>
        <v/>
      </c>
      <c r="L31" s="115" t="str">
        <f ca="1">IFERROR(INDEX(Personnel[Amount],K31),"")</f>
        <v/>
      </c>
      <c r="M31" s="195"/>
      <c r="N31" s="132" t="str">
        <f ca="1">IF(IFERROR(MATCH("*leave*",OFFSET(Budget!$A$20,N30,0,ROWS(Personnel[]),1),0)+N30,999)&lt;ROWS(Personnel[]),IFERROR(MATCH("*leave*",OFFSET(Budget!$A$20,N30,0,ROWS(Personnel[]),1),0)+N30,999),"")</f>
        <v/>
      </c>
      <c r="O31" s="137" t="str">
        <f ca="1">IFERROR(INDEX(Personnel[Months],N31)*INDEX(Personnel[FTE],N31),"")</f>
        <v/>
      </c>
      <c r="P31" s="195"/>
      <c r="Q31" s="132" t="str">
        <f ca="1">IF(MIN(IFERROR(MATCH("*PostDoc*",OFFSET(Budget!$A$20,Q30,0,ROWS(Personnel[])-Q30,1),0)+Q30,999),IFERROR(MATCH("*PhD*",OFFSET(Budget!$A$20,Q30,0,ROWS(Personnel[])-Q30,1),0)+Q30,999),IFERROR(MATCH("*PDEng*",OFFSET(Budget!$A$20,Q30,0,ROWS(Personnel[])-Q30,1),0)+Q30,999),IFERROR(MATCH("*Doctorate*",OFFSET(Budget!$A$20,Q30,0,ROWS(Personnel[])-Q30,1),0)+Q30,999))&lt;ROWS(Personnel[]),MIN(IFERROR(MATCH("*PostDoc*",OFFSET(Budget!$A$20,Q30,0,ROWS(Personnel[])-Q30,1),0)+Q30,999),IFERROR(MATCH("*PhD*",OFFSET(Budget!$A$20,Q30,0,ROWS(Personnel[])-Q30,1),0)+Q30,999),IFERROR(MATCH("*PDEng*",OFFSET(Budget!$A$20,Q30,0,ROWS(Personnel[])-Q30,1),0)+Q30,999),IFERROR(MATCH("*Doctorate*",OFFSET(Budget!$A$20,Q30,0,ROWS(Personnel[])-Q30,1),0)+Q30,999)),"")</f>
        <v/>
      </c>
      <c r="R31" s="205" t="str">
        <f ca="1">IFERROR(INDEX(Personnel[Category],Q31),"")</f>
        <v/>
      </c>
      <c r="S31" s="205" t="str">
        <f ca="1">IFERROR(INDEX(Personnel[FTE],Q31),"")</f>
        <v/>
      </c>
      <c r="T31" s="205" t="str">
        <f ca="1">IFERROR(INDEX(Personnel[Months],Q31),"")</f>
        <v/>
      </c>
      <c r="U31" s="205" t="str">
        <f ca="1">SUBSTITUTE(IFERROR(INDEX(Personnel[Organisation type],Q31),""),0,"")</f>
        <v/>
      </c>
      <c r="V31" s="206" t="str">
        <f ca="1">SUBSTITUTE(IFERROR(INDEX(Personnel[Name organisation],Q31),""),0,"")</f>
        <v/>
      </c>
      <c r="W31" s="195"/>
      <c r="X31" s="207" t="str">
        <f>IF(ROW(E1568)-ROW($E$1548)&lt;ROWS(inkind[]),IFERROR(IF(INDEX(list_cofunders[private?],MATCH(Budget!#REF!,list_cofunders[list cofunders],0),1)="yes",Budget!#REF!,""),""),"")</f>
        <v/>
      </c>
      <c r="Y31" s="208" t="str">
        <f>IF(ROW(E1671)-ROW($E$1651)&lt;ROWS(incash[]),IFERROR(IF(INDEX(list_cofunders[private?],MATCH(Budget!#REF!,list_cofunders[list cofunders],0),1)="yes",Budget!#REF!,""),""),"")</f>
        <v/>
      </c>
      <c r="Z31" s="205" t="str">
        <f>IFERROR(INDEX(Personnel[FTE],X31),"")</f>
        <v/>
      </c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7"/>
      <c r="DA31" s="27"/>
      <c r="DB31" s="27"/>
      <c r="DC31" s="27"/>
      <c r="DD31" s="27"/>
      <c r="DE31" s="27"/>
      <c r="DF31" s="27"/>
      <c r="DG31" s="27"/>
      <c r="DH31" s="27"/>
    </row>
    <row r="32" spans="2:112" s="26" customFormat="1" ht="11.25" customHeight="1" outlineLevel="1" x14ac:dyDescent="0.35">
      <c r="B32" s="132" t="str">
        <f ca="1">IF(IFERROR(MATCH("*Other*",OFFSET(Budget!$A$20,B31,0,ROWS(Personnel[]),1),0)+B31,999)&lt;ROWS(Personnel[]),IFERROR(MATCH("*Other*",OFFSET(Budget!$A$20,B31,0,ROWS(Personnel[]),1),0)+B31,999),"")</f>
        <v/>
      </c>
      <c r="C32" s="115" t="str">
        <f ca="1">IFERROR(INDEX(Personnel[Amount],B32),"")</f>
        <v/>
      </c>
      <c r="D32" s="29"/>
      <c r="E32" s="132" t="str">
        <f ca="1">IF(MIN(IFERROR(MATCH("*PostDoc*",OFFSET(Budget!$A$20,E31,0,ROWS(Personnel[]),1),0)+E31,999),IFERROR(MATCH("*PhD*",OFFSET(Budget!$A$20,E31,0,ROWS(Personnel[]),1),0)+E31,999),IFERROR(MATCH("*PDEng*",OFFSET(Budget!$A$20,E31,0,ROWS(Personnel[]),1),0)+E31,999))&lt;ROWS(Personnel[]),MIN(IFERROR(MATCH("*PostDoc*",OFFSET(Budget!$A$20,E31,0,ROWS(Personnel[]),1),0)+E31,999),IFERROR(MATCH("*PhD*",OFFSET(Budget!$A$20,E31,0,ROWS(Personnel[]),1),0)+E31,999),IFERROR(MATCH("*PDEng*",OFFSET(Budget!$A$20,E31,0,ROWS(Personnel[]),1),0)+E31,999)),"")</f>
        <v/>
      </c>
      <c r="F32" s="119" t="str">
        <f ca="1">IFERROR(INDEX(Personnel[FTE],E32)*INDEX(Personnel[Months],E32)/12,"")</f>
        <v/>
      </c>
      <c r="G32" s="140"/>
      <c r="H32" s="142" t="e">
        <f ca="1">IF(IFERROR(MATCH("*researcher*",OFFSET(Budget!#REF!,H31,0,ROWS(#REF!),1),0)+H31,999)&lt;ROWS(#REF!),IFERROR(MATCH("*researcher*",OFFSET(Budget!#REF!,H31,0,ROWS(#REF!),1),0)+H31,999),"")</f>
        <v>#REF!</v>
      </c>
      <c r="I32" s="146" t="str">
        <f ca="1">IF(ISERROR(IF(AND(INDEX(#REF!,H32)&gt;=pers_oi_min_months,INDEX(#REF!,H32)/INDEX(#REF!,H32)*12/pers_other_nrhours_year&gt;=pers_oi_minFTE)=TRUE,INDEX(#REF!,H32)/12,0)),"",IF(AND(INDEX(#REF!,H32)&gt;=pers_oi_min_months,INDEX(#REF!,H32)/INDEX(#REF!,H32)*12/pers_other_nrhours_year&gt;=pers_oi_minFTE)=TRUE,INDEX(#REF!,H32)/12,""))</f>
        <v/>
      </c>
      <c r="J32" s="140"/>
      <c r="K32" s="132" t="str">
        <f ca="1">IF(IFERROR(MATCH("*Non-scientific*",OFFSET(Budget!$A$20,K31,0,ROWS(Personnel[]),1),0)+K31,999)&lt;ROWS(Personnel[]),IFERROR(MATCH("*Non-scientific*",OFFSET(Budget!$A$20,K31,0,ROWS(Personnel[]),1),0)+K31,999),"")</f>
        <v/>
      </c>
      <c r="L32" s="115" t="str">
        <f ca="1">IFERROR(INDEX(Personnel[Amount],K32),"")</f>
        <v/>
      </c>
      <c r="M32" s="195"/>
      <c r="N32" s="132" t="str">
        <f ca="1">IF(IFERROR(MATCH("*leave*",OFFSET(Budget!$A$20,N31,0,ROWS(Personnel[]),1),0)+N31,999)&lt;ROWS(Personnel[]),IFERROR(MATCH("*leave*",OFFSET(Budget!$A$20,N31,0,ROWS(Personnel[]),1),0)+N31,999),"")</f>
        <v/>
      </c>
      <c r="O32" s="137" t="str">
        <f ca="1">IFERROR(INDEX(Personnel[Months],N32)*INDEX(Personnel[FTE],N32),"")</f>
        <v/>
      </c>
      <c r="P32" s="195"/>
      <c r="Q32" s="132" t="str">
        <f ca="1">IF(MIN(IFERROR(MATCH("*PostDoc*",OFFSET(Budget!$A$20,Q31,0,ROWS(Personnel[])-Q31,1),0)+Q31,999),IFERROR(MATCH("*PhD*",OFFSET(Budget!$A$20,Q31,0,ROWS(Personnel[])-Q31,1),0)+Q31,999),IFERROR(MATCH("*PDEng*",OFFSET(Budget!$A$20,Q31,0,ROWS(Personnel[])-Q31,1),0)+Q31,999),IFERROR(MATCH("*Doctorate*",OFFSET(Budget!$A$20,Q31,0,ROWS(Personnel[])-Q31,1),0)+Q31,999))&lt;ROWS(Personnel[]),MIN(IFERROR(MATCH("*PostDoc*",OFFSET(Budget!$A$20,Q31,0,ROWS(Personnel[])-Q31,1),0)+Q31,999),IFERROR(MATCH("*PhD*",OFFSET(Budget!$A$20,Q31,0,ROWS(Personnel[])-Q31,1),0)+Q31,999),IFERROR(MATCH("*PDEng*",OFFSET(Budget!$A$20,Q31,0,ROWS(Personnel[])-Q31,1),0)+Q31,999),IFERROR(MATCH("*Doctorate*",OFFSET(Budget!$A$20,Q31,0,ROWS(Personnel[])-Q31,1),0)+Q31,999)),"")</f>
        <v/>
      </c>
      <c r="R32" s="205" t="str">
        <f ca="1">IFERROR(INDEX(Personnel[Category],Q32),"")</f>
        <v/>
      </c>
      <c r="S32" s="205" t="str">
        <f ca="1">IFERROR(INDEX(Personnel[FTE],Q32),"")</f>
        <v/>
      </c>
      <c r="T32" s="205" t="str">
        <f ca="1">IFERROR(INDEX(Personnel[Months],Q32),"")</f>
        <v/>
      </c>
      <c r="U32" s="205" t="str">
        <f ca="1">SUBSTITUTE(IFERROR(INDEX(Personnel[Organisation type],Q32),""),0,"")</f>
        <v/>
      </c>
      <c r="V32" s="206" t="str">
        <f ca="1">SUBSTITUTE(IFERROR(INDEX(Personnel[Name organisation],Q32),""),0,"")</f>
        <v/>
      </c>
      <c r="W32" s="195"/>
      <c r="X32" s="207" t="str">
        <f>IF(ROW(E1569)-ROW($E$1548)&lt;ROWS(inkind[]),IFERROR(IF(INDEX(list_cofunders[private?],MATCH(Budget!#REF!,list_cofunders[list cofunders],0),1)="yes",Budget!#REF!,""),""),"")</f>
        <v/>
      </c>
      <c r="Y32" s="208" t="str">
        <f>IF(ROW(E1672)-ROW($E$1651)&lt;ROWS(incash[]),IFERROR(IF(INDEX(list_cofunders[private?],MATCH(Budget!#REF!,list_cofunders[list cofunders],0),1)="yes",Budget!#REF!,""),""),"")</f>
        <v/>
      </c>
      <c r="Z32" s="205" t="str">
        <f>IFERROR(INDEX(Personnel[FTE],X32),"")</f>
        <v/>
      </c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7"/>
      <c r="DA32" s="27"/>
      <c r="DB32" s="27"/>
      <c r="DC32" s="27"/>
      <c r="DD32" s="27"/>
      <c r="DE32" s="27"/>
      <c r="DF32" s="27"/>
      <c r="DG32" s="27"/>
      <c r="DH32" s="27"/>
    </row>
    <row r="33" spans="2:112" s="26" customFormat="1" ht="11.25" customHeight="1" outlineLevel="1" x14ac:dyDescent="0.35">
      <c r="B33" s="132" t="str">
        <f ca="1">IF(IFERROR(MATCH("*Other*",OFFSET(Budget!$A$20,B32,0,ROWS(Personnel[]),1),0)+B32,999)&lt;ROWS(Personnel[]),IFERROR(MATCH("*Other*",OFFSET(Budget!$A$20,B32,0,ROWS(Personnel[]),1),0)+B32,999),"")</f>
        <v/>
      </c>
      <c r="C33" s="115" t="str">
        <f ca="1">IFERROR(INDEX(Personnel[Amount],B33),"")</f>
        <v/>
      </c>
      <c r="D33" s="29"/>
      <c r="E33" s="132" t="str">
        <f ca="1">IF(MIN(IFERROR(MATCH("*PostDoc*",OFFSET(Budget!$A$20,E32,0,ROWS(Personnel[]),1),0)+E32,999),IFERROR(MATCH("*PhD*",OFFSET(Budget!$A$20,E32,0,ROWS(Personnel[]),1),0)+E32,999),IFERROR(MATCH("*PDEng*",OFFSET(Budget!$A$20,E32,0,ROWS(Personnel[]),1),0)+E32,999))&lt;ROWS(Personnel[]),MIN(IFERROR(MATCH("*PostDoc*",OFFSET(Budget!$A$20,E32,0,ROWS(Personnel[]),1),0)+E32,999),IFERROR(MATCH("*PhD*",OFFSET(Budget!$A$20,E32,0,ROWS(Personnel[]),1),0)+E32,999),IFERROR(MATCH("*PDEng*",OFFSET(Budget!$A$20,E32,0,ROWS(Personnel[]),1),0)+E32,999)),"")</f>
        <v/>
      </c>
      <c r="F33" s="119" t="str">
        <f ca="1">IFERROR(INDEX(Personnel[FTE],E33)*INDEX(Personnel[Months],E33)/12,"")</f>
        <v/>
      </c>
      <c r="G33" s="140"/>
      <c r="H33" s="142" t="e">
        <f ca="1">IF(IFERROR(MATCH("*researcher*",OFFSET(Budget!#REF!,H32,0,ROWS(#REF!),1),0)+H32,999)&lt;ROWS(#REF!),IFERROR(MATCH("*researcher*",OFFSET(Budget!#REF!,H32,0,ROWS(#REF!),1),0)+H32,999),"")</f>
        <v>#REF!</v>
      </c>
      <c r="I33" s="146" t="str">
        <f ca="1">IF(ISERROR(IF(AND(INDEX(#REF!,H33)&gt;=pers_oi_min_months,INDEX(#REF!,H33)/INDEX(#REF!,H33)*12/pers_other_nrhours_year&gt;=pers_oi_minFTE)=TRUE,INDEX(#REF!,H33)/12,0)),"",IF(AND(INDEX(#REF!,H33)&gt;=pers_oi_min_months,INDEX(#REF!,H33)/INDEX(#REF!,H33)*12/pers_other_nrhours_year&gt;=pers_oi_minFTE)=TRUE,INDEX(#REF!,H33)/12,""))</f>
        <v/>
      </c>
      <c r="J33" s="140"/>
      <c r="K33" s="132" t="str">
        <f ca="1">IF(IFERROR(MATCH("*Non-scientific*",OFFSET(Budget!$A$20,K32,0,ROWS(Personnel[]),1),0)+K32,999)&lt;ROWS(Personnel[]),IFERROR(MATCH("*Non-scientific*",OFFSET(Budget!$A$20,K32,0,ROWS(Personnel[]),1),0)+K32,999),"")</f>
        <v/>
      </c>
      <c r="L33" s="115" t="str">
        <f ca="1">IFERROR(INDEX(Personnel[Amount],K33),"")</f>
        <v/>
      </c>
      <c r="M33" s="195"/>
      <c r="N33" s="132" t="str">
        <f ca="1">IF(IFERROR(MATCH("*leave*",OFFSET(Budget!$A$20,N32,0,ROWS(Personnel[]),1),0)+N32,999)&lt;ROWS(Personnel[]),IFERROR(MATCH("*leave*",OFFSET(Budget!$A$20,N32,0,ROWS(Personnel[]),1),0)+N32,999),"")</f>
        <v/>
      </c>
      <c r="O33" s="137" t="str">
        <f ca="1">IFERROR(INDEX(Personnel[Months],N33)*INDEX(Personnel[FTE],N33),"")</f>
        <v/>
      </c>
      <c r="P33" s="195"/>
      <c r="Q33" s="132" t="str">
        <f ca="1">IF(MIN(IFERROR(MATCH("*PostDoc*",OFFSET(Budget!$A$20,Q32,0,ROWS(Personnel[])-Q32,1),0)+Q32,999),IFERROR(MATCH("*PhD*",OFFSET(Budget!$A$20,Q32,0,ROWS(Personnel[])-Q32,1),0)+Q32,999),IFERROR(MATCH("*PDEng*",OFFSET(Budget!$A$20,Q32,0,ROWS(Personnel[])-Q32,1),0)+Q32,999),IFERROR(MATCH("*Doctorate*",OFFSET(Budget!$A$20,Q32,0,ROWS(Personnel[])-Q32,1),0)+Q32,999))&lt;ROWS(Personnel[]),MIN(IFERROR(MATCH("*PostDoc*",OFFSET(Budget!$A$20,Q32,0,ROWS(Personnel[])-Q32,1),0)+Q32,999),IFERROR(MATCH("*PhD*",OFFSET(Budget!$A$20,Q32,0,ROWS(Personnel[])-Q32,1),0)+Q32,999),IFERROR(MATCH("*PDEng*",OFFSET(Budget!$A$20,Q32,0,ROWS(Personnel[])-Q32,1),0)+Q32,999),IFERROR(MATCH("*Doctorate*",OFFSET(Budget!$A$20,Q32,0,ROWS(Personnel[])-Q32,1),0)+Q32,999)),"")</f>
        <v/>
      </c>
      <c r="R33" s="205" t="str">
        <f ca="1">IFERROR(INDEX(Personnel[Category],Q33),"")</f>
        <v/>
      </c>
      <c r="S33" s="205" t="str">
        <f ca="1">IFERROR(INDEX(Personnel[FTE],Q33),"")</f>
        <v/>
      </c>
      <c r="T33" s="205" t="str">
        <f ca="1">IFERROR(INDEX(Personnel[Months],Q33),"")</f>
        <v/>
      </c>
      <c r="U33" s="205" t="str">
        <f ca="1">SUBSTITUTE(IFERROR(INDEX(Personnel[Organisation type],Q33),""),0,"")</f>
        <v/>
      </c>
      <c r="V33" s="206" t="str">
        <f ca="1">SUBSTITUTE(IFERROR(INDEX(Personnel[Name organisation],Q33),""),0,"")</f>
        <v/>
      </c>
      <c r="W33" s="195"/>
      <c r="X33" s="207" t="str">
        <f>IF(ROW(E1570)-ROW($E$1548)&lt;ROWS(inkind[]),IFERROR(IF(INDEX(list_cofunders[private?],MATCH(Budget!#REF!,list_cofunders[list cofunders],0),1)="yes",Budget!#REF!,""),""),"")</f>
        <v/>
      </c>
      <c r="Y33" s="208" t="str">
        <f>IF(ROW(E1673)-ROW($E$1651)&lt;ROWS(incash[]),IFERROR(IF(INDEX(list_cofunders[private?],MATCH(Budget!#REF!,list_cofunders[list cofunders],0),1)="yes",Budget!#REF!,""),""),"")</f>
        <v/>
      </c>
      <c r="Z33" s="205" t="str">
        <f>IFERROR(INDEX(Personnel[FTE],X33),"")</f>
        <v/>
      </c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7"/>
      <c r="DA33" s="27"/>
      <c r="DB33" s="27"/>
      <c r="DC33" s="27"/>
      <c r="DD33" s="27"/>
      <c r="DE33" s="27"/>
      <c r="DF33" s="27"/>
      <c r="DG33" s="27"/>
      <c r="DH33" s="27"/>
    </row>
    <row r="34" spans="2:112" s="26" customFormat="1" ht="11.25" customHeight="1" outlineLevel="1" x14ac:dyDescent="0.35">
      <c r="B34" s="132" t="str">
        <f ca="1">IF(IFERROR(MATCH("*Other*",OFFSET(Budget!$A$20,B33,0,ROWS(Personnel[]),1),0)+B33,999)&lt;ROWS(Personnel[]),IFERROR(MATCH("*Other*",OFFSET(Budget!$A$20,B33,0,ROWS(Personnel[]),1),0)+B33,999),"")</f>
        <v/>
      </c>
      <c r="C34" s="115" t="str">
        <f ca="1">IFERROR(INDEX(Personnel[Amount],B34),"")</f>
        <v/>
      </c>
      <c r="D34" s="29"/>
      <c r="E34" s="132" t="str">
        <f ca="1">IF(MIN(IFERROR(MATCH("*PostDoc*",OFFSET(Budget!$A$20,E33,0,ROWS(Personnel[]),1),0)+E33,999),IFERROR(MATCH("*PhD*",OFFSET(Budget!$A$20,E33,0,ROWS(Personnel[]),1),0)+E33,999),IFERROR(MATCH("*PDEng*",OFFSET(Budget!$A$20,E33,0,ROWS(Personnel[]),1),0)+E33,999))&lt;ROWS(Personnel[]),MIN(IFERROR(MATCH("*PostDoc*",OFFSET(Budget!$A$20,E33,0,ROWS(Personnel[]),1),0)+E33,999),IFERROR(MATCH("*PhD*",OFFSET(Budget!$A$20,E33,0,ROWS(Personnel[]),1),0)+E33,999),IFERROR(MATCH("*PDEng*",OFFSET(Budget!$A$20,E33,0,ROWS(Personnel[]),1),0)+E33,999)),"")</f>
        <v/>
      </c>
      <c r="F34" s="119" t="str">
        <f ca="1">IFERROR(INDEX(Personnel[FTE],E34)*INDEX(Personnel[Months],E34)/12,"")</f>
        <v/>
      </c>
      <c r="G34" s="140"/>
      <c r="H34" s="142" t="e">
        <f ca="1">IF(IFERROR(MATCH("*researcher*",OFFSET(Budget!#REF!,H33,0,ROWS(#REF!),1),0)+H33,999)&lt;ROWS(#REF!),IFERROR(MATCH("*researcher*",OFFSET(Budget!#REF!,H33,0,ROWS(#REF!),1),0)+H33,999),"")</f>
        <v>#REF!</v>
      </c>
      <c r="I34" s="146" t="str">
        <f ca="1">IF(ISERROR(IF(AND(INDEX(#REF!,H34)&gt;=pers_oi_min_months,INDEX(#REF!,H34)/INDEX(#REF!,H34)*12/pers_other_nrhours_year&gt;=pers_oi_minFTE)=TRUE,INDEX(#REF!,H34)/12,0)),"",IF(AND(INDEX(#REF!,H34)&gt;=pers_oi_min_months,INDEX(#REF!,H34)/INDEX(#REF!,H34)*12/pers_other_nrhours_year&gt;=pers_oi_minFTE)=TRUE,INDEX(#REF!,H34)/12,""))</f>
        <v/>
      </c>
      <c r="J34" s="140"/>
      <c r="K34" s="132" t="str">
        <f ca="1">IF(IFERROR(MATCH("*Non-scientific*",OFFSET(Budget!$A$20,K33,0,ROWS(Personnel[]),1),0)+K33,999)&lt;ROWS(Personnel[]),IFERROR(MATCH("*Non-scientific*",OFFSET(Budget!$A$20,K33,0,ROWS(Personnel[]),1),0)+K33,999),"")</f>
        <v/>
      </c>
      <c r="L34" s="115" t="str">
        <f ca="1">IFERROR(INDEX(Personnel[Amount],K34),"")</f>
        <v/>
      </c>
      <c r="M34" s="195"/>
      <c r="N34" s="132" t="str">
        <f ca="1">IF(IFERROR(MATCH("*leave*",OFFSET(Budget!$A$20,N33,0,ROWS(Personnel[]),1),0)+N33,999)&lt;ROWS(Personnel[]),IFERROR(MATCH("*leave*",OFFSET(Budget!$A$20,N33,0,ROWS(Personnel[]),1),0)+N33,999),"")</f>
        <v/>
      </c>
      <c r="O34" s="137" t="str">
        <f ca="1">IFERROR(INDEX(Personnel[Months],N34)*INDEX(Personnel[FTE],N34),"")</f>
        <v/>
      </c>
      <c r="P34" s="195"/>
      <c r="Q34" s="132" t="str">
        <f ca="1">IF(MIN(IFERROR(MATCH("*PostDoc*",OFFSET(Budget!$A$20,Q33,0,ROWS(Personnel[])-Q33,1),0)+Q33,999),IFERROR(MATCH("*PhD*",OFFSET(Budget!$A$20,Q33,0,ROWS(Personnel[])-Q33,1),0)+Q33,999),IFERROR(MATCH("*PDEng*",OFFSET(Budget!$A$20,Q33,0,ROWS(Personnel[])-Q33,1),0)+Q33,999),IFERROR(MATCH("*Doctorate*",OFFSET(Budget!$A$20,Q33,0,ROWS(Personnel[])-Q33,1),0)+Q33,999))&lt;ROWS(Personnel[]),MIN(IFERROR(MATCH("*PostDoc*",OFFSET(Budget!$A$20,Q33,0,ROWS(Personnel[])-Q33,1),0)+Q33,999),IFERROR(MATCH("*PhD*",OFFSET(Budget!$A$20,Q33,0,ROWS(Personnel[])-Q33,1),0)+Q33,999),IFERROR(MATCH("*PDEng*",OFFSET(Budget!$A$20,Q33,0,ROWS(Personnel[])-Q33,1),0)+Q33,999),IFERROR(MATCH("*Doctorate*",OFFSET(Budget!$A$20,Q33,0,ROWS(Personnel[])-Q33,1),0)+Q33,999)),"")</f>
        <v/>
      </c>
      <c r="R34" s="205" t="str">
        <f ca="1">IFERROR(INDEX(Personnel[Category],Q34),"")</f>
        <v/>
      </c>
      <c r="S34" s="205" t="str">
        <f ca="1">IFERROR(INDEX(Personnel[FTE],Q34),"")</f>
        <v/>
      </c>
      <c r="T34" s="205" t="str">
        <f ca="1">IFERROR(INDEX(Personnel[Months],Q34),"")</f>
        <v/>
      </c>
      <c r="U34" s="205" t="str">
        <f ca="1">SUBSTITUTE(IFERROR(INDEX(Personnel[Organisation type],Q34),""),0,"")</f>
        <v/>
      </c>
      <c r="V34" s="206" t="str">
        <f ca="1">SUBSTITUTE(IFERROR(INDEX(Personnel[Name organisation],Q34),""),0,"")</f>
        <v/>
      </c>
      <c r="W34" s="195"/>
      <c r="X34" s="207" t="str">
        <f>IF(ROW(E1571)-ROW($E$1548)&lt;ROWS(inkind[]),IFERROR(IF(INDEX(list_cofunders[private?],MATCH(Budget!#REF!,list_cofunders[list cofunders],0),1)="yes",Budget!#REF!,""),""),"")</f>
        <v/>
      </c>
      <c r="Y34" s="208" t="str">
        <f>IF(ROW(E1674)-ROW($E$1651)&lt;ROWS(incash[]),IFERROR(IF(INDEX(list_cofunders[private?],MATCH(Budget!#REF!,list_cofunders[list cofunders],0),1)="yes",Budget!#REF!,""),""),"")</f>
        <v/>
      </c>
      <c r="Z34" s="205" t="str">
        <f>IFERROR(INDEX(Personnel[FTE],X34),"")</f>
        <v/>
      </c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7"/>
      <c r="DA34" s="27"/>
      <c r="DB34" s="27"/>
      <c r="DC34" s="27"/>
      <c r="DD34" s="27"/>
      <c r="DE34" s="27"/>
      <c r="DF34" s="27"/>
      <c r="DG34" s="27"/>
      <c r="DH34" s="27"/>
    </row>
    <row r="35" spans="2:112" s="26" customFormat="1" ht="11.25" customHeight="1" outlineLevel="1" x14ac:dyDescent="0.35">
      <c r="B35" s="132" t="str">
        <f ca="1">IF(IFERROR(MATCH("*Other*",OFFSET(Budget!$A$20,B34,0,ROWS(Personnel[]),1),0)+B34,999)&lt;ROWS(Personnel[]),IFERROR(MATCH("*Other*",OFFSET(Budget!$A$20,B34,0,ROWS(Personnel[]),1),0)+B34,999),"")</f>
        <v/>
      </c>
      <c r="C35" s="115" t="str">
        <f ca="1">IFERROR(INDEX(Personnel[Amount],B35),"")</f>
        <v/>
      </c>
      <c r="D35" s="29"/>
      <c r="E35" s="132" t="str">
        <f ca="1">IF(MIN(IFERROR(MATCH("*PostDoc*",OFFSET(Budget!$A$20,E34,0,ROWS(Personnel[]),1),0)+E34,999),IFERROR(MATCH("*PhD*",OFFSET(Budget!$A$20,E34,0,ROWS(Personnel[]),1),0)+E34,999),IFERROR(MATCH("*PDEng*",OFFSET(Budget!$A$20,E34,0,ROWS(Personnel[]),1),0)+E34,999))&lt;ROWS(Personnel[]),MIN(IFERROR(MATCH("*PostDoc*",OFFSET(Budget!$A$20,E34,0,ROWS(Personnel[]),1),0)+E34,999),IFERROR(MATCH("*PhD*",OFFSET(Budget!$A$20,E34,0,ROWS(Personnel[]),1),0)+E34,999),IFERROR(MATCH("*PDEng*",OFFSET(Budget!$A$20,E34,0,ROWS(Personnel[]),1),0)+E34,999)),"")</f>
        <v/>
      </c>
      <c r="F35" s="119" t="str">
        <f ca="1">IFERROR(INDEX(Personnel[FTE],E35)*INDEX(Personnel[Months],E35)/12,"")</f>
        <v/>
      </c>
      <c r="G35" s="140"/>
      <c r="H35" s="142" t="e">
        <f ca="1">IF(IFERROR(MATCH("*researcher*",OFFSET(Budget!#REF!,H34,0,ROWS(#REF!),1),0)+H34,999)&lt;ROWS(#REF!),IFERROR(MATCH("*researcher*",OFFSET(Budget!#REF!,H34,0,ROWS(#REF!),1),0)+H34,999),"")</f>
        <v>#REF!</v>
      </c>
      <c r="I35" s="146" t="str">
        <f ca="1">IF(ISERROR(IF(AND(INDEX(#REF!,H35)&gt;=pers_oi_min_months,INDEX(#REF!,H35)/INDEX(#REF!,H35)*12/pers_other_nrhours_year&gt;=pers_oi_minFTE)=TRUE,INDEX(#REF!,H35)/12,0)),"",IF(AND(INDEX(#REF!,H35)&gt;=pers_oi_min_months,INDEX(#REF!,H35)/INDEX(#REF!,H35)*12/pers_other_nrhours_year&gt;=pers_oi_minFTE)=TRUE,INDEX(#REF!,H35)/12,""))</f>
        <v/>
      </c>
      <c r="J35" s="140"/>
      <c r="K35" s="132" t="str">
        <f ca="1">IF(IFERROR(MATCH("*Non-scientific*",OFFSET(Budget!$A$20,K34,0,ROWS(Personnel[]),1),0)+K34,999)&lt;ROWS(Personnel[]),IFERROR(MATCH("*Non-scientific*",OFFSET(Budget!$A$20,K34,0,ROWS(Personnel[]),1),0)+K34,999),"")</f>
        <v/>
      </c>
      <c r="L35" s="115" t="str">
        <f ca="1">IFERROR(INDEX(Personnel[Amount],K35),"")</f>
        <v/>
      </c>
      <c r="M35" s="195"/>
      <c r="N35" s="132" t="str">
        <f ca="1">IF(IFERROR(MATCH("*leave*",OFFSET(Budget!$A$20,N34,0,ROWS(Personnel[]),1),0)+N34,999)&lt;ROWS(Personnel[]),IFERROR(MATCH("*leave*",OFFSET(Budget!$A$20,N34,0,ROWS(Personnel[]),1),0)+N34,999),"")</f>
        <v/>
      </c>
      <c r="O35" s="137" t="str">
        <f ca="1">IFERROR(INDEX(Personnel[Months],N35)*INDEX(Personnel[FTE],N35),"")</f>
        <v/>
      </c>
      <c r="P35" s="195"/>
      <c r="Q35" s="132" t="str">
        <f ca="1">IF(MIN(IFERROR(MATCH("*PostDoc*",OFFSET(Budget!$A$20,Q34,0,ROWS(Personnel[])-Q34,1),0)+Q34,999),IFERROR(MATCH("*PhD*",OFFSET(Budget!$A$20,Q34,0,ROWS(Personnel[])-Q34,1),0)+Q34,999),IFERROR(MATCH("*PDEng*",OFFSET(Budget!$A$20,Q34,0,ROWS(Personnel[])-Q34,1),0)+Q34,999),IFERROR(MATCH("*Doctorate*",OFFSET(Budget!$A$20,Q34,0,ROWS(Personnel[])-Q34,1),0)+Q34,999))&lt;ROWS(Personnel[]),MIN(IFERROR(MATCH("*PostDoc*",OFFSET(Budget!$A$20,Q34,0,ROWS(Personnel[])-Q34,1),0)+Q34,999),IFERROR(MATCH("*PhD*",OFFSET(Budget!$A$20,Q34,0,ROWS(Personnel[])-Q34,1),0)+Q34,999),IFERROR(MATCH("*PDEng*",OFFSET(Budget!$A$20,Q34,0,ROWS(Personnel[])-Q34,1),0)+Q34,999),IFERROR(MATCH("*Doctorate*",OFFSET(Budget!$A$20,Q34,0,ROWS(Personnel[])-Q34,1),0)+Q34,999)),"")</f>
        <v/>
      </c>
      <c r="R35" s="205" t="str">
        <f ca="1">IFERROR(INDEX(Personnel[Category],Q35),"")</f>
        <v/>
      </c>
      <c r="S35" s="205" t="str">
        <f ca="1">IFERROR(INDEX(Personnel[FTE],Q35),"")</f>
        <v/>
      </c>
      <c r="T35" s="205" t="str">
        <f ca="1">IFERROR(INDEX(Personnel[Months],Q35),"")</f>
        <v/>
      </c>
      <c r="U35" s="205" t="str">
        <f ca="1">SUBSTITUTE(IFERROR(INDEX(Personnel[Organisation type],Q35),""),0,"")</f>
        <v/>
      </c>
      <c r="V35" s="206" t="str">
        <f ca="1">SUBSTITUTE(IFERROR(INDEX(Personnel[Name organisation],Q35),""),0,"")</f>
        <v/>
      </c>
      <c r="W35" s="195"/>
      <c r="X35" s="207" t="str">
        <f>IF(ROW(E1572)-ROW($E$1548)&lt;ROWS(inkind[]),IFERROR(IF(INDEX(list_cofunders[private?],MATCH(Budget!#REF!,list_cofunders[list cofunders],0),1)="yes",Budget!#REF!,""),""),"")</f>
        <v/>
      </c>
      <c r="Y35" s="208" t="str">
        <f>IF(ROW(E1675)-ROW($E$1651)&lt;ROWS(incash[]),IFERROR(IF(INDEX(list_cofunders[private?],MATCH(Budget!#REF!,list_cofunders[list cofunders],0),1)="yes",Budget!#REF!,""),""),"")</f>
        <v/>
      </c>
      <c r="Z35" s="205" t="str">
        <f>IFERROR(INDEX(Personnel[FTE],X35),"")</f>
        <v/>
      </c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7"/>
      <c r="DA35" s="27"/>
      <c r="DB35" s="27"/>
      <c r="DC35" s="27"/>
      <c r="DD35" s="27"/>
      <c r="DE35" s="27"/>
      <c r="DF35" s="27"/>
      <c r="DG35" s="27"/>
      <c r="DH35" s="27"/>
    </row>
    <row r="36" spans="2:112" s="26" customFormat="1" ht="11.25" customHeight="1" outlineLevel="1" x14ac:dyDescent="0.35">
      <c r="B36" s="132" t="str">
        <f ca="1">IF(IFERROR(MATCH("*Other*",OFFSET(Budget!$A$20,B35,0,ROWS(Personnel[]),1),0)+B35,999)&lt;ROWS(Personnel[]),IFERROR(MATCH("*Other*",OFFSET(Budget!$A$20,B35,0,ROWS(Personnel[]),1),0)+B35,999),"")</f>
        <v/>
      </c>
      <c r="C36" s="115" t="str">
        <f ca="1">IFERROR(INDEX(Personnel[Amount],B36),"")</f>
        <v/>
      </c>
      <c r="D36" s="29"/>
      <c r="E36" s="132" t="str">
        <f ca="1">IF(MIN(IFERROR(MATCH("*PostDoc*",OFFSET(Budget!$A$20,E35,0,ROWS(Personnel[]),1),0)+E35,999),IFERROR(MATCH("*PhD*",OFFSET(Budget!$A$20,E35,0,ROWS(Personnel[]),1),0)+E35,999),IFERROR(MATCH("*PDEng*",OFFSET(Budget!$A$20,E35,0,ROWS(Personnel[]),1),0)+E35,999))&lt;ROWS(Personnel[]),MIN(IFERROR(MATCH("*PostDoc*",OFFSET(Budget!$A$20,E35,0,ROWS(Personnel[]),1),0)+E35,999),IFERROR(MATCH("*PhD*",OFFSET(Budget!$A$20,E35,0,ROWS(Personnel[]),1),0)+E35,999),IFERROR(MATCH("*PDEng*",OFFSET(Budget!$A$20,E35,0,ROWS(Personnel[]),1),0)+E35,999)),"")</f>
        <v/>
      </c>
      <c r="F36" s="119" t="str">
        <f ca="1">IFERROR(INDEX(Personnel[FTE],E36)*INDEX(Personnel[Months],E36)/12,"")</f>
        <v/>
      </c>
      <c r="G36" s="140"/>
      <c r="H36" s="142" t="e">
        <f ca="1">IF(IFERROR(MATCH("*researcher*",OFFSET(Budget!#REF!,H35,0,ROWS(#REF!),1),0)+H35,999)&lt;ROWS(#REF!),IFERROR(MATCH("*researcher*",OFFSET(Budget!#REF!,H35,0,ROWS(#REF!),1),0)+H35,999),"")</f>
        <v>#REF!</v>
      </c>
      <c r="I36" s="146" t="str">
        <f ca="1">IF(ISERROR(IF(AND(INDEX(#REF!,H36)&gt;=pers_oi_min_months,INDEX(#REF!,H36)/INDEX(#REF!,H36)*12/pers_other_nrhours_year&gt;=pers_oi_minFTE)=TRUE,INDEX(#REF!,H36)/12,0)),"",IF(AND(INDEX(#REF!,H36)&gt;=pers_oi_min_months,INDEX(#REF!,H36)/INDEX(#REF!,H36)*12/pers_other_nrhours_year&gt;=pers_oi_minFTE)=TRUE,INDEX(#REF!,H36)/12,""))</f>
        <v/>
      </c>
      <c r="J36" s="140"/>
      <c r="K36" s="132" t="str">
        <f ca="1">IF(IFERROR(MATCH("*Non-scientific*",OFFSET(Budget!$A$20,K35,0,ROWS(Personnel[]),1),0)+K35,999)&lt;ROWS(Personnel[]),IFERROR(MATCH("*Non-scientific*",OFFSET(Budget!$A$20,K35,0,ROWS(Personnel[]),1),0)+K35,999),"")</f>
        <v/>
      </c>
      <c r="L36" s="115" t="str">
        <f ca="1">IFERROR(INDEX(Personnel[Amount],K36),"")</f>
        <v/>
      </c>
      <c r="M36" s="195"/>
      <c r="N36" s="132" t="str">
        <f ca="1">IF(IFERROR(MATCH("*leave*",OFFSET(Budget!$A$20,N35,0,ROWS(Personnel[]),1),0)+N35,999)&lt;ROWS(Personnel[]),IFERROR(MATCH("*leave*",OFFSET(Budget!$A$20,N35,0,ROWS(Personnel[]),1),0)+N35,999),"")</f>
        <v/>
      </c>
      <c r="O36" s="137" t="str">
        <f ca="1">IFERROR(INDEX(Personnel[Months],N36)*INDEX(Personnel[FTE],N36),"")</f>
        <v/>
      </c>
      <c r="P36" s="195"/>
      <c r="Q36" s="132" t="str">
        <f ca="1">IF(MIN(IFERROR(MATCH("*PostDoc*",OFFSET(Budget!$A$20,Q35,0,ROWS(Personnel[])-Q35,1),0)+Q35,999),IFERROR(MATCH("*PhD*",OFFSET(Budget!$A$20,Q35,0,ROWS(Personnel[])-Q35,1),0)+Q35,999),IFERROR(MATCH("*PDEng*",OFFSET(Budget!$A$20,Q35,0,ROWS(Personnel[])-Q35,1),0)+Q35,999),IFERROR(MATCH("*Doctorate*",OFFSET(Budget!$A$20,Q35,0,ROWS(Personnel[])-Q35,1),0)+Q35,999))&lt;ROWS(Personnel[]),MIN(IFERROR(MATCH("*PostDoc*",OFFSET(Budget!$A$20,Q35,0,ROWS(Personnel[])-Q35,1),0)+Q35,999),IFERROR(MATCH("*PhD*",OFFSET(Budget!$A$20,Q35,0,ROWS(Personnel[])-Q35,1),0)+Q35,999),IFERROR(MATCH("*PDEng*",OFFSET(Budget!$A$20,Q35,0,ROWS(Personnel[])-Q35,1),0)+Q35,999),IFERROR(MATCH("*Doctorate*",OFFSET(Budget!$A$20,Q35,0,ROWS(Personnel[])-Q35,1),0)+Q35,999)),"")</f>
        <v/>
      </c>
      <c r="R36" s="205" t="str">
        <f ca="1">IFERROR(INDEX(Personnel[Category],Q36),"")</f>
        <v/>
      </c>
      <c r="S36" s="205" t="str">
        <f ca="1">IFERROR(INDEX(Personnel[FTE],Q36),"")</f>
        <v/>
      </c>
      <c r="T36" s="205" t="str">
        <f ca="1">IFERROR(INDEX(Personnel[Months],Q36),"")</f>
        <v/>
      </c>
      <c r="U36" s="205" t="str">
        <f ca="1">SUBSTITUTE(IFERROR(INDEX(Personnel[Organisation type],Q36),""),0,"")</f>
        <v/>
      </c>
      <c r="V36" s="206" t="str">
        <f ca="1">SUBSTITUTE(IFERROR(INDEX(Personnel[Name organisation],Q36),""),0,"")</f>
        <v/>
      </c>
      <c r="W36" s="195"/>
      <c r="X36" s="207" t="str">
        <f>IF(ROW(E1573)-ROW($E$1548)&lt;ROWS(inkind[]),IFERROR(IF(INDEX(list_cofunders[private?],MATCH(Budget!#REF!,list_cofunders[list cofunders],0),1)="yes",Budget!#REF!,""),""),"")</f>
        <v/>
      </c>
      <c r="Y36" s="208" t="str">
        <f>IF(ROW(E1676)-ROW($E$1651)&lt;ROWS(incash[]),IFERROR(IF(INDEX(list_cofunders[private?],MATCH(Budget!#REF!,list_cofunders[list cofunders],0),1)="yes",Budget!#REF!,""),""),"")</f>
        <v/>
      </c>
      <c r="Z36" s="205" t="str">
        <f>IFERROR(INDEX(Personnel[FTE],X36),"")</f>
        <v/>
      </c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7"/>
      <c r="DA36" s="27"/>
      <c r="DB36" s="27"/>
      <c r="DC36" s="27"/>
      <c r="DD36" s="27"/>
      <c r="DE36" s="27"/>
      <c r="DF36" s="27"/>
      <c r="DG36" s="27"/>
      <c r="DH36" s="27"/>
    </row>
    <row r="37" spans="2:112" s="26" customFormat="1" ht="11.25" customHeight="1" outlineLevel="1" x14ac:dyDescent="0.35">
      <c r="B37" s="132" t="str">
        <f ca="1">IF(IFERROR(MATCH("*Other*",OFFSET(Budget!$A$20,B36,0,ROWS(Personnel[]),1),0)+B36,999)&lt;ROWS(Personnel[]),IFERROR(MATCH("*Other*",OFFSET(Budget!$A$20,B36,0,ROWS(Personnel[]),1),0)+B36,999),"")</f>
        <v/>
      </c>
      <c r="C37" s="115" t="str">
        <f ca="1">IFERROR(INDEX(Personnel[Amount],B37),"")</f>
        <v/>
      </c>
      <c r="D37" s="29"/>
      <c r="E37" s="132" t="str">
        <f ca="1">IF(MIN(IFERROR(MATCH("*PostDoc*",OFFSET(Budget!$A$20,E36,0,ROWS(Personnel[]),1),0)+E36,999),IFERROR(MATCH("*PhD*",OFFSET(Budget!$A$20,E36,0,ROWS(Personnel[]),1),0)+E36,999),IFERROR(MATCH("*PDEng*",OFFSET(Budget!$A$20,E36,0,ROWS(Personnel[]),1),0)+E36,999))&lt;ROWS(Personnel[]),MIN(IFERROR(MATCH("*PostDoc*",OFFSET(Budget!$A$20,E36,0,ROWS(Personnel[]),1),0)+E36,999),IFERROR(MATCH("*PhD*",OFFSET(Budget!$A$20,E36,0,ROWS(Personnel[]),1),0)+E36,999),IFERROR(MATCH("*PDEng*",OFFSET(Budget!$A$20,E36,0,ROWS(Personnel[]),1),0)+E36,999)),"")</f>
        <v/>
      </c>
      <c r="F37" s="119" t="str">
        <f ca="1">IFERROR(INDEX(Personnel[FTE],E37)*INDEX(Personnel[Months],E37)/12,"")</f>
        <v/>
      </c>
      <c r="G37" s="140"/>
      <c r="H37" s="142" t="e">
        <f ca="1">IF(IFERROR(MATCH("*researcher*",OFFSET(Budget!#REF!,H36,0,ROWS(#REF!),1),0)+H36,999)&lt;ROWS(#REF!),IFERROR(MATCH("*researcher*",OFFSET(Budget!#REF!,H36,0,ROWS(#REF!),1),0)+H36,999),"")</f>
        <v>#REF!</v>
      </c>
      <c r="I37" s="146" t="str">
        <f ca="1">IF(ISERROR(IF(AND(INDEX(#REF!,H37)&gt;=pers_oi_min_months,INDEX(#REF!,H37)/INDEX(#REF!,H37)*12/pers_other_nrhours_year&gt;=pers_oi_minFTE)=TRUE,INDEX(#REF!,H37)/12,0)),"",IF(AND(INDEX(#REF!,H37)&gt;=pers_oi_min_months,INDEX(#REF!,H37)/INDEX(#REF!,H37)*12/pers_other_nrhours_year&gt;=pers_oi_minFTE)=TRUE,INDEX(#REF!,H37)/12,""))</f>
        <v/>
      </c>
      <c r="J37" s="140"/>
      <c r="K37" s="132" t="str">
        <f ca="1">IF(IFERROR(MATCH("*Non-scientific*",OFFSET(Budget!$A$20,K36,0,ROWS(Personnel[]),1),0)+K36,999)&lt;ROWS(Personnel[]),IFERROR(MATCH("*Non-scientific*",OFFSET(Budget!$A$20,K36,0,ROWS(Personnel[]),1),0)+K36,999),"")</f>
        <v/>
      </c>
      <c r="L37" s="115" t="str">
        <f ca="1">IFERROR(INDEX(Personnel[Amount],K37),"")</f>
        <v/>
      </c>
      <c r="M37" s="195"/>
      <c r="N37" s="132" t="str">
        <f ca="1">IF(IFERROR(MATCH("*leave*",OFFSET(Budget!$A$20,N36,0,ROWS(Personnel[]),1),0)+N36,999)&lt;ROWS(Personnel[]),IFERROR(MATCH("*leave*",OFFSET(Budget!$A$20,N36,0,ROWS(Personnel[]),1),0)+N36,999),"")</f>
        <v/>
      </c>
      <c r="O37" s="137" t="str">
        <f ca="1">IFERROR(INDEX(Personnel[Months],N37)*INDEX(Personnel[FTE],N37),"")</f>
        <v/>
      </c>
      <c r="P37" s="195"/>
      <c r="Q37" s="132" t="str">
        <f ca="1">IF(MIN(IFERROR(MATCH("*PostDoc*",OFFSET(Budget!$A$20,Q36,0,ROWS(Personnel[])-Q36,1),0)+Q36,999),IFERROR(MATCH("*PhD*",OFFSET(Budget!$A$20,Q36,0,ROWS(Personnel[])-Q36,1),0)+Q36,999),IFERROR(MATCH("*PDEng*",OFFSET(Budget!$A$20,Q36,0,ROWS(Personnel[])-Q36,1),0)+Q36,999),IFERROR(MATCH("*Doctorate*",OFFSET(Budget!$A$20,Q36,0,ROWS(Personnel[])-Q36,1),0)+Q36,999))&lt;ROWS(Personnel[]),MIN(IFERROR(MATCH("*PostDoc*",OFFSET(Budget!$A$20,Q36,0,ROWS(Personnel[])-Q36,1),0)+Q36,999),IFERROR(MATCH("*PhD*",OFFSET(Budget!$A$20,Q36,0,ROWS(Personnel[])-Q36,1),0)+Q36,999),IFERROR(MATCH("*PDEng*",OFFSET(Budget!$A$20,Q36,0,ROWS(Personnel[])-Q36,1),0)+Q36,999),IFERROR(MATCH("*Doctorate*",OFFSET(Budget!$A$20,Q36,0,ROWS(Personnel[])-Q36,1),0)+Q36,999)),"")</f>
        <v/>
      </c>
      <c r="R37" s="205" t="str">
        <f ca="1">IFERROR(INDEX(Personnel[Category],Q37),"")</f>
        <v/>
      </c>
      <c r="S37" s="205" t="str">
        <f ca="1">IFERROR(INDEX(Personnel[FTE],Q37),"")</f>
        <v/>
      </c>
      <c r="T37" s="205" t="str">
        <f ca="1">IFERROR(INDEX(Personnel[Months],Q37),"")</f>
        <v/>
      </c>
      <c r="U37" s="205" t="str">
        <f ca="1">SUBSTITUTE(IFERROR(INDEX(Personnel[Organisation type],Q37),""),0,"")</f>
        <v/>
      </c>
      <c r="V37" s="206" t="str">
        <f ca="1">SUBSTITUTE(IFERROR(INDEX(Personnel[Name organisation],Q37),""),0,"")</f>
        <v/>
      </c>
      <c r="W37" s="195"/>
      <c r="X37" s="207" t="str">
        <f>IF(ROW(E1574)-ROW($E$1548)&lt;ROWS(inkind[]),IFERROR(IF(INDEX(list_cofunders[private?],MATCH(Budget!#REF!,list_cofunders[list cofunders],0),1)="yes",Budget!#REF!,""),""),"")</f>
        <v/>
      </c>
      <c r="Y37" s="208" t="str">
        <f>IF(ROW(E1677)-ROW($E$1651)&lt;ROWS(incash[]),IFERROR(IF(INDEX(list_cofunders[private?],MATCH(Budget!#REF!,list_cofunders[list cofunders],0),1)="yes",Budget!#REF!,""),""),"")</f>
        <v/>
      </c>
      <c r="Z37" s="205" t="str">
        <f>IFERROR(INDEX(Personnel[FTE],X37),"")</f>
        <v/>
      </c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7"/>
      <c r="DA37" s="27"/>
      <c r="DB37" s="27"/>
      <c r="DC37" s="27"/>
      <c r="DD37" s="27"/>
      <c r="DE37" s="27"/>
      <c r="DF37" s="27"/>
      <c r="DG37" s="27"/>
      <c r="DH37" s="27"/>
    </row>
    <row r="38" spans="2:112" s="26" customFormat="1" ht="11.25" customHeight="1" outlineLevel="1" x14ac:dyDescent="0.35">
      <c r="B38" s="132" t="str">
        <f ca="1">IF(IFERROR(MATCH("*Other*",OFFSET(Budget!$A$20,B37,0,ROWS(Personnel[]),1),0)+B37,999)&lt;ROWS(Personnel[]),IFERROR(MATCH("*Other*",OFFSET(Budget!$A$20,B37,0,ROWS(Personnel[]),1),0)+B37,999),"")</f>
        <v/>
      </c>
      <c r="C38" s="115" t="str">
        <f ca="1">IFERROR(INDEX(Personnel[Amount],B38),"")</f>
        <v/>
      </c>
      <c r="D38" s="29"/>
      <c r="E38" s="132" t="str">
        <f ca="1">IF(MIN(IFERROR(MATCH("*PostDoc*",OFFSET(Budget!$A$20,E37,0,ROWS(Personnel[]),1),0)+E37,999),IFERROR(MATCH("*PhD*",OFFSET(Budget!$A$20,E37,0,ROWS(Personnel[]),1),0)+E37,999),IFERROR(MATCH("*PDEng*",OFFSET(Budget!$A$20,E37,0,ROWS(Personnel[]),1),0)+E37,999))&lt;ROWS(Personnel[]),MIN(IFERROR(MATCH("*PostDoc*",OFFSET(Budget!$A$20,E37,0,ROWS(Personnel[]),1),0)+E37,999),IFERROR(MATCH("*PhD*",OFFSET(Budget!$A$20,E37,0,ROWS(Personnel[]),1),0)+E37,999),IFERROR(MATCH("*PDEng*",OFFSET(Budget!$A$20,E37,0,ROWS(Personnel[]),1),0)+E37,999)),"")</f>
        <v/>
      </c>
      <c r="F38" s="119" t="str">
        <f ca="1">IFERROR(INDEX(Personnel[FTE],E38)*INDEX(Personnel[Months],E38)/12,"")</f>
        <v/>
      </c>
      <c r="G38" s="140"/>
      <c r="H38" s="142" t="e">
        <f ca="1">IF(IFERROR(MATCH("*researcher*",OFFSET(Budget!#REF!,H37,0,ROWS(#REF!),1),0)+H37,999)&lt;ROWS(#REF!),IFERROR(MATCH("*researcher*",OFFSET(Budget!#REF!,H37,0,ROWS(#REF!),1),0)+H37,999),"")</f>
        <v>#REF!</v>
      </c>
      <c r="I38" s="146" t="str">
        <f ca="1">IF(ISERROR(IF(AND(INDEX(#REF!,H38)&gt;=pers_oi_min_months,INDEX(#REF!,H38)/INDEX(#REF!,H38)*12/pers_other_nrhours_year&gt;=pers_oi_minFTE)=TRUE,INDEX(#REF!,H38)/12,0)),"",IF(AND(INDEX(#REF!,H38)&gt;=pers_oi_min_months,INDEX(#REF!,H38)/INDEX(#REF!,H38)*12/pers_other_nrhours_year&gt;=pers_oi_minFTE)=TRUE,INDEX(#REF!,H38)/12,""))</f>
        <v/>
      </c>
      <c r="J38" s="140"/>
      <c r="K38" s="132" t="str">
        <f ca="1">IF(IFERROR(MATCH("*Non-scientific*",OFFSET(Budget!$A$20,K37,0,ROWS(Personnel[]),1),0)+K37,999)&lt;ROWS(Personnel[]),IFERROR(MATCH("*Non-scientific*",OFFSET(Budget!$A$20,K37,0,ROWS(Personnel[]),1),0)+K37,999),"")</f>
        <v/>
      </c>
      <c r="L38" s="115" t="str">
        <f ca="1">IFERROR(INDEX(Personnel[Amount],K38),"")</f>
        <v/>
      </c>
      <c r="M38" s="195"/>
      <c r="N38" s="132" t="str">
        <f ca="1">IF(IFERROR(MATCH("*leave*",OFFSET(Budget!$A$20,N37,0,ROWS(Personnel[]),1),0)+N37,999)&lt;ROWS(Personnel[]),IFERROR(MATCH("*leave*",OFFSET(Budget!$A$20,N37,0,ROWS(Personnel[]),1),0)+N37,999),"")</f>
        <v/>
      </c>
      <c r="O38" s="137" t="str">
        <f ca="1">IFERROR(INDEX(Personnel[Months],N38)*INDEX(Personnel[FTE],N38),"")</f>
        <v/>
      </c>
      <c r="P38" s="195"/>
      <c r="Q38" s="132" t="str">
        <f ca="1">IF(MIN(IFERROR(MATCH("*PostDoc*",OFFSET(Budget!$A$20,Q37,0,ROWS(Personnel[])-Q37,1),0)+Q37,999),IFERROR(MATCH("*PhD*",OFFSET(Budget!$A$20,Q37,0,ROWS(Personnel[])-Q37,1),0)+Q37,999),IFERROR(MATCH("*PDEng*",OFFSET(Budget!$A$20,Q37,0,ROWS(Personnel[])-Q37,1),0)+Q37,999),IFERROR(MATCH("*Doctorate*",OFFSET(Budget!$A$20,Q37,0,ROWS(Personnel[])-Q37,1),0)+Q37,999))&lt;ROWS(Personnel[]),MIN(IFERROR(MATCH("*PostDoc*",OFFSET(Budget!$A$20,Q37,0,ROWS(Personnel[])-Q37,1),0)+Q37,999),IFERROR(MATCH("*PhD*",OFFSET(Budget!$A$20,Q37,0,ROWS(Personnel[])-Q37,1),0)+Q37,999),IFERROR(MATCH("*PDEng*",OFFSET(Budget!$A$20,Q37,0,ROWS(Personnel[])-Q37,1),0)+Q37,999),IFERROR(MATCH("*Doctorate*",OFFSET(Budget!$A$20,Q37,0,ROWS(Personnel[])-Q37,1),0)+Q37,999)),"")</f>
        <v/>
      </c>
      <c r="R38" s="205" t="str">
        <f ca="1">IFERROR(INDEX(Personnel[Category],Q38),"")</f>
        <v/>
      </c>
      <c r="S38" s="205" t="str">
        <f ca="1">IFERROR(INDEX(Personnel[FTE],Q38),"")</f>
        <v/>
      </c>
      <c r="T38" s="205" t="str">
        <f ca="1">IFERROR(INDEX(Personnel[Months],Q38),"")</f>
        <v/>
      </c>
      <c r="U38" s="205" t="str">
        <f ca="1">SUBSTITUTE(IFERROR(INDEX(Personnel[Organisation type],Q38),""),0,"")</f>
        <v/>
      </c>
      <c r="V38" s="206" t="str">
        <f ca="1">SUBSTITUTE(IFERROR(INDEX(Personnel[Name organisation],Q38),""),0,"")</f>
        <v/>
      </c>
      <c r="W38" s="195"/>
      <c r="X38" s="207" t="str">
        <f>IF(ROW(E1575)-ROW($E$1548)&lt;ROWS(inkind[]),IFERROR(IF(INDEX(list_cofunders[private?],MATCH(Budget!#REF!,list_cofunders[list cofunders],0),1)="yes",Budget!#REF!,""),""),"")</f>
        <v/>
      </c>
      <c r="Y38" s="208" t="str">
        <f>IF(ROW(E1678)-ROW($E$1651)&lt;ROWS(incash[]),IFERROR(IF(INDEX(list_cofunders[private?],MATCH(Budget!#REF!,list_cofunders[list cofunders],0),1)="yes",Budget!#REF!,""),""),"")</f>
        <v/>
      </c>
      <c r="Z38" s="205" t="str">
        <f>IFERROR(INDEX(Personnel[FTE],X38),"")</f>
        <v/>
      </c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7"/>
      <c r="DA38" s="27"/>
      <c r="DB38" s="27"/>
      <c r="DC38" s="27"/>
      <c r="DD38" s="27"/>
      <c r="DE38" s="27"/>
      <c r="DF38" s="27"/>
      <c r="DG38" s="27"/>
      <c r="DH38" s="27"/>
    </row>
    <row r="39" spans="2:112" s="26" customFormat="1" ht="11.25" customHeight="1" outlineLevel="1" x14ac:dyDescent="0.35">
      <c r="B39" s="132" t="str">
        <f ca="1">IF(IFERROR(MATCH("*Other*",OFFSET(Budget!$A$20,B38,0,ROWS(Personnel[]),1),0)+B38,999)&lt;ROWS(Personnel[]),IFERROR(MATCH("*Other*",OFFSET(Budget!$A$20,B38,0,ROWS(Personnel[]),1),0)+B38,999),"")</f>
        <v/>
      </c>
      <c r="C39" s="115" t="str">
        <f ca="1">IFERROR(INDEX(Personnel[Amount],B39),"")</f>
        <v/>
      </c>
      <c r="D39" s="29"/>
      <c r="E39" s="132" t="str">
        <f ca="1">IF(MIN(IFERROR(MATCH("*PostDoc*",OFFSET(Budget!$A$20,E38,0,ROWS(Personnel[]),1),0)+E38,999),IFERROR(MATCH("*PhD*",OFFSET(Budget!$A$20,E38,0,ROWS(Personnel[]),1),0)+E38,999),IFERROR(MATCH("*PDEng*",OFFSET(Budget!$A$20,E38,0,ROWS(Personnel[]),1),0)+E38,999))&lt;ROWS(Personnel[]),MIN(IFERROR(MATCH("*PostDoc*",OFFSET(Budget!$A$20,E38,0,ROWS(Personnel[]),1),0)+E38,999),IFERROR(MATCH("*PhD*",OFFSET(Budget!$A$20,E38,0,ROWS(Personnel[]),1),0)+E38,999),IFERROR(MATCH("*PDEng*",OFFSET(Budget!$A$20,E38,0,ROWS(Personnel[]),1),0)+E38,999)),"")</f>
        <v/>
      </c>
      <c r="F39" s="119" t="str">
        <f ca="1">IFERROR(INDEX(Personnel[FTE],E39)*INDEX(Personnel[Months],E39)/12,"")</f>
        <v/>
      </c>
      <c r="G39" s="140"/>
      <c r="H39" s="142" t="e">
        <f ca="1">IF(IFERROR(MATCH("*researcher*",OFFSET(Budget!#REF!,H38,0,ROWS(#REF!),1),0)+H38,999)&lt;ROWS(#REF!),IFERROR(MATCH("*researcher*",OFFSET(Budget!#REF!,H38,0,ROWS(#REF!),1),0)+H38,999),"")</f>
        <v>#REF!</v>
      </c>
      <c r="I39" s="146" t="str">
        <f ca="1">IF(ISERROR(IF(AND(INDEX(#REF!,H39)&gt;=pers_oi_min_months,INDEX(#REF!,H39)/INDEX(#REF!,H39)*12/pers_other_nrhours_year&gt;=pers_oi_minFTE)=TRUE,INDEX(#REF!,H39)/12,0)),"",IF(AND(INDEX(#REF!,H39)&gt;=pers_oi_min_months,INDEX(#REF!,H39)/INDEX(#REF!,H39)*12/pers_other_nrhours_year&gt;=pers_oi_minFTE)=TRUE,INDEX(#REF!,H39)/12,""))</f>
        <v/>
      </c>
      <c r="J39" s="140"/>
      <c r="K39" s="132" t="str">
        <f ca="1">IF(IFERROR(MATCH("*Non-scientific*",OFFSET(Budget!$A$20,K38,0,ROWS(Personnel[]),1),0)+K38,999)&lt;ROWS(Personnel[]),IFERROR(MATCH("*Non-scientific*",OFFSET(Budget!$A$20,K38,0,ROWS(Personnel[]),1),0)+K38,999),"")</f>
        <v/>
      </c>
      <c r="L39" s="115" t="str">
        <f ca="1">IFERROR(INDEX(Personnel[Amount],K39),"")</f>
        <v/>
      </c>
      <c r="M39" s="195"/>
      <c r="N39" s="132" t="str">
        <f ca="1">IF(IFERROR(MATCH("*leave*",OFFSET(Budget!$A$20,N38,0,ROWS(Personnel[]),1),0)+N38,999)&lt;ROWS(Personnel[]),IFERROR(MATCH("*leave*",OFFSET(Budget!$A$20,N38,0,ROWS(Personnel[]),1),0)+N38,999),"")</f>
        <v/>
      </c>
      <c r="O39" s="137" t="str">
        <f ca="1">IFERROR(INDEX(Personnel[Months],N39)*INDEX(Personnel[FTE],N39),"")</f>
        <v/>
      </c>
      <c r="P39" s="195"/>
      <c r="Q39" s="132" t="str">
        <f ca="1">IF(MIN(IFERROR(MATCH("*PostDoc*",OFFSET(Budget!$A$20,Q38,0,ROWS(Personnel[])-Q38,1),0)+Q38,999),IFERROR(MATCH("*PhD*",OFFSET(Budget!$A$20,Q38,0,ROWS(Personnel[])-Q38,1),0)+Q38,999),IFERROR(MATCH("*PDEng*",OFFSET(Budget!$A$20,Q38,0,ROWS(Personnel[])-Q38,1),0)+Q38,999),IFERROR(MATCH("*Doctorate*",OFFSET(Budget!$A$20,Q38,0,ROWS(Personnel[])-Q38,1),0)+Q38,999))&lt;ROWS(Personnel[]),MIN(IFERROR(MATCH("*PostDoc*",OFFSET(Budget!$A$20,Q38,0,ROWS(Personnel[])-Q38,1),0)+Q38,999),IFERROR(MATCH("*PhD*",OFFSET(Budget!$A$20,Q38,0,ROWS(Personnel[])-Q38,1),0)+Q38,999),IFERROR(MATCH("*PDEng*",OFFSET(Budget!$A$20,Q38,0,ROWS(Personnel[])-Q38,1),0)+Q38,999),IFERROR(MATCH("*Doctorate*",OFFSET(Budget!$A$20,Q38,0,ROWS(Personnel[])-Q38,1),0)+Q38,999)),"")</f>
        <v/>
      </c>
      <c r="R39" s="205" t="str">
        <f ca="1">IFERROR(INDEX(Personnel[Category],Q39),"")</f>
        <v/>
      </c>
      <c r="S39" s="205" t="str">
        <f ca="1">IFERROR(INDEX(Personnel[FTE],Q39),"")</f>
        <v/>
      </c>
      <c r="T39" s="205" t="str">
        <f ca="1">IFERROR(INDEX(Personnel[Months],Q39),"")</f>
        <v/>
      </c>
      <c r="U39" s="205" t="str">
        <f ca="1">SUBSTITUTE(IFERROR(INDEX(Personnel[Organisation type],Q39),""),0,"")</f>
        <v/>
      </c>
      <c r="V39" s="206" t="str">
        <f ca="1">SUBSTITUTE(IFERROR(INDEX(Personnel[Name organisation],Q39),""),0,"")</f>
        <v/>
      </c>
      <c r="W39" s="195"/>
      <c r="X39" s="207" t="str">
        <f>IF(ROW(E1576)-ROW($E$1548)&lt;ROWS(inkind[]),IFERROR(IF(INDEX(list_cofunders[private?],MATCH(Budget!#REF!,list_cofunders[list cofunders],0),1)="yes",Budget!#REF!,""),""),"")</f>
        <v/>
      </c>
      <c r="Y39" s="208" t="str">
        <f>IF(ROW(E1679)-ROW($E$1651)&lt;ROWS(incash[]),IFERROR(IF(INDEX(list_cofunders[private?],MATCH(Budget!#REF!,list_cofunders[list cofunders],0),1)="yes",Budget!#REF!,""),""),"")</f>
        <v/>
      </c>
      <c r="Z39" s="205" t="str">
        <f>IFERROR(INDEX(Personnel[FTE],X39),"")</f>
        <v/>
      </c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7"/>
      <c r="DA39" s="27"/>
      <c r="DB39" s="27"/>
      <c r="DC39" s="27"/>
      <c r="DD39" s="27"/>
      <c r="DE39" s="27"/>
      <c r="DF39" s="27"/>
      <c r="DG39" s="27"/>
      <c r="DH39" s="27"/>
    </row>
    <row r="40" spans="2:112" s="26" customFormat="1" ht="11.25" customHeight="1" outlineLevel="1" x14ac:dyDescent="0.35">
      <c r="B40" s="132" t="str">
        <f ca="1">IF(IFERROR(MATCH("*Other*",OFFSET(Budget!$A$20,B39,0,ROWS(Personnel[]),1),0)+B39,999)&lt;ROWS(Personnel[]),IFERROR(MATCH("*Other*",OFFSET(Budget!$A$20,B39,0,ROWS(Personnel[]),1),0)+B39,999),"")</f>
        <v/>
      </c>
      <c r="C40" s="115" t="str">
        <f ca="1">IFERROR(INDEX(Personnel[Amount],B40),"")</f>
        <v/>
      </c>
      <c r="D40" s="29"/>
      <c r="E40" s="132" t="str">
        <f ca="1">IF(MIN(IFERROR(MATCH("*PostDoc*",OFFSET(Budget!$A$20,E39,0,ROWS(Personnel[]),1),0)+E39,999),IFERROR(MATCH("*PhD*",OFFSET(Budget!$A$20,E39,0,ROWS(Personnel[]),1),0)+E39,999),IFERROR(MATCH("*PDEng*",OFFSET(Budget!$A$20,E39,0,ROWS(Personnel[]),1),0)+E39,999))&lt;ROWS(Personnel[]),MIN(IFERROR(MATCH("*PostDoc*",OFFSET(Budget!$A$20,E39,0,ROWS(Personnel[]),1),0)+E39,999),IFERROR(MATCH("*PhD*",OFFSET(Budget!$A$20,E39,0,ROWS(Personnel[]),1),0)+E39,999),IFERROR(MATCH("*PDEng*",OFFSET(Budget!$A$20,E39,0,ROWS(Personnel[]),1),0)+E39,999)),"")</f>
        <v/>
      </c>
      <c r="F40" s="119" t="str">
        <f ca="1">IFERROR(INDEX(Personnel[FTE],E40)*INDEX(Personnel[Months],E40)/12,"")</f>
        <v/>
      </c>
      <c r="G40" s="140"/>
      <c r="H40" s="142" t="e">
        <f ca="1">IF(IFERROR(MATCH("*researcher*",OFFSET(Budget!#REF!,H39,0,ROWS(#REF!),1),0)+H39,999)&lt;ROWS(#REF!),IFERROR(MATCH("*researcher*",OFFSET(Budget!#REF!,H39,0,ROWS(#REF!),1),0)+H39,999),"")</f>
        <v>#REF!</v>
      </c>
      <c r="I40" s="146" t="str">
        <f ca="1">IF(ISERROR(IF(AND(INDEX(#REF!,H40)&gt;=pers_oi_min_months,INDEX(#REF!,H40)/INDEX(#REF!,H40)*12/pers_other_nrhours_year&gt;=pers_oi_minFTE)=TRUE,INDEX(#REF!,H40)/12,0)),"",IF(AND(INDEX(#REF!,H40)&gt;=pers_oi_min_months,INDEX(#REF!,H40)/INDEX(#REF!,H40)*12/pers_other_nrhours_year&gt;=pers_oi_minFTE)=TRUE,INDEX(#REF!,H40)/12,""))</f>
        <v/>
      </c>
      <c r="J40" s="140"/>
      <c r="K40" s="132" t="str">
        <f ca="1">IF(IFERROR(MATCH("*Non-scientific*",OFFSET(Budget!$A$20,K39,0,ROWS(Personnel[]),1),0)+K39,999)&lt;ROWS(Personnel[]),IFERROR(MATCH("*Non-scientific*",OFFSET(Budget!$A$20,K39,0,ROWS(Personnel[]),1),0)+K39,999),"")</f>
        <v/>
      </c>
      <c r="L40" s="115" t="str">
        <f ca="1">IFERROR(INDEX(Personnel[Amount],K40),"")</f>
        <v/>
      </c>
      <c r="M40" s="195"/>
      <c r="N40" s="132" t="str">
        <f ca="1">IF(IFERROR(MATCH("*leave*",OFFSET(Budget!$A$20,N39,0,ROWS(Personnel[]),1),0)+N39,999)&lt;ROWS(Personnel[]),IFERROR(MATCH("*leave*",OFFSET(Budget!$A$20,N39,0,ROWS(Personnel[]),1),0)+N39,999),"")</f>
        <v/>
      </c>
      <c r="O40" s="137" t="str">
        <f ca="1">IFERROR(INDEX(Personnel[Months],N40)*INDEX(Personnel[FTE],N40),"")</f>
        <v/>
      </c>
      <c r="P40" s="195"/>
      <c r="Q40" s="132" t="str">
        <f ca="1">IF(MIN(IFERROR(MATCH("*PostDoc*",OFFSET(Budget!$A$20,Q39,0,ROWS(Personnel[])-Q39,1),0)+Q39,999),IFERROR(MATCH("*PhD*",OFFSET(Budget!$A$20,Q39,0,ROWS(Personnel[])-Q39,1),0)+Q39,999),IFERROR(MATCH("*PDEng*",OFFSET(Budget!$A$20,Q39,0,ROWS(Personnel[])-Q39,1),0)+Q39,999),IFERROR(MATCH("*Doctorate*",OFFSET(Budget!$A$20,Q39,0,ROWS(Personnel[])-Q39,1),0)+Q39,999))&lt;ROWS(Personnel[]),MIN(IFERROR(MATCH("*PostDoc*",OFFSET(Budget!$A$20,Q39,0,ROWS(Personnel[])-Q39,1),0)+Q39,999),IFERROR(MATCH("*PhD*",OFFSET(Budget!$A$20,Q39,0,ROWS(Personnel[])-Q39,1),0)+Q39,999),IFERROR(MATCH("*PDEng*",OFFSET(Budget!$A$20,Q39,0,ROWS(Personnel[])-Q39,1),0)+Q39,999),IFERROR(MATCH("*Doctorate*",OFFSET(Budget!$A$20,Q39,0,ROWS(Personnel[])-Q39,1),0)+Q39,999)),"")</f>
        <v/>
      </c>
      <c r="R40" s="205" t="str">
        <f ca="1">IFERROR(INDEX(Personnel[Category],Q40),"")</f>
        <v/>
      </c>
      <c r="S40" s="205" t="str">
        <f ca="1">IFERROR(INDEX(Personnel[FTE],Q40),"")</f>
        <v/>
      </c>
      <c r="T40" s="205" t="str">
        <f ca="1">IFERROR(INDEX(Personnel[Months],Q40),"")</f>
        <v/>
      </c>
      <c r="U40" s="205" t="str">
        <f ca="1">SUBSTITUTE(IFERROR(INDEX(Personnel[Organisation type],Q40),""),0,"")</f>
        <v/>
      </c>
      <c r="V40" s="206" t="str">
        <f ca="1">SUBSTITUTE(IFERROR(INDEX(Personnel[Name organisation],Q40),""),0,"")</f>
        <v/>
      </c>
      <c r="W40" s="195"/>
      <c r="X40" s="207" t="str">
        <f>IF(ROW(E1577)-ROW($E$1548)&lt;ROWS(inkind[]),IFERROR(IF(INDEX(list_cofunders[private?],MATCH(Budget!#REF!,list_cofunders[list cofunders],0),1)="yes",Budget!#REF!,""),""),"")</f>
        <v/>
      </c>
      <c r="Y40" s="208" t="str">
        <f>IF(ROW(E1680)-ROW($E$1651)&lt;ROWS(incash[]),IFERROR(IF(INDEX(list_cofunders[private?],MATCH(Budget!#REF!,list_cofunders[list cofunders],0),1)="yes",Budget!#REF!,""),""),"")</f>
        <v/>
      </c>
      <c r="Z40" s="205" t="str">
        <f>IFERROR(INDEX(Personnel[FTE],X40),"")</f>
        <v/>
      </c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7"/>
      <c r="DA40" s="27"/>
      <c r="DB40" s="27"/>
      <c r="DC40" s="27"/>
      <c r="DD40" s="27"/>
      <c r="DE40" s="27"/>
      <c r="DF40" s="27"/>
      <c r="DG40" s="27"/>
      <c r="DH40" s="27"/>
    </row>
    <row r="41" spans="2:112" s="26" customFormat="1" ht="11.25" customHeight="1" outlineLevel="1" x14ac:dyDescent="0.35">
      <c r="B41" s="132" t="str">
        <f ca="1">IF(IFERROR(MATCH("*Other*",OFFSET(Budget!$A$20,B40,0,ROWS(Personnel[]),1),0)+B40,999)&lt;ROWS(Personnel[]),IFERROR(MATCH("*Other*",OFFSET(Budget!$A$20,B40,0,ROWS(Personnel[]),1),0)+B40,999),"")</f>
        <v/>
      </c>
      <c r="C41" s="115" t="str">
        <f ca="1">IFERROR(INDEX(Personnel[Amount],B41),"")</f>
        <v/>
      </c>
      <c r="D41" s="29"/>
      <c r="E41" s="132" t="str">
        <f ca="1">IF(MIN(IFERROR(MATCH("*PostDoc*",OFFSET(Budget!$A$20,E40,0,ROWS(Personnel[]),1),0)+E40,999),IFERROR(MATCH("*PhD*",OFFSET(Budget!$A$20,E40,0,ROWS(Personnel[]),1),0)+E40,999),IFERROR(MATCH("*PDEng*",OFFSET(Budget!$A$20,E40,0,ROWS(Personnel[]),1),0)+E40,999))&lt;ROWS(Personnel[]),MIN(IFERROR(MATCH("*PostDoc*",OFFSET(Budget!$A$20,E40,0,ROWS(Personnel[]),1),0)+E40,999),IFERROR(MATCH("*PhD*",OFFSET(Budget!$A$20,E40,0,ROWS(Personnel[]),1),0)+E40,999),IFERROR(MATCH("*PDEng*",OFFSET(Budget!$A$20,E40,0,ROWS(Personnel[]),1),0)+E40,999)),"")</f>
        <v/>
      </c>
      <c r="F41" s="119" t="str">
        <f ca="1">IFERROR(INDEX(Personnel[FTE],E41)*INDEX(Personnel[Months],E41)/12,"")</f>
        <v/>
      </c>
      <c r="G41" s="140"/>
      <c r="H41" s="142" t="e">
        <f ca="1">IF(IFERROR(MATCH("*researcher*",OFFSET(Budget!#REF!,H40,0,ROWS(#REF!),1),0)+H40,999)&lt;ROWS(#REF!),IFERROR(MATCH("*researcher*",OFFSET(Budget!#REF!,H40,0,ROWS(#REF!),1),0)+H40,999),"")</f>
        <v>#REF!</v>
      </c>
      <c r="I41" s="146" t="str">
        <f ca="1">IF(ISERROR(IF(AND(INDEX(#REF!,H41)&gt;=pers_oi_min_months,INDEX(#REF!,H41)/INDEX(#REF!,H41)*12/pers_other_nrhours_year&gt;=pers_oi_minFTE)=TRUE,INDEX(#REF!,H41)/12,0)),"",IF(AND(INDEX(#REF!,H41)&gt;=pers_oi_min_months,INDEX(#REF!,H41)/INDEX(#REF!,H41)*12/pers_other_nrhours_year&gt;=pers_oi_minFTE)=TRUE,INDEX(#REF!,H41)/12,""))</f>
        <v/>
      </c>
      <c r="J41" s="140"/>
      <c r="K41" s="132" t="str">
        <f ca="1">IF(IFERROR(MATCH("*Non-scientific*",OFFSET(Budget!$A$20,K40,0,ROWS(Personnel[]),1),0)+K40,999)&lt;ROWS(Personnel[]),IFERROR(MATCH("*Non-scientific*",OFFSET(Budget!$A$20,K40,0,ROWS(Personnel[]),1),0)+K40,999),"")</f>
        <v/>
      </c>
      <c r="L41" s="115" t="str">
        <f ca="1">IFERROR(INDEX(Personnel[Amount],K41),"")</f>
        <v/>
      </c>
      <c r="M41" s="195"/>
      <c r="N41" s="132" t="str">
        <f ca="1">IF(IFERROR(MATCH("*leave*",OFFSET(Budget!$A$20,N40,0,ROWS(Personnel[]),1),0)+N40,999)&lt;ROWS(Personnel[]),IFERROR(MATCH("*leave*",OFFSET(Budget!$A$20,N40,0,ROWS(Personnel[]),1),0)+N40,999),"")</f>
        <v/>
      </c>
      <c r="O41" s="137" t="str">
        <f ca="1">IFERROR(INDEX(Personnel[Months],N41)*INDEX(Personnel[FTE],N41),"")</f>
        <v/>
      </c>
      <c r="P41" s="195"/>
      <c r="Q41" s="132" t="str">
        <f ca="1">IF(MIN(IFERROR(MATCH("*PostDoc*",OFFSET(Budget!$A$20,Q40,0,ROWS(Personnel[])-Q40,1),0)+Q40,999),IFERROR(MATCH("*PhD*",OFFSET(Budget!$A$20,Q40,0,ROWS(Personnel[])-Q40,1),0)+Q40,999),IFERROR(MATCH("*PDEng*",OFFSET(Budget!$A$20,Q40,0,ROWS(Personnel[])-Q40,1),0)+Q40,999),IFERROR(MATCH("*Doctorate*",OFFSET(Budget!$A$20,Q40,0,ROWS(Personnel[])-Q40,1),0)+Q40,999))&lt;ROWS(Personnel[]),MIN(IFERROR(MATCH("*PostDoc*",OFFSET(Budget!$A$20,Q40,0,ROWS(Personnel[])-Q40,1),0)+Q40,999),IFERROR(MATCH("*PhD*",OFFSET(Budget!$A$20,Q40,0,ROWS(Personnel[])-Q40,1),0)+Q40,999),IFERROR(MATCH("*PDEng*",OFFSET(Budget!$A$20,Q40,0,ROWS(Personnel[])-Q40,1),0)+Q40,999),IFERROR(MATCH("*Doctorate*",OFFSET(Budget!$A$20,Q40,0,ROWS(Personnel[])-Q40,1),0)+Q40,999)),"")</f>
        <v/>
      </c>
      <c r="R41" s="205" t="str">
        <f ca="1">IFERROR(INDEX(Personnel[Category],Q41),"")</f>
        <v/>
      </c>
      <c r="S41" s="205" t="str">
        <f ca="1">IFERROR(INDEX(Personnel[FTE],Q41),"")</f>
        <v/>
      </c>
      <c r="T41" s="205" t="str">
        <f ca="1">IFERROR(INDEX(Personnel[Months],Q41),"")</f>
        <v/>
      </c>
      <c r="U41" s="205" t="str">
        <f ca="1">SUBSTITUTE(IFERROR(INDEX(Personnel[Organisation type],Q41),""),0,"")</f>
        <v/>
      </c>
      <c r="V41" s="206" t="str">
        <f ca="1">SUBSTITUTE(IFERROR(INDEX(Personnel[Name organisation],Q41),""),0,"")</f>
        <v/>
      </c>
      <c r="W41" s="195"/>
      <c r="X41" s="207" t="str">
        <f>IF(ROW(E1578)-ROW($E$1548)&lt;ROWS(inkind[]),IFERROR(IF(INDEX(list_cofunders[private?],MATCH(Budget!#REF!,list_cofunders[list cofunders],0),1)="yes",Budget!#REF!,""),""),"")</f>
        <v/>
      </c>
      <c r="Y41" s="208" t="str">
        <f>IF(ROW(E1681)-ROW($E$1651)&lt;ROWS(incash[]),IFERROR(IF(INDEX(list_cofunders[private?],MATCH(Budget!#REF!,list_cofunders[list cofunders],0),1)="yes",Budget!#REF!,""),""),"")</f>
        <v/>
      </c>
      <c r="Z41" s="205" t="str">
        <f>IFERROR(INDEX(Personnel[FTE],X41),"")</f>
        <v/>
      </c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7"/>
      <c r="DA41" s="27"/>
      <c r="DB41" s="27"/>
      <c r="DC41" s="27"/>
      <c r="DD41" s="27"/>
      <c r="DE41" s="27"/>
      <c r="DF41" s="27"/>
      <c r="DG41" s="27"/>
      <c r="DH41" s="27"/>
    </row>
    <row r="42" spans="2:112" s="26" customFormat="1" ht="11.25" customHeight="1" outlineLevel="1" x14ac:dyDescent="0.35">
      <c r="B42" s="132" t="str">
        <f ca="1">IF(IFERROR(MATCH("*Other*",OFFSET(Budget!$A$20,B41,0,ROWS(Personnel[]),1),0)+B41,999)&lt;ROWS(Personnel[]),IFERROR(MATCH("*Other*",OFFSET(Budget!$A$20,B41,0,ROWS(Personnel[]),1),0)+B41,999),"")</f>
        <v/>
      </c>
      <c r="C42" s="115" t="str">
        <f ca="1">IFERROR(INDEX(Personnel[Amount],B42),"")</f>
        <v/>
      </c>
      <c r="D42" s="29"/>
      <c r="E42" s="132" t="str">
        <f ca="1">IF(MIN(IFERROR(MATCH("*PostDoc*",OFFSET(Budget!$A$20,E41,0,ROWS(Personnel[]),1),0)+E41,999),IFERROR(MATCH("*PhD*",OFFSET(Budget!$A$20,E41,0,ROWS(Personnel[]),1),0)+E41,999),IFERROR(MATCH("*PDEng*",OFFSET(Budget!$A$20,E41,0,ROWS(Personnel[]),1),0)+E41,999))&lt;ROWS(Personnel[]),MIN(IFERROR(MATCH("*PostDoc*",OFFSET(Budget!$A$20,E41,0,ROWS(Personnel[]),1),0)+E41,999),IFERROR(MATCH("*PhD*",OFFSET(Budget!$A$20,E41,0,ROWS(Personnel[]),1),0)+E41,999),IFERROR(MATCH("*PDEng*",OFFSET(Budget!$A$20,E41,0,ROWS(Personnel[]),1),0)+E41,999)),"")</f>
        <v/>
      </c>
      <c r="F42" s="119" t="str">
        <f ca="1">IFERROR(INDEX(Personnel[FTE],E42)*INDEX(Personnel[Months],E42)/12,"")</f>
        <v/>
      </c>
      <c r="G42" s="140"/>
      <c r="H42" s="142" t="e">
        <f ca="1">IF(IFERROR(MATCH("*researcher*",OFFSET(Budget!#REF!,H41,0,ROWS(#REF!),1),0)+H41,999)&lt;ROWS(#REF!),IFERROR(MATCH("*researcher*",OFFSET(Budget!#REF!,H41,0,ROWS(#REF!),1),0)+H41,999),"")</f>
        <v>#REF!</v>
      </c>
      <c r="I42" s="146" t="str">
        <f ca="1">IF(ISERROR(IF(AND(INDEX(#REF!,H42)&gt;=pers_oi_min_months,INDEX(#REF!,H42)/INDEX(#REF!,H42)*12/pers_other_nrhours_year&gt;=pers_oi_minFTE)=TRUE,INDEX(#REF!,H42)/12,0)),"",IF(AND(INDEX(#REF!,H42)&gt;=pers_oi_min_months,INDEX(#REF!,H42)/INDEX(#REF!,H42)*12/pers_other_nrhours_year&gt;=pers_oi_minFTE)=TRUE,INDEX(#REF!,H42)/12,""))</f>
        <v/>
      </c>
      <c r="J42" s="140"/>
      <c r="K42" s="132" t="str">
        <f ca="1">IF(IFERROR(MATCH("*Non-scientific*",OFFSET(Budget!$A$20,K41,0,ROWS(Personnel[]),1),0)+K41,999)&lt;ROWS(Personnel[]),IFERROR(MATCH("*Non-scientific*",OFFSET(Budget!$A$20,K41,0,ROWS(Personnel[]),1),0)+K41,999),"")</f>
        <v/>
      </c>
      <c r="L42" s="115" t="str">
        <f ca="1">IFERROR(INDEX(Personnel[Amount],K42),"")</f>
        <v/>
      </c>
      <c r="M42" s="195"/>
      <c r="N42" s="132" t="str">
        <f ca="1">IF(IFERROR(MATCH("*leave*",OFFSET(Budget!$A$20,N41,0,ROWS(Personnel[]),1),0)+N41,999)&lt;ROWS(Personnel[]),IFERROR(MATCH("*leave*",OFFSET(Budget!$A$20,N41,0,ROWS(Personnel[]),1),0)+N41,999),"")</f>
        <v/>
      </c>
      <c r="O42" s="137" t="str">
        <f ca="1">IFERROR(INDEX(Personnel[Months],N42)*INDEX(Personnel[FTE],N42),"")</f>
        <v/>
      </c>
      <c r="P42" s="195"/>
      <c r="Q42" s="132" t="str">
        <f ca="1">IF(MIN(IFERROR(MATCH("*PostDoc*",OFFSET(Budget!$A$20,Q41,0,ROWS(Personnel[])-Q41,1),0)+Q41,999),IFERROR(MATCH("*PhD*",OFFSET(Budget!$A$20,Q41,0,ROWS(Personnel[])-Q41,1),0)+Q41,999),IFERROR(MATCH("*PDEng*",OFFSET(Budget!$A$20,Q41,0,ROWS(Personnel[])-Q41,1),0)+Q41,999),IFERROR(MATCH("*Doctorate*",OFFSET(Budget!$A$20,Q41,0,ROWS(Personnel[])-Q41,1),0)+Q41,999))&lt;ROWS(Personnel[]),MIN(IFERROR(MATCH("*PostDoc*",OFFSET(Budget!$A$20,Q41,0,ROWS(Personnel[])-Q41,1),0)+Q41,999),IFERROR(MATCH("*PhD*",OFFSET(Budget!$A$20,Q41,0,ROWS(Personnel[])-Q41,1),0)+Q41,999),IFERROR(MATCH("*PDEng*",OFFSET(Budget!$A$20,Q41,0,ROWS(Personnel[])-Q41,1),0)+Q41,999),IFERROR(MATCH("*Doctorate*",OFFSET(Budget!$A$20,Q41,0,ROWS(Personnel[])-Q41,1),0)+Q41,999)),"")</f>
        <v/>
      </c>
      <c r="R42" s="205" t="str">
        <f ca="1">IFERROR(INDEX(Personnel[Category],Q42),"")</f>
        <v/>
      </c>
      <c r="S42" s="205" t="str">
        <f ca="1">IFERROR(INDEX(Personnel[FTE],Q42),"")</f>
        <v/>
      </c>
      <c r="T42" s="205" t="str">
        <f ca="1">IFERROR(INDEX(Personnel[Months],Q42),"")</f>
        <v/>
      </c>
      <c r="U42" s="205" t="str">
        <f ca="1">SUBSTITUTE(IFERROR(INDEX(Personnel[Organisation type],Q42),""),0,"")</f>
        <v/>
      </c>
      <c r="V42" s="206" t="str">
        <f ca="1">SUBSTITUTE(IFERROR(INDEX(Personnel[Name organisation],Q42),""),0,"")</f>
        <v/>
      </c>
      <c r="W42" s="195"/>
      <c r="X42" s="207" t="str">
        <f>IF(ROW(E1579)-ROW($E$1548)&lt;ROWS(inkind[]),IFERROR(IF(INDEX(list_cofunders[private?],MATCH(Budget!#REF!,list_cofunders[list cofunders],0),1)="yes",Budget!#REF!,""),""),"")</f>
        <v/>
      </c>
      <c r="Y42" s="208" t="str">
        <f>IF(ROW(E1682)-ROW($E$1651)&lt;ROWS(incash[]),IFERROR(IF(INDEX(list_cofunders[private?],MATCH(Budget!#REF!,list_cofunders[list cofunders],0),1)="yes",Budget!#REF!,""),""),"")</f>
        <v/>
      </c>
      <c r="Z42" s="205" t="str">
        <f>IFERROR(INDEX(Personnel[FTE],X42),"")</f>
        <v/>
      </c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7"/>
      <c r="DA42" s="27"/>
      <c r="DB42" s="27"/>
      <c r="DC42" s="27"/>
      <c r="DD42" s="27"/>
      <c r="DE42" s="27"/>
      <c r="DF42" s="27"/>
      <c r="DG42" s="27"/>
      <c r="DH42" s="27"/>
    </row>
    <row r="43" spans="2:112" s="26" customFormat="1" ht="11.25" customHeight="1" outlineLevel="1" x14ac:dyDescent="0.35">
      <c r="B43" s="132" t="str">
        <f ca="1">IF(IFERROR(MATCH("*Other*",OFFSET(Budget!$A$20,B42,0,ROWS(Personnel[]),1),0)+B42,999)&lt;ROWS(Personnel[]),IFERROR(MATCH("*Other*",OFFSET(Budget!$A$20,B42,0,ROWS(Personnel[]),1),0)+B42,999),"")</f>
        <v/>
      </c>
      <c r="C43" s="115" t="str">
        <f ca="1">IFERROR(INDEX(Personnel[Amount],B43),"")</f>
        <v/>
      </c>
      <c r="D43" s="29"/>
      <c r="E43" s="132" t="str">
        <f ca="1">IF(MIN(IFERROR(MATCH("*PostDoc*",OFFSET(Budget!$A$20,E42,0,ROWS(Personnel[]),1),0)+E42,999),IFERROR(MATCH("*PhD*",OFFSET(Budget!$A$20,E42,0,ROWS(Personnel[]),1),0)+E42,999),IFERROR(MATCH("*PDEng*",OFFSET(Budget!$A$20,E42,0,ROWS(Personnel[]),1),0)+E42,999))&lt;ROWS(Personnel[]),MIN(IFERROR(MATCH("*PostDoc*",OFFSET(Budget!$A$20,E42,0,ROWS(Personnel[]),1),0)+E42,999),IFERROR(MATCH("*PhD*",OFFSET(Budget!$A$20,E42,0,ROWS(Personnel[]),1),0)+E42,999),IFERROR(MATCH("*PDEng*",OFFSET(Budget!$A$20,E42,0,ROWS(Personnel[]),1),0)+E42,999)),"")</f>
        <v/>
      </c>
      <c r="F43" s="119" t="str">
        <f ca="1">IFERROR(INDEX(Personnel[FTE],E43)*INDEX(Personnel[Months],E43)/12,"")</f>
        <v/>
      </c>
      <c r="G43" s="140"/>
      <c r="H43" s="142" t="e">
        <f ca="1">IF(IFERROR(MATCH("*researcher*",OFFSET(Budget!#REF!,H42,0,ROWS(#REF!),1),0)+H42,999)&lt;ROWS(#REF!),IFERROR(MATCH("*researcher*",OFFSET(Budget!#REF!,H42,0,ROWS(#REF!),1),0)+H42,999),"")</f>
        <v>#REF!</v>
      </c>
      <c r="I43" s="146" t="str">
        <f ca="1">IF(ISERROR(IF(AND(INDEX(#REF!,H43)&gt;=pers_oi_min_months,INDEX(#REF!,H43)/INDEX(#REF!,H43)*12/pers_other_nrhours_year&gt;=pers_oi_minFTE)=TRUE,INDEX(#REF!,H43)/12,0)),"",IF(AND(INDEX(#REF!,H43)&gt;=pers_oi_min_months,INDEX(#REF!,H43)/INDEX(#REF!,H43)*12/pers_other_nrhours_year&gt;=pers_oi_minFTE)=TRUE,INDEX(#REF!,H43)/12,""))</f>
        <v/>
      </c>
      <c r="J43" s="140"/>
      <c r="K43" s="132" t="str">
        <f ca="1">IF(IFERROR(MATCH("*Non-scientific*",OFFSET(Budget!$A$20,K42,0,ROWS(Personnel[]),1),0)+K42,999)&lt;ROWS(Personnel[]),IFERROR(MATCH("*Non-scientific*",OFFSET(Budget!$A$20,K42,0,ROWS(Personnel[]),1),0)+K42,999),"")</f>
        <v/>
      </c>
      <c r="L43" s="115" t="str">
        <f ca="1">IFERROR(INDEX(Personnel[Amount],K43),"")</f>
        <v/>
      </c>
      <c r="M43" s="195"/>
      <c r="N43" s="132" t="str">
        <f ca="1">IF(IFERROR(MATCH("*leave*",OFFSET(Budget!$A$20,N42,0,ROWS(Personnel[]),1),0)+N42,999)&lt;ROWS(Personnel[]),IFERROR(MATCH("*leave*",OFFSET(Budget!$A$20,N42,0,ROWS(Personnel[]),1),0)+N42,999),"")</f>
        <v/>
      </c>
      <c r="O43" s="137" t="str">
        <f ca="1">IFERROR(INDEX(Personnel[Months],N43)*INDEX(Personnel[FTE],N43),"")</f>
        <v/>
      </c>
      <c r="P43" s="195"/>
      <c r="Q43" s="132" t="str">
        <f ca="1">IF(MIN(IFERROR(MATCH("*PostDoc*",OFFSET(Budget!$A$20,Q42,0,ROWS(Personnel[])-Q42,1),0)+Q42,999),IFERROR(MATCH("*PhD*",OFFSET(Budget!$A$20,Q42,0,ROWS(Personnel[])-Q42,1),0)+Q42,999),IFERROR(MATCH("*PDEng*",OFFSET(Budget!$A$20,Q42,0,ROWS(Personnel[])-Q42,1),0)+Q42,999),IFERROR(MATCH("*Doctorate*",OFFSET(Budget!$A$20,Q42,0,ROWS(Personnel[])-Q42,1),0)+Q42,999))&lt;ROWS(Personnel[]),MIN(IFERROR(MATCH("*PostDoc*",OFFSET(Budget!$A$20,Q42,0,ROWS(Personnel[])-Q42,1),0)+Q42,999),IFERROR(MATCH("*PhD*",OFFSET(Budget!$A$20,Q42,0,ROWS(Personnel[])-Q42,1),0)+Q42,999),IFERROR(MATCH("*PDEng*",OFFSET(Budget!$A$20,Q42,0,ROWS(Personnel[])-Q42,1),0)+Q42,999),IFERROR(MATCH("*Doctorate*",OFFSET(Budget!$A$20,Q42,0,ROWS(Personnel[])-Q42,1),0)+Q42,999)),"")</f>
        <v/>
      </c>
      <c r="R43" s="205" t="str">
        <f ca="1">IFERROR(INDEX(Personnel[Category],Q43),"")</f>
        <v/>
      </c>
      <c r="S43" s="205" t="str">
        <f ca="1">IFERROR(INDEX(Personnel[FTE],Q43),"")</f>
        <v/>
      </c>
      <c r="T43" s="205" t="str">
        <f ca="1">IFERROR(INDEX(Personnel[Months],Q43),"")</f>
        <v/>
      </c>
      <c r="U43" s="205" t="str">
        <f ca="1">SUBSTITUTE(IFERROR(INDEX(Personnel[Organisation type],Q43),""),0,"")</f>
        <v/>
      </c>
      <c r="V43" s="206" t="str">
        <f ca="1">SUBSTITUTE(IFERROR(INDEX(Personnel[Name organisation],Q43),""),0,"")</f>
        <v/>
      </c>
      <c r="W43" s="195"/>
      <c r="X43" s="207" t="str">
        <f>IF(ROW(E1580)-ROW($E$1548)&lt;ROWS(inkind[]),IFERROR(IF(INDEX(list_cofunders[private?],MATCH(Budget!#REF!,list_cofunders[list cofunders],0),1)="yes",Budget!#REF!,""),""),"")</f>
        <v/>
      </c>
      <c r="Y43" s="208" t="str">
        <f>IF(ROW(E1683)-ROW($E$1651)&lt;ROWS(incash[]),IFERROR(IF(INDEX(list_cofunders[private?],MATCH(Budget!#REF!,list_cofunders[list cofunders],0),1)="yes",Budget!#REF!,""),""),"")</f>
        <v/>
      </c>
      <c r="Z43" s="205" t="str">
        <f>IFERROR(INDEX(Personnel[FTE],X43),"")</f>
        <v/>
      </c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2:112" s="26" customFormat="1" ht="11.25" customHeight="1" outlineLevel="1" x14ac:dyDescent="0.35">
      <c r="B44" s="132" t="str">
        <f ca="1">IF(IFERROR(MATCH("*Other*",OFFSET(Budget!$A$20,B43,0,ROWS(Personnel[]),1),0)+B43,999)&lt;ROWS(Personnel[]),IFERROR(MATCH("*Other*",OFFSET(Budget!$A$20,B43,0,ROWS(Personnel[]),1),0)+B43,999),"")</f>
        <v/>
      </c>
      <c r="C44" s="115" t="str">
        <f ca="1">IFERROR(INDEX(Personnel[Amount],B44),"")</f>
        <v/>
      </c>
      <c r="D44" s="29"/>
      <c r="E44" s="132" t="str">
        <f ca="1">IF(MIN(IFERROR(MATCH("*PostDoc*",OFFSET(Budget!$A$20,E43,0,ROWS(Personnel[]),1),0)+E43,999),IFERROR(MATCH("*PhD*",OFFSET(Budget!$A$20,E43,0,ROWS(Personnel[]),1),0)+E43,999),IFERROR(MATCH("*PDEng*",OFFSET(Budget!$A$20,E43,0,ROWS(Personnel[]),1),0)+E43,999))&lt;ROWS(Personnel[]),MIN(IFERROR(MATCH("*PostDoc*",OFFSET(Budget!$A$20,E43,0,ROWS(Personnel[]),1),0)+E43,999),IFERROR(MATCH("*PhD*",OFFSET(Budget!$A$20,E43,0,ROWS(Personnel[]),1),0)+E43,999),IFERROR(MATCH("*PDEng*",OFFSET(Budget!$A$20,E43,0,ROWS(Personnel[]),1),0)+E43,999)),"")</f>
        <v/>
      </c>
      <c r="F44" s="119" t="str">
        <f ca="1">IFERROR(INDEX(Personnel[FTE],E44)*INDEX(Personnel[Months],E44)/12,"")</f>
        <v/>
      </c>
      <c r="G44" s="140"/>
      <c r="H44" s="142" t="e">
        <f ca="1">IF(IFERROR(MATCH("*researcher*",OFFSET(Budget!#REF!,H43,0,ROWS(#REF!),1),0)+H43,999)&lt;ROWS(#REF!),IFERROR(MATCH("*researcher*",OFFSET(Budget!#REF!,H43,0,ROWS(#REF!),1),0)+H43,999),"")</f>
        <v>#REF!</v>
      </c>
      <c r="I44" s="146" t="str">
        <f ca="1">IF(ISERROR(IF(AND(INDEX(#REF!,H44)&gt;=pers_oi_min_months,INDEX(#REF!,H44)/INDEX(#REF!,H44)*12/pers_other_nrhours_year&gt;=pers_oi_minFTE)=TRUE,INDEX(#REF!,H44)/12,0)),"",IF(AND(INDEX(#REF!,H44)&gt;=pers_oi_min_months,INDEX(#REF!,H44)/INDEX(#REF!,H44)*12/pers_other_nrhours_year&gt;=pers_oi_minFTE)=TRUE,INDEX(#REF!,H44)/12,""))</f>
        <v/>
      </c>
      <c r="J44" s="140"/>
      <c r="K44" s="132" t="str">
        <f ca="1">IF(IFERROR(MATCH("*Non-scientific*",OFFSET(Budget!$A$20,K43,0,ROWS(Personnel[]),1),0)+K43,999)&lt;ROWS(Personnel[]),IFERROR(MATCH("*Non-scientific*",OFFSET(Budget!$A$20,K43,0,ROWS(Personnel[]),1),0)+K43,999),"")</f>
        <v/>
      </c>
      <c r="L44" s="115" t="str">
        <f ca="1">IFERROR(INDEX(Personnel[Amount],K44),"")</f>
        <v/>
      </c>
      <c r="M44" s="195"/>
      <c r="N44" s="132" t="str">
        <f ca="1">IF(IFERROR(MATCH("*leave*",OFFSET(Budget!$A$20,N43,0,ROWS(Personnel[]),1),0)+N43,999)&lt;ROWS(Personnel[]),IFERROR(MATCH("*leave*",OFFSET(Budget!$A$20,N43,0,ROWS(Personnel[]),1),0)+N43,999),"")</f>
        <v/>
      </c>
      <c r="O44" s="137" t="str">
        <f ca="1">IFERROR(INDEX(Personnel[Months],N44)*INDEX(Personnel[FTE],N44),"")</f>
        <v/>
      </c>
      <c r="P44" s="195"/>
      <c r="Q44" s="132" t="str">
        <f ca="1">IF(MIN(IFERROR(MATCH("*PostDoc*",OFFSET(Budget!$A$20,Q43,0,ROWS(Personnel[])-Q43,1),0)+Q43,999),IFERROR(MATCH("*PhD*",OFFSET(Budget!$A$20,Q43,0,ROWS(Personnel[])-Q43,1),0)+Q43,999),IFERROR(MATCH("*PDEng*",OFFSET(Budget!$A$20,Q43,0,ROWS(Personnel[])-Q43,1),0)+Q43,999),IFERROR(MATCH("*Doctorate*",OFFSET(Budget!$A$20,Q43,0,ROWS(Personnel[])-Q43,1),0)+Q43,999))&lt;ROWS(Personnel[]),MIN(IFERROR(MATCH("*PostDoc*",OFFSET(Budget!$A$20,Q43,0,ROWS(Personnel[])-Q43,1),0)+Q43,999),IFERROR(MATCH("*PhD*",OFFSET(Budget!$A$20,Q43,0,ROWS(Personnel[])-Q43,1),0)+Q43,999),IFERROR(MATCH("*PDEng*",OFFSET(Budget!$A$20,Q43,0,ROWS(Personnel[])-Q43,1),0)+Q43,999),IFERROR(MATCH("*Doctorate*",OFFSET(Budget!$A$20,Q43,0,ROWS(Personnel[])-Q43,1),0)+Q43,999)),"")</f>
        <v/>
      </c>
      <c r="R44" s="205" t="str">
        <f ca="1">IFERROR(INDEX(Personnel[Category],Q44),"")</f>
        <v/>
      </c>
      <c r="S44" s="205" t="str">
        <f ca="1">IFERROR(INDEX(Personnel[FTE],Q44),"")</f>
        <v/>
      </c>
      <c r="T44" s="205" t="str">
        <f ca="1">IFERROR(INDEX(Personnel[Months],Q44),"")</f>
        <v/>
      </c>
      <c r="U44" s="205" t="str">
        <f ca="1">SUBSTITUTE(IFERROR(INDEX(Personnel[Organisation type],Q44),""),0,"")</f>
        <v/>
      </c>
      <c r="V44" s="206" t="str">
        <f ca="1">SUBSTITUTE(IFERROR(INDEX(Personnel[Name organisation],Q44),""),0,"")</f>
        <v/>
      </c>
      <c r="W44" s="195"/>
      <c r="X44" s="207" t="str">
        <f>IF(ROW(E1581)-ROW($E$1548)&lt;ROWS(inkind[]),IFERROR(IF(INDEX(list_cofunders[private?],MATCH(Budget!#REF!,list_cofunders[list cofunders],0),1)="yes",Budget!#REF!,""),""),"")</f>
        <v/>
      </c>
      <c r="Y44" s="208" t="str">
        <f>IF(ROW(E1684)-ROW($E$1651)&lt;ROWS(incash[]),IFERROR(IF(INDEX(list_cofunders[private?],MATCH(Budget!#REF!,list_cofunders[list cofunders],0),1)="yes",Budget!#REF!,""),""),"")</f>
        <v/>
      </c>
      <c r="Z44" s="205" t="str">
        <f>IFERROR(INDEX(Personnel[FTE],X44),"")</f>
        <v/>
      </c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7"/>
      <c r="DA44" s="27"/>
      <c r="DB44" s="27"/>
      <c r="DC44" s="27"/>
      <c r="DD44" s="27"/>
      <c r="DE44" s="27"/>
      <c r="DF44" s="27"/>
      <c r="DG44" s="27"/>
      <c r="DH44" s="27"/>
    </row>
    <row r="45" spans="2:112" s="26" customFormat="1" ht="11.25" customHeight="1" outlineLevel="1" x14ac:dyDescent="0.35">
      <c r="B45" s="132" t="str">
        <f ca="1">IF(IFERROR(MATCH("*Other*",OFFSET(Budget!$A$20,B44,0,ROWS(Personnel[]),1),0)+B44,999)&lt;ROWS(Personnel[]),IFERROR(MATCH("*Other*",OFFSET(Budget!$A$20,B44,0,ROWS(Personnel[]),1),0)+B44,999),"")</f>
        <v/>
      </c>
      <c r="C45" s="115" t="str">
        <f ca="1">IFERROR(INDEX(Personnel[Amount],B45),"")</f>
        <v/>
      </c>
      <c r="D45" s="29"/>
      <c r="E45" s="132" t="str">
        <f ca="1">IF(MIN(IFERROR(MATCH("*PostDoc*",OFFSET(Budget!$A$20,E44,0,ROWS(Personnel[]),1),0)+E44,999),IFERROR(MATCH("*PhD*",OFFSET(Budget!$A$20,E44,0,ROWS(Personnel[]),1),0)+E44,999),IFERROR(MATCH("*PDEng*",OFFSET(Budget!$A$20,E44,0,ROWS(Personnel[]),1),0)+E44,999))&lt;ROWS(Personnel[]),MIN(IFERROR(MATCH("*PostDoc*",OFFSET(Budget!$A$20,E44,0,ROWS(Personnel[]),1),0)+E44,999),IFERROR(MATCH("*PhD*",OFFSET(Budget!$A$20,E44,0,ROWS(Personnel[]),1),0)+E44,999),IFERROR(MATCH("*PDEng*",OFFSET(Budget!$A$20,E44,0,ROWS(Personnel[]),1),0)+E44,999)),"")</f>
        <v/>
      </c>
      <c r="F45" s="119" t="str">
        <f ca="1">IFERROR(INDEX(Personnel[FTE],E45)*INDEX(Personnel[Months],E45)/12,"")</f>
        <v/>
      </c>
      <c r="G45" s="140"/>
      <c r="H45" s="142" t="e">
        <f ca="1">IF(IFERROR(MATCH("*researcher*",OFFSET(Budget!#REF!,H44,0,ROWS(#REF!),1),0)+H44,999)&lt;ROWS(#REF!),IFERROR(MATCH("*researcher*",OFFSET(Budget!#REF!,H44,0,ROWS(#REF!),1),0)+H44,999),"")</f>
        <v>#REF!</v>
      </c>
      <c r="I45" s="146" t="str">
        <f ca="1">IF(ISERROR(IF(AND(INDEX(#REF!,H45)&gt;=pers_oi_min_months,INDEX(#REF!,H45)/INDEX(#REF!,H45)*12/pers_other_nrhours_year&gt;=pers_oi_minFTE)=TRUE,INDEX(#REF!,H45)/12,0)),"",IF(AND(INDEX(#REF!,H45)&gt;=pers_oi_min_months,INDEX(#REF!,H45)/INDEX(#REF!,H45)*12/pers_other_nrhours_year&gt;=pers_oi_minFTE)=TRUE,INDEX(#REF!,H45)/12,""))</f>
        <v/>
      </c>
      <c r="J45" s="140"/>
      <c r="K45" s="132" t="str">
        <f ca="1">IF(IFERROR(MATCH("*Non-scientific*",OFFSET(Budget!$A$20,K44,0,ROWS(Personnel[]),1),0)+K44,999)&lt;ROWS(Personnel[]),IFERROR(MATCH("*Non-scientific*",OFFSET(Budget!$A$20,K44,0,ROWS(Personnel[]),1),0)+K44,999),"")</f>
        <v/>
      </c>
      <c r="L45" s="115" t="str">
        <f ca="1">IFERROR(INDEX(Personnel[Amount],K45),"")</f>
        <v/>
      </c>
      <c r="M45" s="195"/>
      <c r="N45" s="132" t="str">
        <f ca="1">IF(IFERROR(MATCH("*leave*",OFFSET(Budget!$A$20,N44,0,ROWS(Personnel[]),1),0)+N44,999)&lt;ROWS(Personnel[]),IFERROR(MATCH("*leave*",OFFSET(Budget!$A$20,N44,0,ROWS(Personnel[]),1),0)+N44,999),"")</f>
        <v/>
      </c>
      <c r="O45" s="137" t="str">
        <f ca="1">IFERROR(INDEX(Personnel[Months],N45)*INDEX(Personnel[FTE],N45),"")</f>
        <v/>
      </c>
      <c r="P45" s="195"/>
      <c r="Q45" s="132" t="str">
        <f ca="1">IF(MIN(IFERROR(MATCH("*PostDoc*",OFFSET(Budget!$A$20,Q44,0,ROWS(Personnel[])-Q44,1),0)+Q44,999),IFERROR(MATCH("*PhD*",OFFSET(Budget!$A$20,Q44,0,ROWS(Personnel[])-Q44,1),0)+Q44,999),IFERROR(MATCH("*PDEng*",OFFSET(Budget!$A$20,Q44,0,ROWS(Personnel[])-Q44,1),0)+Q44,999),IFERROR(MATCH("*Doctorate*",OFFSET(Budget!$A$20,Q44,0,ROWS(Personnel[])-Q44,1),0)+Q44,999))&lt;ROWS(Personnel[]),MIN(IFERROR(MATCH("*PostDoc*",OFFSET(Budget!$A$20,Q44,0,ROWS(Personnel[])-Q44,1),0)+Q44,999),IFERROR(MATCH("*PhD*",OFFSET(Budget!$A$20,Q44,0,ROWS(Personnel[])-Q44,1),0)+Q44,999),IFERROR(MATCH("*PDEng*",OFFSET(Budget!$A$20,Q44,0,ROWS(Personnel[])-Q44,1),0)+Q44,999),IFERROR(MATCH("*Doctorate*",OFFSET(Budget!$A$20,Q44,0,ROWS(Personnel[])-Q44,1),0)+Q44,999)),"")</f>
        <v/>
      </c>
      <c r="R45" s="205" t="str">
        <f ca="1">IFERROR(INDEX(Personnel[Category],Q45),"")</f>
        <v/>
      </c>
      <c r="S45" s="205" t="str">
        <f ca="1">IFERROR(INDEX(Personnel[FTE],Q45),"")</f>
        <v/>
      </c>
      <c r="T45" s="205" t="str">
        <f ca="1">IFERROR(INDEX(Personnel[Months],Q45),"")</f>
        <v/>
      </c>
      <c r="U45" s="205" t="str">
        <f ca="1">SUBSTITUTE(IFERROR(INDEX(Personnel[Organisation type],Q45),""),0,"")</f>
        <v/>
      </c>
      <c r="V45" s="206" t="str">
        <f ca="1">SUBSTITUTE(IFERROR(INDEX(Personnel[Name organisation],Q45),""),0,"")</f>
        <v/>
      </c>
      <c r="W45" s="195"/>
      <c r="X45" s="207" t="str">
        <f>IF(ROW(E1582)-ROW($E$1548)&lt;ROWS(inkind[]),IFERROR(IF(INDEX(list_cofunders[private?],MATCH(Budget!#REF!,list_cofunders[list cofunders],0),1)="yes",Budget!#REF!,""),""),"")</f>
        <v/>
      </c>
      <c r="Y45" s="208" t="str">
        <f>IF(ROW(E1685)-ROW($E$1651)&lt;ROWS(incash[]),IFERROR(IF(INDEX(list_cofunders[private?],MATCH(Budget!#REF!,list_cofunders[list cofunders],0),1)="yes",Budget!#REF!,""),""),"")</f>
        <v/>
      </c>
      <c r="Z45" s="205" t="str">
        <f>IFERROR(INDEX(Personnel[FTE],X45),"")</f>
        <v/>
      </c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7"/>
      <c r="DA45" s="27"/>
      <c r="DB45" s="27"/>
      <c r="DC45" s="27"/>
      <c r="DD45" s="27"/>
      <c r="DE45" s="27"/>
      <c r="DF45" s="27"/>
      <c r="DG45" s="27"/>
      <c r="DH45" s="27"/>
    </row>
    <row r="46" spans="2:112" s="26" customFormat="1" ht="11.25" customHeight="1" outlineLevel="1" x14ac:dyDescent="0.35">
      <c r="B46" s="132" t="str">
        <f ca="1">IF(IFERROR(MATCH("*Other*",OFFSET(Budget!$A$20,B45,0,ROWS(Personnel[]),1),0)+B45,999)&lt;ROWS(Personnel[]),IFERROR(MATCH("*Other*",OFFSET(Budget!$A$20,B45,0,ROWS(Personnel[]),1),0)+B45,999),"")</f>
        <v/>
      </c>
      <c r="C46" s="115" t="str">
        <f ca="1">IFERROR(INDEX(Personnel[Amount],B46),"")</f>
        <v/>
      </c>
      <c r="D46" s="29"/>
      <c r="E46" s="132" t="str">
        <f ca="1">IF(MIN(IFERROR(MATCH("*PostDoc*",OFFSET(Budget!$A$20,E45,0,ROWS(Personnel[]),1),0)+E45,999),IFERROR(MATCH("*PhD*",OFFSET(Budget!$A$20,E45,0,ROWS(Personnel[]),1),0)+E45,999),IFERROR(MATCH("*PDEng*",OFFSET(Budget!$A$20,E45,0,ROWS(Personnel[]),1),0)+E45,999))&lt;ROWS(Personnel[]),MIN(IFERROR(MATCH("*PostDoc*",OFFSET(Budget!$A$20,E45,0,ROWS(Personnel[]),1),0)+E45,999),IFERROR(MATCH("*PhD*",OFFSET(Budget!$A$20,E45,0,ROWS(Personnel[]),1),0)+E45,999),IFERROR(MATCH("*PDEng*",OFFSET(Budget!$A$20,E45,0,ROWS(Personnel[]),1),0)+E45,999)),"")</f>
        <v/>
      </c>
      <c r="F46" s="119" t="str">
        <f ca="1">IFERROR(INDEX(Personnel[FTE],E46)*INDEX(Personnel[Months],E46)/12,"")</f>
        <v/>
      </c>
      <c r="G46" s="140"/>
      <c r="H46" s="142" t="e">
        <f ca="1">IF(IFERROR(MATCH("*researcher*",OFFSET(Budget!#REF!,H45,0,ROWS(#REF!),1),0)+H45,999)&lt;ROWS(#REF!),IFERROR(MATCH("*researcher*",OFFSET(Budget!#REF!,H45,0,ROWS(#REF!),1),0)+H45,999),"")</f>
        <v>#REF!</v>
      </c>
      <c r="I46" s="146" t="str">
        <f ca="1">IF(ISERROR(IF(AND(INDEX(#REF!,H46)&gt;=pers_oi_min_months,INDEX(#REF!,H46)/INDEX(#REF!,H46)*12/pers_other_nrhours_year&gt;=pers_oi_minFTE)=TRUE,INDEX(#REF!,H46)/12,0)),"",IF(AND(INDEX(#REF!,H46)&gt;=pers_oi_min_months,INDEX(#REF!,H46)/INDEX(#REF!,H46)*12/pers_other_nrhours_year&gt;=pers_oi_minFTE)=TRUE,INDEX(#REF!,H46)/12,""))</f>
        <v/>
      </c>
      <c r="J46" s="140"/>
      <c r="K46" s="132" t="str">
        <f ca="1">IF(IFERROR(MATCH("*Non-scientific*",OFFSET(Budget!$A$20,K45,0,ROWS(Personnel[]),1),0)+K45,999)&lt;ROWS(Personnel[]),IFERROR(MATCH("*Non-scientific*",OFFSET(Budget!$A$20,K45,0,ROWS(Personnel[]),1),0)+K45,999),"")</f>
        <v/>
      </c>
      <c r="L46" s="115" t="str">
        <f ca="1">IFERROR(INDEX(Personnel[Amount],K46),"")</f>
        <v/>
      </c>
      <c r="M46" s="195"/>
      <c r="N46" s="132" t="str">
        <f ca="1">IF(IFERROR(MATCH("*leave*",OFFSET(Budget!$A$20,N45,0,ROWS(Personnel[]),1),0)+N45,999)&lt;ROWS(Personnel[]),IFERROR(MATCH("*leave*",OFFSET(Budget!$A$20,N45,0,ROWS(Personnel[]),1),0)+N45,999),"")</f>
        <v/>
      </c>
      <c r="O46" s="137" t="str">
        <f ca="1">IFERROR(INDEX(Personnel[Months],N46)*INDEX(Personnel[FTE],N46),"")</f>
        <v/>
      </c>
      <c r="P46" s="195"/>
      <c r="Q46" s="132" t="str">
        <f ca="1">IF(MIN(IFERROR(MATCH("*PostDoc*",OFFSET(Budget!$A$20,Q45,0,ROWS(Personnel[])-Q45,1),0)+Q45,999),IFERROR(MATCH("*PhD*",OFFSET(Budget!$A$20,Q45,0,ROWS(Personnel[])-Q45,1),0)+Q45,999),IFERROR(MATCH("*PDEng*",OFFSET(Budget!$A$20,Q45,0,ROWS(Personnel[])-Q45,1),0)+Q45,999),IFERROR(MATCH("*Doctorate*",OFFSET(Budget!$A$20,Q45,0,ROWS(Personnel[])-Q45,1),0)+Q45,999))&lt;ROWS(Personnel[]),MIN(IFERROR(MATCH("*PostDoc*",OFFSET(Budget!$A$20,Q45,0,ROWS(Personnel[])-Q45,1),0)+Q45,999),IFERROR(MATCH("*PhD*",OFFSET(Budget!$A$20,Q45,0,ROWS(Personnel[])-Q45,1),0)+Q45,999),IFERROR(MATCH("*PDEng*",OFFSET(Budget!$A$20,Q45,0,ROWS(Personnel[])-Q45,1),0)+Q45,999),IFERROR(MATCH("*Doctorate*",OFFSET(Budget!$A$20,Q45,0,ROWS(Personnel[])-Q45,1),0)+Q45,999)),"")</f>
        <v/>
      </c>
      <c r="R46" s="205" t="str">
        <f ca="1">IFERROR(INDEX(Personnel[Category],Q46),"")</f>
        <v/>
      </c>
      <c r="S46" s="205" t="str">
        <f ca="1">IFERROR(INDEX(Personnel[FTE],Q46),"")</f>
        <v/>
      </c>
      <c r="T46" s="205" t="str">
        <f ca="1">IFERROR(INDEX(Personnel[Months],Q46),"")</f>
        <v/>
      </c>
      <c r="U46" s="205" t="str">
        <f ca="1">SUBSTITUTE(IFERROR(INDEX(Personnel[Organisation type],Q46),""),0,"")</f>
        <v/>
      </c>
      <c r="V46" s="206" t="str">
        <f ca="1">SUBSTITUTE(IFERROR(INDEX(Personnel[Name organisation],Q46),""),0,"")</f>
        <v/>
      </c>
      <c r="W46" s="195"/>
      <c r="X46" s="207" t="str">
        <f>IF(ROW(E1583)-ROW($E$1548)&lt;ROWS(inkind[]),IFERROR(IF(INDEX(list_cofunders[private?],MATCH(Budget!#REF!,list_cofunders[list cofunders],0),1)="yes",Budget!#REF!,""),""),"")</f>
        <v/>
      </c>
      <c r="Y46" s="208" t="str">
        <f>IF(ROW(E1686)-ROW($E$1651)&lt;ROWS(incash[]),IFERROR(IF(INDEX(list_cofunders[private?],MATCH(Budget!#REF!,list_cofunders[list cofunders],0),1)="yes",Budget!#REF!,""),""),"")</f>
        <v/>
      </c>
      <c r="Z46" s="205" t="str">
        <f>IFERROR(INDEX(Personnel[FTE],X46),"")</f>
        <v/>
      </c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7"/>
      <c r="DA46" s="27"/>
      <c r="DB46" s="27"/>
      <c r="DC46" s="27"/>
      <c r="DD46" s="27"/>
      <c r="DE46" s="27"/>
      <c r="DF46" s="27"/>
      <c r="DG46" s="27"/>
      <c r="DH46" s="27"/>
    </row>
    <row r="47" spans="2:112" s="26" customFormat="1" ht="11.25" customHeight="1" outlineLevel="1" x14ac:dyDescent="0.35">
      <c r="B47" s="132" t="str">
        <f ca="1">IF(IFERROR(MATCH("*Other*",OFFSET(Budget!$A$20,B46,0,ROWS(Personnel[]),1),0)+B46,999)&lt;ROWS(Personnel[]),IFERROR(MATCH("*Other*",OFFSET(Budget!$A$20,B46,0,ROWS(Personnel[]),1),0)+B46,999),"")</f>
        <v/>
      </c>
      <c r="C47" s="115" t="str">
        <f ca="1">IFERROR(INDEX(Personnel[Amount],B47),"")</f>
        <v/>
      </c>
      <c r="D47" s="29"/>
      <c r="E47" s="132" t="str">
        <f ca="1">IF(MIN(IFERROR(MATCH("*PostDoc*",OFFSET(Budget!$A$20,E46,0,ROWS(Personnel[]),1),0)+E46,999),IFERROR(MATCH("*PhD*",OFFSET(Budget!$A$20,E46,0,ROWS(Personnel[]),1),0)+E46,999),IFERROR(MATCH("*PDEng*",OFFSET(Budget!$A$20,E46,0,ROWS(Personnel[]),1),0)+E46,999))&lt;ROWS(Personnel[]),MIN(IFERROR(MATCH("*PostDoc*",OFFSET(Budget!$A$20,E46,0,ROWS(Personnel[]),1),0)+E46,999),IFERROR(MATCH("*PhD*",OFFSET(Budget!$A$20,E46,0,ROWS(Personnel[]),1),0)+E46,999),IFERROR(MATCH("*PDEng*",OFFSET(Budget!$A$20,E46,0,ROWS(Personnel[]),1),0)+E46,999)),"")</f>
        <v/>
      </c>
      <c r="F47" s="119" t="str">
        <f ca="1">IFERROR(INDEX(Personnel[FTE],E47)*INDEX(Personnel[Months],E47)/12,"")</f>
        <v/>
      </c>
      <c r="G47" s="140"/>
      <c r="H47" s="142" t="e">
        <f ca="1">IF(IFERROR(MATCH("*researcher*",OFFSET(Budget!#REF!,H46,0,ROWS(#REF!),1),0)+H46,999)&lt;ROWS(#REF!),IFERROR(MATCH("*researcher*",OFFSET(Budget!#REF!,H46,0,ROWS(#REF!),1),0)+H46,999),"")</f>
        <v>#REF!</v>
      </c>
      <c r="I47" s="146" t="str">
        <f ca="1">IF(ISERROR(IF(AND(INDEX(#REF!,H47)&gt;=pers_oi_min_months,INDEX(#REF!,H47)/INDEX(#REF!,H47)*12/pers_other_nrhours_year&gt;=pers_oi_minFTE)=TRUE,INDEX(#REF!,H47)/12,0)),"",IF(AND(INDEX(#REF!,H47)&gt;=pers_oi_min_months,INDEX(#REF!,H47)/INDEX(#REF!,H47)*12/pers_other_nrhours_year&gt;=pers_oi_minFTE)=TRUE,INDEX(#REF!,H47)/12,""))</f>
        <v/>
      </c>
      <c r="J47" s="140"/>
      <c r="K47" s="132" t="str">
        <f ca="1">IF(IFERROR(MATCH("*Non-scientific*",OFFSET(Budget!$A$20,K46,0,ROWS(Personnel[]),1),0)+K46,999)&lt;ROWS(Personnel[]),IFERROR(MATCH("*Non-scientific*",OFFSET(Budget!$A$20,K46,0,ROWS(Personnel[]),1),0)+K46,999),"")</f>
        <v/>
      </c>
      <c r="L47" s="115" t="str">
        <f ca="1">IFERROR(INDEX(Personnel[Amount],K47),"")</f>
        <v/>
      </c>
      <c r="M47" s="195"/>
      <c r="N47" s="132" t="str">
        <f ca="1">IF(IFERROR(MATCH("*leave*",OFFSET(Budget!$A$20,N46,0,ROWS(Personnel[]),1),0)+N46,999)&lt;ROWS(Personnel[]),IFERROR(MATCH("*leave*",OFFSET(Budget!$A$20,N46,0,ROWS(Personnel[]),1),0)+N46,999),"")</f>
        <v/>
      </c>
      <c r="O47" s="137" t="str">
        <f ca="1">IFERROR(INDEX(Personnel[Months],N47)*INDEX(Personnel[FTE],N47),"")</f>
        <v/>
      </c>
      <c r="P47" s="195"/>
      <c r="Q47" s="132" t="str">
        <f ca="1">IF(MIN(IFERROR(MATCH("*PostDoc*",OFFSET(Budget!$A$20,Q46,0,ROWS(Personnel[])-Q46,1),0)+Q46,999),IFERROR(MATCH("*PhD*",OFFSET(Budget!$A$20,Q46,0,ROWS(Personnel[])-Q46,1),0)+Q46,999),IFERROR(MATCH("*PDEng*",OFFSET(Budget!$A$20,Q46,0,ROWS(Personnel[])-Q46,1),0)+Q46,999),IFERROR(MATCH("*Doctorate*",OFFSET(Budget!$A$20,Q46,0,ROWS(Personnel[])-Q46,1),0)+Q46,999))&lt;ROWS(Personnel[]),MIN(IFERROR(MATCH("*PostDoc*",OFFSET(Budget!$A$20,Q46,0,ROWS(Personnel[])-Q46,1),0)+Q46,999),IFERROR(MATCH("*PhD*",OFFSET(Budget!$A$20,Q46,0,ROWS(Personnel[])-Q46,1),0)+Q46,999),IFERROR(MATCH("*PDEng*",OFFSET(Budget!$A$20,Q46,0,ROWS(Personnel[])-Q46,1),0)+Q46,999),IFERROR(MATCH("*Doctorate*",OFFSET(Budget!$A$20,Q46,0,ROWS(Personnel[])-Q46,1),0)+Q46,999)),"")</f>
        <v/>
      </c>
      <c r="R47" s="205" t="str">
        <f ca="1">IFERROR(INDEX(Personnel[Category],Q47),"")</f>
        <v/>
      </c>
      <c r="S47" s="205" t="str">
        <f ca="1">IFERROR(INDEX(Personnel[FTE],Q47),"")</f>
        <v/>
      </c>
      <c r="T47" s="205" t="str">
        <f ca="1">IFERROR(INDEX(Personnel[Months],Q47),"")</f>
        <v/>
      </c>
      <c r="U47" s="205" t="str">
        <f ca="1">SUBSTITUTE(IFERROR(INDEX(Personnel[Organisation type],Q47),""),0,"")</f>
        <v/>
      </c>
      <c r="V47" s="206" t="str">
        <f ca="1">SUBSTITUTE(IFERROR(INDEX(Personnel[Name organisation],Q47),""),0,"")</f>
        <v/>
      </c>
      <c r="W47" s="195"/>
      <c r="X47" s="207" t="str">
        <f>IF(ROW(E1584)-ROW($E$1548)&lt;ROWS(inkind[]),IFERROR(IF(INDEX(list_cofunders[private?],MATCH(Budget!#REF!,list_cofunders[list cofunders],0),1)="yes",Budget!#REF!,""),""),"")</f>
        <v/>
      </c>
      <c r="Y47" s="208" t="str">
        <f>IF(ROW(E1687)-ROW($E$1651)&lt;ROWS(incash[]),IFERROR(IF(INDEX(list_cofunders[private?],MATCH(Budget!#REF!,list_cofunders[list cofunders],0),1)="yes",Budget!#REF!,""),""),"")</f>
        <v/>
      </c>
      <c r="Z47" s="205" t="str">
        <f>IFERROR(INDEX(Personnel[FTE],X47),"")</f>
        <v/>
      </c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7"/>
      <c r="DA47" s="27"/>
      <c r="DB47" s="27"/>
      <c r="DC47" s="27"/>
      <c r="DD47" s="27"/>
      <c r="DE47" s="27"/>
      <c r="DF47" s="27"/>
      <c r="DG47" s="27"/>
      <c r="DH47" s="27"/>
    </row>
    <row r="48" spans="2:112" s="26" customFormat="1" ht="11.25" customHeight="1" outlineLevel="1" x14ac:dyDescent="0.35">
      <c r="B48" s="132" t="str">
        <f ca="1">IF(IFERROR(MATCH("*Other*",OFFSET(Budget!$A$20,B47,0,ROWS(Personnel[]),1),0)+B47,999)&lt;ROWS(Personnel[]),IFERROR(MATCH("*Other*",OFFSET(Budget!$A$20,B47,0,ROWS(Personnel[]),1),0)+B47,999),"")</f>
        <v/>
      </c>
      <c r="C48" s="115" t="str">
        <f ca="1">IFERROR(INDEX(Personnel[Amount],B48),"")</f>
        <v/>
      </c>
      <c r="D48" s="29"/>
      <c r="E48" s="132" t="str">
        <f ca="1">IF(MIN(IFERROR(MATCH("*PostDoc*",OFFSET(Budget!$A$20,E47,0,ROWS(Personnel[]),1),0)+E47,999),IFERROR(MATCH("*PhD*",OFFSET(Budget!$A$20,E47,0,ROWS(Personnel[]),1),0)+E47,999),IFERROR(MATCH("*PDEng*",OFFSET(Budget!$A$20,E47,0,ROWS(Personnel[]),1),0)+E47,999))&lt;ROWS(Personnel[]),MIN(IFERROR(MATCH("*PostDoc*",OFFSET(Budget!$A$20,E47,0,ROWS(Personnel[]),1),0)+E47,999),IFERROR(MATCH("*PhD*",OFFSET(Budget!$A$20,E47,0,ROWS(Personnel[]),1),0)+E47,999),IFERROR(MATCH("*PDEng*",OFFSET(Budget!$A$20,E47,0,ROWS(Personnel[]),1),0)+E47,999)),"")</f>
        <v/>
      </c>
      <c r="F48" s="119" t="str">
        <f ca="1">IFERROR(INDEX(Personnel[FTE],E48)*INDEX(Personnel[Months],E48)/12,"")</f>
        <v/>
      </c>
      <c r="G48" s="140"/>
      <c r="H48" s="142" t="e">
        <f ca="1">IF(IFERROR(MATCH("*researcher*",OFFSET(Budget!#REF!,H47,0,ROWS(#REF!),1),0)+H47,999)&lt;ROWS(#REF!),IFERROR(MATCH("*researcher*",OFFSET(Budget!#REF!,H47,0,ROWS(#REF!),1),0)+H47,999),"")</f>
        <v>#REF!</v>
      </c>
      <c r="I48" s="146" t="str">
        <f ca="1">IF(ISERROR(IF(AND(INDEX(#REF!,H48)&gt;=pers_oi_min_months,INDEX(#REF!,H48)/INDEX(#REF!,H48)*12/pers_other_nrhours_year&gt;=pers_oi_minFTE)=TRUE,INDEX(#REF!,H48)/12,0)),"",IF(AND(INDEX(#REF!,H48)&gt;=pers_oi_min_months,INDEX(#REF!,H48)/INDEX(#REF!,H48)*12/pers_other_nrhours_year&gt;=pers_oi_minFTE)=TRUE,INDEX(#REF!,H48)/12,""))</f>
        <v/>
      </c>
      <c r="J48" s="140"/>
      <c r="K48" s="132" t="str">
        <f ca="1">IF(IFERROR(MATCH("*Non-scientific*",OFFSET(Budget!$A$20,K47,0,ROWS(Personnel[]),1),0)+K47,999)&lt;ROWS(Personnel[]),IFERROR(MATCH("*Non-scientific*",OFFSET(Budget!$A$20,K47,0,ROWS(Personnel[]),1),0)+K47,999),"")</f>
        <v/>
      </c>
      <c r="L48" s="115" t="str">
        <f ca="1">IFERROR(INDEX(Personnel[Amount],K48),"")</f>
        <v/>
      </c>
      <c r="M48" s="195"/>
      <c r="N48" s="132" t="str">
        <f ca="1">IF(IFERROR(MATCH("*leave*",OFFSET(Budget!$A$20,N47,0,ROWS(Personnel[]),1),0)+N47,999)&lt;ROWS(Personnel[]),IFERROR(MATCH("*leave*",OFFSET(Budget!$A$20,N47,0,ROWS(Personnel[]),1),0)+N47,999),"")</f>
        <v/>
      </c>
      <c r="O48" s="137" t="str">
        <f ca="1">IFERROR(INDEX(Personnel[Months],N48)*INDEX(Personnel[FTE],N48),"")</f>
        <v/>
      </c>
      <c r="P48" s="195"/>
      <c r="Q48" s="132" t="str">
        <f ca="1">IF(MIN(IFERROR(MATCH("*PostDoc*",OFFSET(Budget!$A$20,Q47,0,ROWS(Personnel[])-Q47,1),0)+Q47,999),IFERROR(MATCH("*PhD*",OFFSET(Budget!$A$20,Q47,0,ROWS(Personnel[])-Q47,1),0)+Q47,999),IFERROR(MATCH("*PDEng*",OFFSET(Budget!$A$20,Q47,0,ROWS(Personnel[])-Q47,1),0)+Q47,999),IFERROR(MATCH("*Doctorate*",OFFSET(Budget!$A$20,Q47,0,ROWS(Personnel[])-Q47,1),0)+Q47,999))&lt;ROWS(Personnel[]),MIN(IFERROR(MATCH("*PostDoc*",OFFSET(Budget!$A$20,Q47,0,ROWS(Personnel[])-Q47,1),0)+Q47,999),IFERROR(MATCH("*PhD*",OFFSET(Budget!$A$20,Q47,0,ROWS(Personnel[])-Q47,1),0)+Q47,999),IFERROR(MATCH("*PDEng*",OFFSET(Budget!$A$20,Q47,0,ROWS(Personnel[])-Q47,1),0)+Q47,999),IFERROR(MATCH("*Doctorate*",OFFSET(Budget!$A$20,Q47,0,ROWS(Personnel[])-Q47,1),0)+Q47,999)),"")</f>
        <v/>
      </c>
      <c r="R48" s="205" t="str">
        <f ca="1">IFERROR(INDEX(Personnel[Category],Q48),"")</f>
        <v/>
      </c>
      <c r="S48" s="205" t="str">
        <f ca="1">IFERROR(INDEX(Personnel[FTE],Q48),"")</f>
        <v/>
      </c>
      <c r="T48" s="205" t="str">
        <f ca="1">IFERROR(INDEX(Personnel[Months],Q48),"")</f>
        <v/>
      </c>
      <c r="U48" s="205" t="str">
        <f ca="1">SUBSTITUTE(IFERROR(INDEX(Personnel[Organisation type],Q48),""),0,"")</f>
        <v/>
      </c>
      <c r="V48" s="206" t="str">
        <f ca="1">SUBSTITUTE(IFERROR(INDEX(Personnel[Name organisation],Q48),""),0,"")</f>
        <v/>
      </c>
      <c r="W48" s="195"/>
      <c r="X48" s="207" t="str">
        <f>IF(ROW(E1585)-ROW($E$1548)&lt;ROWS(inkind[]),IFERROR(IF(INDEX(list_cofunders[private?],MATCH(Budget!#REF!,list_cofunders[list cofunders],0),1)="yes",Budget!#REF!,""),""),"")</f>
        <v/>
      </c>
      <c r="Y48" s="208" t="str">
        <f>IF(ROW(E1688)-ROW($E$1651)&lt;ROWS(incash[]),IFERROR(IF(INDEX(list_cofunders[private?],MATCH(Budget!#REF!,list_cofunders[list cofunders],0),1)="yes",Budget!#REF!,""),""),"")</f>
        <v/>
      </c>
      <c r="Z48" s="205" t="str">
        <f>IFERROR(INDEX(Personnel[FTE],X48),"")</f>
        <v/>
      </c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7"/>
      <c r="DA48" s="27"/>
      <c r="DB48" s="27"/>
      <c r="DC48" s="27"/>
      <c r="DD48" s="27"/>
      <c r="DE48" s="27"/>
      <c r="DF48" s="27"/>
      <c r="DG48" s="27"/>
      <c r="DH48" s="27"/>
    </row>
    <row r="49" spans="2:112" s="26" customFormat="1" ht="11.25" customHeight="1" outlineLevel="1" x14ac:dyDescent="0.35">
      <c r="B49" s="132" t="str">
        <f ca="1">IF(IFERROR(MATCH("*Other*",OFFSET(Budget!$A$20,B48,0,ROWS(Personnel[]),1),0)+B48,999)&lt;ROWS(Personnel[]),IFERROR(MATCH("*Other*",OFFSET(Budget!$A$20,B48,0,ROWS(Personnel[]),1),0)+B48,999),"")</f>
        <v/>
      </c>
      <c r="C49" s="115" t="str">
        <f ca="1">IFERROR(INDEX(Personnel[Amount],B49),"")</f>
        <v/>
      </c>
      <c r="D49" s="29"/>
      <c r="E49" s="132" t="str">
        <f ca="1">IF(MIN(IFERROR(MATCH("*PostDoc*",OFFSET(Budget!$A$20,E48,0,ROWS(Personnel[]),1),0)+E48,999),IFERROR(MATCH("*PhD*",OFFSET(Budget!$A$20,E48,0,ROWS(Personnel[]),1),0)+E48,999),IFERROR(MATCH("*PDEng*",OFFSET(Budget!$A$20,E48,0,ROWS(Personnel[]),1),0)+E48,999))&lt;ROWS(Personnel[]),MIN(IFERROR(MATCH("*PostDoc*",OFFSET(Budget!$A$20,E48,0,ROWS(Personnel[]),1),0)+E48,999),IFERROR(MATCH("*PhD*",OFFSET(Budget!$A$20,E48,0,ROWS(Personnel[]),1),0)+E48,999),IFERROR(MATCH("*PDEng*",OFFSET(Budget!$A$20,E48,0,ROWS(Personnel[]),1),0)+E48,999)),"")</f>
        <v/>
      </c>
      <c r="F49" s="119" t="str">
        <f ca="1">IFERROR(INDEX(Personnel[FTE],E49)*INDEX(Personnel[Months],E49)/12,"")</f>
        <v/>
      </c>
      <c r="G49" s="140"/>
      <c r="H49" s="142" t="e">
        <f ca="1">IF(IFERROR(MATCH("*researcher*",OFFSET(Budget!#REF!,H48,0,ROWS(#REF!),1),0)+H48,999)&lt;ROWS(#REF!),IFERROR(MATCH("*researcher*",OFFSET(Budget!#REF!,H48,0,ROWS(#REF!),1),0)+H48,999),"")</f>
        <v>#REF!</v>
      </c>
      <c r="I49" s="146" t="str">
        <f ca="1">IF(ISERROR(IF(AND(INDEX(#REF!,H49)&gt;=pers_oi_min_months,INDEX(#REF!,H49)/INDEX(#REF!,H49)*12/pers_other_nrhours_year&gt;=pers_oi_minFTE)=TRUE,INDEX(#REF!,H49)/12,0)),"",IF(AND(INDEX(#REF!,H49)&gt;=pers_oi_min_months,INDEX(#REF!,H49)/INDEX(#REF!,H49)*12/pers_other_nrhours_year&gt;=pers_oi_minFTE)=TRUE,INDEX(#REF!,H49)/12,""))</f>
        <v/>
      </c>
      <c r="J49" s="140"/>
      <c r="K49" s="132" t="str">
        <f ca="1">IF(IFERROR(MATCH("*Non-scientific*",OFFSET(Budget!$A$20,K48,0,ROWS(Personnel[]),1),0)+K48,999)&lt;ROWS(Personnel[]),IFERROR(MATCH("*Non-scientific*",OFFSET(Budget!$A$20,K48,0,ROWS(Personnel[]),1),0)+K48,999),"")</f>
        <v/>
      </c>
      <c r="L49" s="115" t="str">
        <f ca="1">IFERROR(INDEX(Personnel[Amount],K49),"")</f>
        <v/>
      </c>
      <c r="M49" s="195"/>
      <c r="N49" s="132" t="str">
        <f ca="1">IF(IFERROR(MATCH("*leave*",OFFSET(Budget!$A$20,N48,0,ROWS(Personnel[]),1),0)+N48,999)&lt;ROWS(Personnel[]),IFERROR(MATCH("*leave*",OFFSET(Budget!$A$20,N48,0,ROWS(Personnel[]),1),0)+N48,999),"")</f>
        <v/>
      </c>
      <c r="O49" s="137" t="str">
        <f ca="1">IFERROR(INDEX(Personnel[Months],N49)*INDEX(Personnel[FTE],N49),"")</f>
        <v/>
      </c>
      <c r="P49" s="195"/>
      <c r="Q49" s="132" t="str">
        <f ca="1">IF(MIN(IFERROR(MATCH("*PostDoc*",OFFSET(Budget!$A$20,Q48,0,ROWS(Personnel[])-Q48,1),0)+Q48,999),IFERROR(MATCH("*PhD*",OFFSET(Budget!$A$20,Q48,0,ROWS(Personnel[])-Q48,1),0)+Q48,999),IFERROR(MATCH("*PDEng*",OFFSET(Budget!$A$20,Q48,0,ROWS(Personnel[])-Q48,1),0)+Q48,999),IFERROR(MATCH("*Doctorate*",OFFSET(Budget!$A$20,Q48,0,ROWS(Personnel[])-Q48,1),0)+Q48,999))&lt;ROWS(Personnel[]),MIN(IFERROR(MATCH("*PostDoc*",OFFSET(Budget!$A$20,Q48,0,ROWS(Personnel[])-Q48,1),0)+Q48,999),IFERROR(MATCH("*PhD*",OFFSET(Budget!$A$20,Q48,0,ROWS(Personnel[])-Q48,1),0)+Q48,999),IFERROR(MATCH("*PDEng*",OFFSET(Budget!$A$20,Q48,0,ROWS(Personnel[])-Q48,1),0)+Q48,999),IFERROR(MATCH("*Doctorate*",OFFSET(Budget!$A$20,Q48,0,ROWS(Personnel[])-Q48,1),0)+Q48,999)),"")</f>
        <v/>
      </c>
      <c r="R49" s="205" t="str">
        <f ca="1">IFERROR(INDEX(Personnel[Category],Q49),"")</f>
        <v/>
      </c>
      <c r="S49" s="205" t="str">
        <f ca="1">IFERROR(INDEX(Personnel[FTE],Q49),"")</f>
        <v/>
      </c>
      <c r="T49" s="205" t="str">
        <f ca="1">IFERROR(INDEX(Personnel[Months],Q49),"")</f>
        <v/>
      </c>
      <c r="U49" s="205" t="str">
        <f ca="1">SUBSTITUTE(IFERROR(INDEX(Personnel[Organisation type],Q49),""),0,"")</f>
        <v/>
      </c>
      <c r="V49" s="206" t="str">
        <f ca="1">SUBSTITUTE(IFERROR(INDEX(Personnel[Name organisation],Q49),""),0,"")</f>
        <v/>
      </c>
      <c r="W49" s="195"/>
      <c r="X49" s="207" t="str">
        <f>IF(ROW(E1586)-ROW($E$1548)&lt;ROWS(inkind[]),IFERROR(IF(INDEX(list_cofunders[private?],MATCH(Budget!#REF!,list_cofunders[list cofunders],0),1)="yes",Budget!#REF!,""),""),"")</f>
        <v/>
      </c>
      <c r="Y49" s="208" t="str">
        <f>IF(ROW(E1689)-ROW($E$1651)&lt;ROWS(incash[]),IFERROR(IF(INDEX(list_cofunders[private?],MATCH(Budget!#REF!,list_cofunders[list cofunders],0),1)="yes",Budget!#REF!,""),""),"")</f>
        <v/>
      </c>
      <c r="Z49" s="205" t="str">
        <f>IFERROR(INDEX(Personnel[FTE],X49),"")</f>
        <v/>
      </c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7"/>
      <c r="DA49" s="27"/>
      <c r="DB49" s="27"/>
      <c r="DC49" s="27"/>
      <c r="DD49" s="27"/>
      <c r="DE49" s="27"/>
      <c r="DF49" s="27"/>
      <c r="DG49" s="27"/>
      <c r="DH49" s="27"/>
    </row>
    <row r="50" spans="2:112" s="26" customFormat="1" ht="11.25" customHeight="1" outlineLevel="1" x14ac:dyDescent="0.35">
      <c r="B50" s="132" t="str">
        <f ca="1">IF(IFERROR(MATCH("*Other*",OFFSET(Budget!$A$20,B49,0,ROWS(Personnel[]),1),0)+B49,999)&lt;ROWS(Personnel[]),IFERROR(MATCH("*Other*",OFFSET(Budget!$A$20,B49,0,ROWS(Personnel[]),1),0)+B49,999),"")</f>
        <v/>
      </c>
      <c r="C50" s="115" t="str">
        <f ca="1">IFERROR(INDEX(Personnel[Amount],B50),"")</f>
        <v/>
      </c>
      <c r="D50" s="29"/>
      <c r="E50" s="132" t="str">
        <f ca="1">IF(MIN(IFERROR(MATCH("*PostDoc*",OFFSET(Budget!$A$20,E49,0,ROWS(Personnel[]),1),0)+E49,999),IFERROR(MATCH("*PhD*",OFFSET(Budget!$A$20,E49,0,ROWS(Personnel[]),1),0)+E49,999),IFERROR(MATCH("*PDEng*",OFFSET(Budget!$A$20,E49,0,ROWS(Personnel[]),1),0)+E49,999))&lt;ROWS(Personnel[]),MIN(IFERROR(MATCH("*PostDoc*",OFFSET(Budget!$A$20,E49,0,ROWS(Personnel[]),1),0)+E49,999),IFERROR(MATCH("*PhD*",OFFSET(Budget!$A$20,E49,0,ROWS(Personnel[]),1),0)+E49,999),IFERROR(MATCH("*PDEng*",OFFSET(Budget!$A$20,E49,0,ROWS(Personnel[]),1),0)+E49,999)),"")</f>
        <v/>
      </c>
      <c r="F50" s="119" t="str">
        <f ca="1">IFERROR(INDEX(Personnel[FTE],E50)*INDEX(Personnel[Months],E50)/12,"")</f>
        <v/>
      </c>
      <c r="G50" s="140"/>
      <c r="H50" s="142" t="e">
        <f ca="1">IF(IFERROR(MATCH("*researcher*",OFFSET(Budget!#REF!,H49,0,ROWS(#REF!),1),0)+H49,999)&lt;ROWS(#REF!),IFERROR(MATCH("*researcher*",OFFSET(Budget!#REF!,H49,0,ROWS(#REF!),1),0)+H49,999),"")</f>
        <v>#REF!</v>
      </c>
      <c r="I50" s="146" t="str">
        <f ca="1">IF(ISERROR(IF(AND(INDEX(#REF!,H50)&gt;=pers_oi_min_months,INDEX(#REF!,H50)/INDEX(#REF!,H50)*12/pers_other_nrhours_year&gt;=pers_oi_minFTE)=TRUE,INDEX(#REF!,H50)/12,0)),"",IF(AND(INDEX(#REF!,H50)&gt;=pers_oi_min_months,INDEX(#REF!,H50)/INDEX(#REF!,H50)*12/pers_other_nrhours_year&gt;=pers_oi_minFTE)=TRUE,INDEX(#REF!,H50)/12,""))</f>
        <v/>
      </c>
      <c r="J50" s="140"/>
      <c r="K50" s="132" t="str">
        <f ca="1">IF(IFERROR(MATCH("*Non-scientific*",OFFSET(Budget!$A$20,K49,0,ROWS(Personnel[]),1),0)+K49,999)&lt;ROWS(Personnel[]),IFERROR(MATCH("*Non-scientific*",OFFSET(Budget!$A$20,K49,0,ROWS(Personnel[]),1),0)+K49,999),"")</f>
        <v/>
      </c>
      <c r="L50" s="115" t="str">
        <f ca="1">IFERROR(INDEX(Personnel[Amount],K50),"")</f>
        <v/>
      </c>
      <c r="M50" s="195"/>
      <c r="N50" s="132" t="str">
        <f ca="1">IF(IFERROR(MATCH("*leave*",OFFSET(Budget!$A$20,N49,0,ROWS(Personnel[]),1),0)+N49,999)&lt;ROWS(Personnel[]),IFERROR(MATCH("*leave*",OFFSET(Budget!$A$20,N49,0,ROWS(Personnel[]),1),0)+N49,999),"")</f>
        <v/>
      </c>
      <c r="O50" s="137" t="str">
        <f ca="1">IFERROR(INDEX(Personnel[Months],N50)*INDEX(Personnel[FTE],N50),"")</f>
        <v/>
      </c>
      <c r="P50" s="195"/>
      <c r="Q50" s="132" t="str">
        <f ca="1">IF(MIN(IFERROR(MATCH("*PostDoc*",OFFSET(Budget!$A$20,Q49,0,ROWS(Personnel[])-Q49,1),0)+Q49,999),IFERROR(MATCH("*PhD*",OFFSET(Budget!$A$20,Q49,0,ROWS(Personnel[])-Q49,1),0)+Q49,999),IFERROR(MATCH("*PDEng*",OFFSET(Budget!$A$20,Q49,0,ROWS(Personnel[])-Q49,1),0)+Q49,999),IFERROR(MATCH("*Doctorate*",OFFSET(Budget!$A$20,Q49,0,ROWS(Personnel[])-Q49,1),0)+Q49,999))&lt;ROWS(Personnel[]),MIN(IFERROR(MATCH("*PostDoc*",OFFSET(Budget!$A$20,Q49,0,ROWS(Personnel[])-Q49,1),0)+Q49,999),IFERROR(MATCH("*PhD*",OFFSET(Budget!$A$20,Q49,0,ROWS(Personnel[])-Q49,1),0)+Q49,999),IFERROR(MATCH("*PDEng*",OFFSET(Budget!$A$20,Q49,0,ROWS(Personnel[])-Q49,1),0)+Q49,999),IFERROR(MATCH("*Doctorate*",OFFSET(Budget!$A$20,Q49,0,ROWS(Personnel[])-Q49,1),0)+Q49,999)),"")</f>
        <v/>
      </c>
      <c r="R50" s="205" t="str">
        <f ca="1">IFERROR(INDEX(Personnel[Category],Q50),"")</f>
        <v/>
      </c>
      <c r="S50" s="205" t="str">
        <f ca="1">IFERROR(INDEX(Personnel[FTE],Q50),"")</f>
        <v/>
      </c>
      <c r="T50" s="205" t="str">
        <f ca="1">IFERROR(INDEX(Personnel[Months],Q50),"")</f>
        <v/>
      </c>
      <c r="U50" s="205" t="str">
        <f ca="1">SUBSTITUTE(IFERROR(INDEX(Personnel[Organisation type],Q50),""),0,"")</f>
        <v/>
      </c>
      <c r="V50" s="206" t="str">
        <f ca="1">SUBSTITUTE(IFERROR(INDEX(Personnel[Name organisation],Q50),""),0,"")</f>
        <v/>
      </c>
      <c r="W50" s="195"/>
      <c r="X50" s="207" t="str">
        <f>IF(ROW(E1587)-ROW($E$1548)&lt;ROWS(inkind[]),IFERROR(IF(INDEX(list_cofunders[private?],MATCH(Budget!#REF!,list_cofunders[list cofunders],0),1)="yes",Budget!#REF!,""),""),"")</f>
        <v/>
      </c>
      <c r="Y50" s="208" t="str">
        <f>IF(ROW(E1690)-ROW($E$1651)&lt;ROWS(incash[]),IFERROR(IF(INDEX(list_cofunders[private?],MATCH(Budget!#REF!,list_cofunders[list cofunders],0),1)="yes",Budget!#REF!,""),""),"")</f>
        <v/>
      </c>
      <c r="Z50" s="205" t="str">
        <f>IFERROR(INDEX(Personnel[FTE],X50),"")</f>
        <v/>
      </c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7"/>
      <c r="DA50" s="27"/>
      <c r="DB50" s="27"/>
      <c r="DC50" s="27"/>
      <c r="DD50" s="27"/>
      <c r="DE50" s="27"/>
      <c r="DF50" s="27"/>
      <c r="DG50" s="27"/>
      <c r="DH50" s="27"/>
    </row>
    <row r="51" spans="2:112" s="26" customFormat="1" ht="11.25" customHeight="1" outlineLevel="1" x14ac:dyDescent="0.35">
      <c r="B51" s="132" t="str">
        <f ca="1">IF(IFERROR(MATCH("*Other*",OFFSET(Budget!$A$20,B50,0,ROWS(Personnel[]),1),0)+B50,999)&lt;ROWS(Personnel[]),IFERROR(MATCH("*Other*",OFFSET(Budget!$A$20,B50,0,ROWS(Personnel[]),1),0)+B50,999),"")</f>
        <v/>
      </c>
      <c r="C51" s="115" t="str">
        <f ca="1">IFERROR(INDEX(Personnel[Amount],B51),"")</f>
        <v/>
      </c>
      <c r="D51" s="29"/>
      <c r="E51" s="132" t="str">
        <f ca="1">IF(MIN(IFERROR(MATCH("*PostDoc*",OFFSET(Budget!$A$20,E50,0,ROWS(Personnel[]),1),0)+E50,999),IFERROR(MATCH("*PhD*",OFFSET(Budget!$A$20,E50,0,ROWS(Personnel[]),1),0)+E50,999),IFERROR(MATCH("*PDEng*",OFFSET(Budget!$A$20,E50,0,ROWS(Personnel[]),1),0)+E50,999))&lt;ROWS(Personnel[]),MIN(IFERROR(MATCH("*PostDoc*",OFFSET(Budget!$A$20,E50,0,ROWS(Personnel[]),1),0)+E50,999),IFERROR(MATCH("*PhD*",OFFSET(Budget!$A$20,E50,0,ROWS(Personnel[]),1),0)+E50,999),IFERROR(MATCH("*PDEng*",OFFSET(Budget!$A$20,E50,0,ROWS(Personnel[]),1),0)+E50,999)),"")</f>
        <v/>
      </c>
      <c r="F51" s="119" t="str">
        <f ca="1">IFERROR(INDEX(Personnel[FTE],E51)*INDEX(Personnel[Months],E51)/12,"")</f>
        <v/>
      </c>
      <c r="G51" s="140"/>
      <c r="H51" s="142" t="e">
        <f ca="1">IF(IFERROR(MATCH("*researcher*",OFFSET(Budget!#REF!,H50,0,ROWS(#REF!),1),0)+H50,999)&lt;ROWS(#REF!),IFERROR(MATCH("*researcher*",OFFSET(Budget!#REF!,H50,0,ROWS(#REF!),1),0)+H50,999),"")</f>
        <v>#REF!</v>
      </c>
      <c r="I51" s="146" t="str">
        <f ca="1">IF(ISERROR(IF(AND(INDEX(#REF!,H51)&gt;=pers_oi_min_months,INDEX(#REF!,H51)/INDEX(#REF!,H51)*12/pers_other_nrhours_year&gt;=pers_oi_minFTE)=TRUE,INDEX(#REF!,H51)/12,0)),"",IF(AND(INDEX(#REF!,H51)&gt;=pers_oi_min_months,INDEX(#REF!,H51)/INDEX(#REF!,H51)*12/pers_other_nrhours_year&gt;=pers_oi_minFTE)=TRUE,INDEX(#REF!,H51)/12,""))</f>
        <v/>
      </c>
      <c r="J51" s="140"/>
      <c r="K51" s="132" t="str">
        <f ca="1">IF(IFERROR(MATCH("*Non-scientific*",OFFSET(Budget!$A$20,K50,0,ROWS(Personnel[]),1),0)+K50,999)&lt;ROWS(Personnel[]),IFERROR(MATCH("*Non-scientific*",OFFSET(Budget!$A$20,K50,0,ROWS(Personnel[]),1),0)+K50,999),"")</f>
        <v/>
      </c>
      <c r="L51" s="115" t="str">
        <f ca="1">IFERROR(INDEX(Personnel[Amount],K51),"")</f>
        <v/>
      </c>
      <c r="M51" s="195"/>
      <c r="N51" s="132" t="str">
        <f ca="1">IF(IFERROR(MATCH("*leave*",OFFSET(Budget!$A$20,N50,0,ROWS(Personnel[]),1),0)+N50,999)&lt;ROWS(Personnel[]),IFERROR(MATCH("*leave*",OFFSET(Budget!$A$20,N50,0,ROWS(Personnel[]),1),0)+N50,999),"")</f>
        <v/>
      </c>
      <c r="O51" s="137" t="str">
        <f ca="1">IFERROR(INDEX(Personnel[Months],N51)*INDEX(Personnel[FTE],N51),"")</f>
        <v/>
      </c>
      <c r="P51" s="195"/>
      <c r="Q51" s="132" t="str">
        <f ca="1">IF(MIN(IFERROR(MATCH("*PostDoc*",OFFSET(Budget!$A$20,Q50,0,ROWS(Personnel[])-Q50,1),0)+Q50,999),IFERROR(MATCH("*PhD*",OFFSET(Budget!$A$20,Q50,0,ROWS(Personnel[])-Q50,1),0)+Q50,999),IFERROR(MATCH("*PDEng*",OFFSET(Budget!$A$20,Q50,0,ROWS(Personnel[])-Q50,1),0)+Q50,999),IFERROR(MATCH("*Doctorate*",OFFSET(Budget!$A$20,Q50,0,ROWS(Personnel[])-Q50,1),0)+Q50,999))&lt;ROWS(Personnel[]),MIN(IFERROR(MATCH("*PostDoc*",OFFSET(Budget!$A$20,Q50,0,ROWS(Personnel[])-Q50,1),0)+Q50,999),IFERROR(MATCH("*PhD*",OFFSET(Budget!$A$20,Q50,0,ROWS(Personnel[])-Q50,1),0)+Q50,999),IFERROR(MATCH("*PDEng*",OFFSET(Budget!$A$20,Q50,0,ROWS(Personnel[])-Q50,1),0)+Q50,999),IFERROR(MATCH("*Doctorate*",OFFSET(Budget!$A$20,Q50,0,ROWS(Personnel[])-Q50,1),0)+Q50,999)),"")</f>
        <v/>
      </c>
      <c r="R51" s="205" t="str">
        <f ca="1">IFERROR(INDEX(Personnel[Category],Q51),"")</f>
        <v/>
      </c>
      <c r="S51" s="205" t="str">
        <f ca="1">IFERROR(INDEX(Personnel[FTE],Q51),"")</f>
        <v/>
      </c>
      <c r="T51" s="205" t="str">
        <f ca="1">IFERROR(INDEX(Personnel[Months],Q51),"")</f>
        <v/>
      </c>
      <c r="U51" s="205" t="str">
        <f ca="1">SUBSTITUTE(IFERROR(INDEX(Personnel[Organisation type],Q51),""),0,"")</f>
        <v/>
      </c>
      <c r="V51" s="206" t="str">
        <f ca="1">SUBSTITUTE(IFERROR(INDEX(Personnel[Name organisation],Q51),""),0,"")</f>
        <v/>
      </c>
      <c r="W51" s="195"/>
      <c r="X51" s="207" t="str">
        <f>IF(ROW(E1588)-ROW($E$1548)&lt;ROWS(inkind[]),IFERROR(IF(INDEX(list_cofunders[private?],MATCH(Budget!#REF!,list_cofunders[list cofunders],0),1)="yes",Budget!#REF!,""),""),"")</f>
        <v/>
      </c>
      <c r="Y51" s="208" t="str">
        <f>IF(ROW(E1691)-ROW($E$1651)&lt;ROWS(incash[]),IFERROR(IF(INDEX(list_cofunders[private?],MATCH(Budget!#REF!,list_cofunders[list cofunders],0),1)="yes",Budget!#REF!,""),""),"")</f>
        <v/>
      </c>
      <c r="Z51" s="205" t="str">
        <f>IFERROR(INDEX(Personnel[FTE],X51),"")</f>
        <v/>
      </c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7"/>
      <c r="DA51" s="27"/>
      <c r="DB51" s="27"/>
      <c r="DC51" s="27"/>
      <c r="DD51" s="27"/>
      <c r="DE51" s="27"/>
      <c r="DF51" s="27"/>
      <c r="DG51" s="27"/>
      <c r="DH51" s="27"/>
    </row>
    <row r="52" spans="2:112" s="26" customFormat="1" ht="11.25" customHeight="1" outlineLevel="1" x14ac:dyDescent="0.35">
      <c r="B52" s="132" t="str">
        <f ca="1">IF(IFERROR(MATCH("*Other*",OFFSET(Budget!$A$20,B51,0,ROWS(Personnel[]),1),0)+B51,999)&lt;ROWS(Personnel[]),IFERROR(MATCH("*Other*",OFFSET(Budget!$A$20,B51,0,ROWS(Personnel[]),1),0)+B51,999),"")</f>
        <v/>
      </c>
      <c r="C52" s="115" t="str">
        <f ca="1">IFERROR(INDEX(Personnel[Amount],B52),"")</f>
        <v/>
      </c>
      <c r="D52" s="29"/>
      <c r="E52" s="132" t="str">
        <f ca="1">IF(MIN(IFERROR(MATCH("*PostDoc*",OFFSET(Budget!$A$20,E51,0,ROWS(Personnel[]),1),0)+E51,999),IFERROR(MATCH("*PhD*",OFFSET(Budget!$A$20,E51,0,ROWS(Personnel[]),1),0)+E51,999),IFERROR(MATCH("*PDEng*",OFFSET(Budget!$A$20,E51,0,ROWS(Personnel[]),1),0)+E51,999))&lt;ROWS(Personnel[]),MIN(IFERROR(MATCH("*PostDoc*",OFFSET(Budget!$A$20,E51,0,ROWS(Personnel[]),1),0)+E51,999),IFERROR(MATCH("*PhD*",OFFSET(Budget!$A$20,E51,0,ROWS(Personnel[]),1),0)+E51,999),IFERROR(MATCH("*PDEng*",OFFSET(Budget!$A$20,E51,0,ROWS(Personnel[]),1),0)+E51,999)),"")</f>
        <v/>
      </c>
      <c r="F52" s="119" t="str">
        <f ca="1">IFERROR(INDEX(Personnel[FTE],E52)*INDEX(Personnel[Months],E52)/12,"")</f>
        <v/>
      </c>
      <c r="G52" s="140"/>
      <c r="H52" s="142" t="e">
        <f ca="1">IF(IFERROR(MATCH("*researcher*",OFFSET(Budget!#REF!,H51,0,ROWS(#REF!),1),0)+H51,999)&lt;ROWS(#REF!),IFERROR(MATCH("*researcher*",OFFSET(Budget!#REF!,H51,0,ROWS(#REF!),1),0)+H51,999),"")</f>
        <v>#REF!</v>
      </c>
      <c r="I52" s="146" t="str">
        <f ca="1">IF(ISERROR(IF(AND(INDEX(#REF!,H52)&gt;=pers_oi_min_months,INDEX(#REF!,H52)/INDEX(#REF!,H52)*12/pers_other_nrhours_year&gt;=pers_oi_minFTE)=TRUE,INDEX(#REF!,H52)/12,0)),"",IF(AND(INDEX(#REF!,H52)&gt;=pers_oi_min_months,INDEX(#REF!,H52)/INDEX(#REF!,H52)*12/pers_other_nrhours_year&gt;=pers_oi_minFTE)=TRUE,INDEX(#REF!,H52)/12,""))</f>
        <v/>
      </c>
      <c r="J52" s="140"/>
      <c r="K52" s="132" t="str">
        <f ca="1">IF(IFERROR(MATCH("*Non-scientific*",OFFSET(Budget!$A$20,K51,0,ROWS(Personnel[]),1),0)+K51,999)&lt;ROWS(Personnel[]),IFERROR(MATCH("*Non-scientific*",OFFSET(Budget!$A$20,K51,0,ROWS(Personnel[]),1),0)+K51,999),"")</f>
        <v/>
      </c>
      <c r="L52" s="115" t="str">
        <f ca="1">IFERROR(INDEX(Personnel[Amount],K52),"")</f>
        <v/>
      </c>
      <c r="M52" s="195"/>
      <c r="N52" s="132" t="str">
        <f ca="1">IF(IFERROR(MATCH("*leave*",OFFSET(Budget!$A$20,N51,0,ROWS(Personnel[]),1),0)+N51,999)&lt;ROWS(Personnel[]),IFERROR(MATCH("*leave*",OFFSET(Budget!$A$20,N51,0,ROWS(Personnel[]),1),0)+N51,999),"")</f>
        <v/>
      </c>
      <c r="O52" s="137" t="str">
        <f ca="1">IFERROR(INDEX(Personnel[Months],N52)*INDEX(Personnel[FTE],N52),"")</f>
        <v/>
      </c>
      <c r="P52" s="195"/>
      <c r="Q52" s="132" t="str">
        <f ca="1">IF(MIN(IFERROR(MATCH("*PostDoc*",OFFSET(Budget!$A$20,Q51,0,ROWS(Personnel[])-Q51,1),0)+Q51,999),IFERROR(MATCH("*PhD*",OFFSET(Budget!$A$20,Q51,0,ROWS(Personnel[])-Q51,1),0)+Q51,999),IFERROR(MATCH("*PDEng*",OFFSET(Budget!$A$20,Q51,0,ROWS(Personnel[])-Q51,1),0)+Q51,999),IFERROR(MATCH("*Doctorate*",OFFSET(Budget!$A$20,Q51,0,ROWS(Personnel[])-Q51,1),0)+Q51,999))&lt;ROWS(Personnel[]),MIN(IFERROR(MATCH("*PostDoc*",OFFSET(Budget!$A$20,Q51,0,ROWS(Personnel[])-Q51,1),0)+Q51,999),IFERROR(MATCH("*PhD*",OFFSET(Budget!$A$20,Q51,0,ROWS(Personnel[])-Q51,1),0)+Q51,999),IFERROR(MATCH("*PDEng*",OFFSET(Budget!$A$20,Q51,0,ROWS(Personnel[])-Q51,1),0)+Q51,999),IFERROR(MATCH("*Doctorate*",OFFSET(Budget!$A$20,Q51,0,ROWS(Personnel[])-Q51,1),0)+Q51,999)),"")</f>
        <v/>
      </c>
      <c r="R52" s="205" t="str">
        <f ca="1">IFERROR(INDEX(Personnel[Category],Q52),"")</f>
        <v/>
      </c>
      <c r="S52" s="205" t="str">
        <f ca="1">IFERROR(INDEX(Personnel[FTE],Q52),"")</f>
        <v/>
      </c>
      <c r="T52" s="205" t="str">
        <f ca="1">IFERROR(INDEX(Personnel[Months],Q52),"")</f>
        <v/>
      </c>
      <c r="U52" s="205" t="str">
        <f ca="1">SUBSTITUTE(IFERROR(INDEX(Personnel[Organisation type],Q52),""),0,"")</f>
        <v/>
      </c>
      <c r="V52" s="206" t="str">
        <f ca="1">SUBSTITUTE(IFERROR(INDEX(Personnel[Name organisation],Q52),""),0,"")</f>
        <v/>
      </c>
      <c r="W52" s="195"/>
      <c r="X52" s="207" t="str">
        <f>IF(ROW(E1589)-ROW($E$1548)&lt;ROWS(inkind[]),IFERROR(IF(INDEX(list_cofunders[private?],MATCH(Budget!#REF!,list_cofunders[list cofunders],0),1)="yes",Budget!#REF!,""),""),"")</f>
        <v/>
      </c>
      <c r="Y52" s="208" t="str">
        <f>IF(ROW(E1692)-ROW($E$1651)&lt;ROWS(incash[]),IFERROR(IF(INDEX(list_cofunders[private?],MATCH(Budget!#REF!,list_cofunders[list cofunders],0),1)="yes",Budget!#REF!,""),""),"")</f>
        <v/>
      </c>
      <c r="Z52" s="205" t="str">
        <f>IFERROR(INDEX(Personnel[FTE],X52),"")</f>
        <v/>
      </c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7"/>
      <c r="DA52" s="27"/>
      <c r="DB52" s="27"/>
      <c r="DC52" s="27"/>
      <c r="DD52" s="27"/>
      <c r="DE52" s="27"/>
      <c r="DF52" s="27"/>
      <c r="DG52" s="27"/>
      <c r="DH52" s="27"/>
    </row>
    <row r="53" spans="2:112" s="26" customFormat="1" ht="11.25" customHeight="1" outlineLevel="1" x14ac:dyDescent="0.35">
      <c r="B53" s="132" t="str">
        <f ca="1">IF(IFERROR(MATCH("*Other*",OFFSET(Budget!$A$20,B52,0,ROWS(Personnel[]),1),0)+B52,999)&lt;ROWS(Personnel[]),IFERROR(MATCH("*Other*",OFFSET(Budget!$A$20,B52,0,ROWS(Personnel[]),1),0)+B52,999),"")</f>
        <v/>
      </c>
      <c r="C53" s="115" t="str">
        <f ca="1">IFERROR(INDEX(Personnel[Amount],B53),"")</f>
        <v/>
      </c>
      <c r="D53" s="29"/>
      <c r="E53" s="132" t="str">
        <f ca="1">IF(MIN(IFERROR(MATCH("*PostDoc*",OFFSET(Budget!$A$20,E52,0,ROWS(Personnel[]),1),0)+E52,999),IFERROR(MATCH("*PhD*",OFFSET(Budget!$A$20,E52,0,ROWS(Personnel[]),1),0)+E52,999),IFERROR(MATCH("*PDEng*",OFFSET(Budget!$A$20,E52,0,ROWS(Personnel[]),1),0)+E52,999))&lt;ROWS(Personnel[]),MIN(IFERROR(MATCH("*PostDoc*",OFFSET(Budget!$A$20,E52,0,ROWS(Personnel[]),1),0)+E52,999),IFERROR(MATCH("*PhD*",OFFSET(Budget!$A$20,E52,0,ROWS(Personnel[]),1),0)+E52,999),IFERROR(MATCH("*PDEng*",OFFSET(Budget!$A$20,E52,0,ROWS(Personnel[]),1),0)+E52,999)),"")</f>
        <v/>
      </c>
      <c r="F53" s="119" t="str">
        <f ca="1">IFERROR(INDEX(Personnel[FTE],E53)*INDEX(Personnel[Months],E53)/12,"")</f>
        <v/>
      </c>
      <c r="G53" s="140"/>
      <c r="H53" s="142" t="e">
        <f ca="1">IF(IFERROR(MATCH("*researcher*",OFFSET(Budget!#REF!,H52,0,ROWS(#REF!),1),0)+H52,999)&lt;ROWS(#REF!),IFERROR(MATCH("*researcher*",OFFSET(Budget!#REF!,H52,0,ROWS(#REF!),1),0)+H52,999),"")</f>
        <v>#REF!</v>
      </c>
      <c r="I53" s="146" t="str">
        <f ca="1">IF(ISERROR(IF(AND(INDEX(#REF!,H53)&gt;=pers_oi_min_months,INDEX(#REF!,H53)/INDEX(#REF!,H53)*12/pers_other_nrhours_year&gt;=pers_oi_minFTE)=TRUE,INDEX(#REF!,H53)/12,0)),"",IF(AND(INDEX(#REF!,H53)&gt;=pers_oi_min_months,INDEX(#REF!,H53)/INDEX(#REF!,H53)*12/pers_other_nrhours_year&gt;=pers_oi_minFTE)=TRUE,INDEX(#REF!,H53)/12,""))</f>
        <v/>
      </c>
      <c r="J53" s="140"/>
      <c r="K53" s="132" t="str">
        <f ca="1">IF(IFERROR(MATCH("*Non-scientific*",OFFSET(Budget!$A$20,K52,0,ROWS(Personnel[]),1),0)+K52,999)&lt;ROWS(Personnel[]),IFERROR(MATCH("*Non-scientific*",OFFSET(Budget!$A$20,K52,0,ROWS(Personnel[]),1),0)+K52,999),"")</f>
        <v/>
      </c>
      <c r="L53" s="115" t="str">
        <f ca="1">IFERROR(INDEX(Personnel[Amount],K53),"")</f>
        <v/>
      </c>
      <c r="M53" s="195"/>
      <c r="N53" s="132" t="str">
        <f ca="1">IF(IFERROR(MATCH("*leave*",OFFSET(Budget!$A$20,N52,0,ROWS(Personnel[]),1),0)+N52,999)&lt;ROWS(Personnel[]),IFERROR(MATCH("*leave*",OFFSET(Budget!$A$20,N52,0,ROWS(Personnel[]),1),0)+N52,999),"")</f>
        <v/>
      </c>
      <c r="O53" s="137" t="str">
        <f ca="1">IFERROR(INDEX(Personnel[Months],N53)*INDEX(Personnel[FTE],N53),"")</f>
        <v/>
      </c>
      <c r="P53" s="195"/>
      <c r="Q53" s="132" t="str">
        <f ca="1">IF(MIN(IFERROR(MATCH("*PostDoc*",OFFSET(Budget!$A$20,Q52,0,ROWS(Personnel[])-Q52,1),0)+Q52,999),IFERROR(MATCH("*PhD*",OFFSET(Budget!$A$20,Q52,0,ROWS(Personnel[])-Q52,1),0)+Q52,999),IFERROR(MATCH("*PDEng*",OFFSET(Budget!$A$20,Q52,0,ROWS(Personnel[])-Q52,1),0)+Q52,999),IFERROR(MATCH("*Doctorate*",OFFSET(Budget!$A$20,Q52,0,ROWS(Personnel[])-Q52,1),0)+Q52,999))&lt;ROWS(Personnel[]),MIN(IFERROR(MATCH("*PostDoc*",OFFSET(Budget!$A$20,Q52,0,ROWS(Personnel[])-Q52,1),0)+Q52,999),IFERROR(MATCH("*PhD*",OFFSET(Budget!$A$20,Q52,0,ROWS(Personnel[])-Q52,1),0)+Q52,999),IFERROR(MATCH("*PDEng*",OFFSET(Budget!$A$20,Q52,0,ROWS(Personnel[])-Q52,1),0)+Q52,999),IFERROR(MATCH("*Doctorate*",OFFSET(Budget!$A$20,Q52,0,ROWS(Personnel[])-Q52,1),0)+Q52,999)),"")</f>
        <v/>
      </c>
      <c r="R53" s="205" t="str">
        <f ca="1">IFERROR(INDEX(Personnel[Category],Q53),"")</f>
        <v/>
      </c>
      <c r="S53" s="205" t="str">
        <f ca="1">IFERROR(INDEX(Personnel[FTE],Q53),"")</f>
        <v/>
      </c>
      <c r="T53" s="205" t="str">
        <f ca="1">IFERROR(INDEX(Personnel[Months],Q53),"")</f>
        <v/>
      </c>
      <c r="U53" s="205" t="str">
        <f ca="1">SUBSTITUTE(IFERROR(INDEX(Personnel[Organisation type],Q53),""),0,"")</f>
        <v/>
      </c>
      <c r="V53" s="206" t="str">
        <f ca="1">SUBSTITUTE(IFERROR(INDEX(Personnel[Name organisation],Q53),""),0,"")</f>
        <v/>
      </c>
      <c r="W53" s="195"/>
      <c r="X53" s="207" t="str">
        <f>IF(ROW(E1590)-ROW($E$1548)&lt;ROWS(inkind[]),IFERROR(IF(INDEX(list_cofunders[private?],MATCH(Budget!#REF!,list_cofunders[list cofunders],0),1)="yes",Budget!#REF!,""),""),"")</f>
        <v/>
      </c>
      <c r="Y53" s="208" t="str">
        <f>IF(ROW(E1693)-ROW($E$1651)&lt;ROWS(incash[]),IFERROR(IF(INDEX(list_cofunders[private?],MATCH(Budget!#REF!,list_cofunders[list cofunders],0),1)="yes",Budget!#REF!,""),""),"")</f>
        <v/>
      </c>
      <c r="Z53" s="205" t="str">
        <f>IFERROR(INDEX(Personnel[FTE],X53),"")</f>
        <v/>
      </c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7"/>
      <c r="DA53" s="27"/>
      <c r="DB53" s="27"/>
      <c r="DC53" s="27"/>
      <c r="DD53" s="27"/>
      <c r="DE53" s="27"/>
      <c r="DF53" s="27"/>
      <c r="DG53" s="27"/>
      <c r="DH53" s="27"/>
    </row>
    <row r="54" spans="2:112" s="26" customFormat="1" ht="11.25" customHeight="1" outlineLevel="1" x14ac:dyDescent="0.35">
      <c r="B54" s="132" t="str">
        <f ca="1">IF(IFERROR(MATCH("*Other*",OFFSET(Budget!$A$20,B53,0,ROWS(Personnel[]),1),0)+B53,999)&lt;ROWS(Personnel[]),IFERROR(MATCH("*Other*",OFFSET(Budget!$A$20,B53,0,ROWS(Personnel[]),1),0)+B53,999),"")</f>
        <v/>
      </c>
      <c r="C54" s="115" t="str">
        <f ca="1">IFERROR(INDEX(Personnel[Amount],B54),"")</f>
        <v/>
      </c>
      <c r="D54" s="29"/>
      <c r="E54" s="132" t="str">
        <f ca="1">IF(MIN(IFERROR(MATCH("*PostDoc*",OFFSET(Budget!$A$20,E53,0,ROWS(Personnel[]),1),0)+E53,999),IFERROR(MATCH("*PhD*",OFFSET(Budget!$A$20,E53,0,ROWS(Personnel[]),1),0)+E53,999),IFERROR(MATCH("*PDEng*",OFFSET(Budget!$A$20,E53,0,ROWS(Personnel[]),1),0)+E53,999))&lt;ROWS(Personnel[]),MIN(IFERROR(MATCH("*PostDoc*",OFFSET(Budget!$A$20,E53,0,ROWS(Personnel[]),1),0)+E53,999),IFERROR(MATCH("*PhD*",OFFSET(Budget!$A$20,E53,0,ROWS(Personnel[]),1),0)+E53,999),IFERROR(MATCH("*PDEng*",OFFSET(Budget!$A$20,E53,0,ROWS(Personnel[]),1),0)+E53,999)),"")</f>
        <v/>
      </c>
      <c r="F54" s="119" t="str">
        <f ca="1">IFERROR(INDEX(Personnel[FTE],E54)*INDEX(Personnel[Months],E54)/12,"")</f>
        <v/>
      </c>
      <c r="G54" s="140"/>
      <c r="H54" s="142" t="e">
        <f ca="1">IF(IFERROR(MATCH("*researcher*",OFFSET(Budget!#REF!,H53,0,ROWS(#REF!),1),0)+H53,999)&lt;ROWS(#REF!),IFERROR(MATCH("*researcher*",OFFSET(Budget!#REF!,H53,0,ROWS(#REF!),1),0)+H53,999),"")</f>
        <v>#REF!</v>
      </c>
      <c r="I54" s="146" t="str">
        <f ca="1">IF(ISERROR(IF(AND(INDEX(#REF!,H54)&gt;=pers_oi_min_months,INDEX(#REF!,H54)/INDEX(#REF!,H54)*12/pers_other_nrhours_year&gt;=pers_oi_minFTE)=TRUE,INDEX(#REF!,H54)/12,0)),"",IF(AND(INDEX(#REF!,H54)&gt;=pers_oi_min_months,INDEX(#REF!,H54)/INDEX(#REF!,H54)*12/pers_other_nrhours_year&gt;=pers_oi_minFTE)=TRUE,INDEX(#REF!,H54)/12,""))</f>
        <v/>
      </c>
      <c r="J54" s="140"/>
      <c r="K54" s="132" t="str">
        <f ca="1">IF(IFERROR(MATCH("*Non-scientific*",OFFSET(Budget!$A$20,K53,0,ROWS(Personnel[]),1),0)+K53,999)&lt;ROWS(Personnel[]),IFERROR(MATCH("*Non-scientific*",OFFSET(Budget!$A$20,K53,0,ROWS(Personnel[]),1),0)+K53,999),"")</f>
        <v/>
      </c>
      <c r="L54" s="115" t="str">
        <f ca="1">IFERROR(INDEX(Personnel[Amount],K54),"")</f>
        <v/>
      </c>
      <c r="M54" s="195"/>
      <c r="N54" s="132" t="str">
        <f ca="1">IF(IFERROR(MATCH("*leave*",OFFSET(Budget!$A$20,N53,0,ROWS(Personnel[]),1),0)+N53,999)&lt;ROWS(Personnel[]),IFERROR(MATCH("*leave*",OFFSET(Budget!$A$20,N53,0,ROWS(Personnel[]),1),0)+N53,999),"")</f>
        <v/>
      </c>
      <c r="O54" s="137" t="str">
        <f ca="1">IFERROR(INDEX(Personnel[Months],N54)*INDEX(Personnel[FTE],N54),"")</f>
        <v/>
      </c>
      <c r="P54" s="195"/>
      <c r="Q54" s="132" t="str">
        <f ca="1">IF(MIN(IFERROR(MATCH("*PostDoc*",OFFSET(Budget!$A$20,Q53,0,ROWS(Personnel[])-Q53,1),0)+Q53,999),IFERROR(MATCH("*PhD*",OFFSET(Budget!$A$20,Q53,0,ROWS(Personnel[])-Q53,1),0)+Q53,999),IFERROR(MATCH("*PDEng*",OFFSET(Budget!$A$20,Q53,0,ROWS(Personnel[])-Q53,1),0)+Q53,999),IFERROR(MATCH("*Doctorate*",OFFSET(Budget!$A$20,Q53,0,ROWS(Personnel[])-Q53,1),0)+Q53,999))&lt;ROWS(Personnel[]),MIN(IFERROR(MATCH("*PostDoc*",OFFSET(Budget!$A$20,Q53,0,ROWS(Personnel[])-Q53,1),0)+Q53,999),IFERROR(MATCH("*PhD*",OFFSET(Budget!$A$20,Q53,0,ROWS(Personnel[])-Q53,1),0)+Q53,999),IFERROR(MATCH("*PDEng*",OFFSET(Budget!$A$20,Q53,0,ROWS(Personnel[])-Q53,1),0)+Q53,999),IFERROR(MATCH("*Doctorate*",OFFSET(Budget!$A$20,Q53,0,ROWS(Personnel[])-Q53,1),0)+Q53,999)),"")</f>
        <v/>
      </c>
      <c r="R54" s="205" t="str">
        <f ca="1">IFERROR(INDEX(Personnel[Category],Q54),"")</f>
        <v/>
      </c>
      <c r="S54" s="205" t="str">
        <f ca="1">IFERROR(INDEX(Personnel[FTE],Q54),"")</f>
        <v/>
      </c>
      <c r="T54" s="205" t="str">
        <f ca="1">IFERROR(INDEX(Personnel[Months],Q54),"")</f>
        <v/>
      </c>
      <c r="U54" s="205" t="str">
        <f ca="1">SUBSTITUTE(IFERROR(INDEX(Personnel[Organisation type],Q54),""),0,"")</f>
        <v/>
      </c>
      <c r="V54" s="206" t="str">
        <f ca="1">SUBSTITUTE(IFERROR(INDEX(Personnel[Name organisation],Q54),""),0,"")</f>
        <v/>
      </c>
      <c r="W54" s="195"/>
      <c r="X54" s="207" t="str">
        <f>IF(ROW(E1591)-ROW($E$1548)&lt;ROWS(inkind[]),IFERROR(IF(INDEX(list_cofunders[private?],MATCH(Budget!#REF!,list_cofunders[list cofunders],0),1)="yes",Budget!#REF!,""),""),"")</f>
        <v/>
      </c>
      <c r="Y54" s="208" t="str">
        <f>IF(ROW(E1694)-ROW($E$1651)&lt;ROWS(incash[]),IFERROR(IF(INDEX(list_cofunders[private?],MATCH(Budget!#REF!,list_cofunders[list cofunders],0),1)="yes",Budget!#REF!,""),""),"")</f>
        <v/>
      </c>
      <c r="Z54" s="205" t="str">
        <f>IFERROR(INDEX(Personnel[FTE],X54),"")</f>
        <v/>
      </c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7"/>
      <c r="DA54" s="27"/>
      <c r="DB54" s="27"/>
      <c r="DC54" s="27"/>
      <c r="DD54" s="27"/>
      <c r="DE54" s="27"/>
      <c r="DF54" s="27"/>
      <c r="DG54" s="27"/>
      <c r="DH54" s="27"/>
    </row>
    <row r="55" spans="2:112" s="26" customFormat="1" ht="11.25" customHeight="1" outlineLevel="1" x14ac:dyDescent="0.35">
      <c r="B55" s="132" t="str">
        <f ca="1">IF(IFERROR(MATCH("*Other*",OFFSET(Budget!$A$20,B54,0,ROWS(Personnel[]),1),0)+B54,999)&lt;ROWS(Personnel[]),IFERROR(MATCH("*Other*",OFFSET(Budget!$A$20,B54,0,ROWS(Personnel[]),1),0)+B54,999),"")</f>
        <v/>
      </c>
      <c r="C55" s="115" t="str">
        <f ca="1">IFERROR(INDEX(Personnel[Amount],B55),"")</f>
        <v/>
      </c>
      <c r="D55" s="29"/>
      <c r="E55" s="132" t="str">
        <f ca="1">IF(MIN(IFERROR(MATCH("*PostDoc*",OFFSET(Budget!$A$20,E54,0,ROWS(Personnel[]),1),0)+E54,999),IFERROR(MATCH("*PhD*",OFFSET(Budget!$A$20,E54,0,ROWS(Personnel[]),1),0)+E54,999),IFERROR(MATCH("*PDEng*",OFFSET(Budget!$A$20,E54,0,ROWS(Personnel[]),1),0)+E54,999))&lt;ROWS(Personnel[]),MIN(IFERROR(MATCH("*PostDoc*",OFFSET(Budget!$A$20,E54,0,ROWS(Personnel[]),1),0)+E54,999),IFERROR(MATCH("*PhD*",OFFSET(Budget!$A$20,E54,0,ROWS(Personnel[]),1),0)+E54,999),IFERROR(MATCH("*PDEng*",OFFSET(Budget!$A$20,E54,0,ROWS(Personnel[]),1),0)+E54,999)),"")</f>
        <v/>
      </c>
      <c r="F55" s="119" t="str">
        <f ca="1">IFERROR(INDEX(Personnel[FTE],E55)*INDEX(Personnel[Months],E55)/12,"")</f>
        <v/>
      </c>
      <c r="G55" s="140"/>
      <c r="H55" s="142" t="e">
        <f ca="1">IF(IFERROR(MATCH("*researcher*",OFFSET(Budget!#REF!,H54,0,ROWS(#REF!),1),0)+H54,999)&lt;ROWS(#REF!),IFERROR(MATCH("*researcher*",OFFSET(Budget!#REF!,H54,0,ROWS(#REF!),1),0)+H54,999),"")</f>
        <v>#REF!</v>
      </c>
      <c r="I55" s="146" t="str">
        <f ca="1">IF(ISERROR(IF(AND(INDEX(#REF!,H55)&gt;=pers_oi_min_months,INDEX(#REF!,H55)/INDEX(#REF!,H55)*12/pers_other_nrhours_year&gt;=pers_oi_minFTE)=TRUE,INDEX(#REF!,H55)/12,0)),"",IF(AND(INDEX(#REF!,H55)&gt;=pers_oi_min_months,INDEX(#REF!,H55)/INDEX(#REF!,H55)*12/pers_other_nrhours_year&gt;=pers_oi_minFTE)=TRUE,INDEX(#REF!,H55)/12,""))</f>
        <v/>
      </c>
      <c r="J55" s="140"/>
      <c r="K55" s="132" t="str">
        <f ca="1">IF(IFERROR(MATCH("*Non-scientific*",OFFSET(Budget!$A$20,K54,0,ROWS(Personnel[]),1),0)+K54,999)&lt;ROWS(Personnel[]),IFERROR(MATCH("*Non-scientific*",OFFSET(Budget!$A$20,K54,0,ROWS(Personnel[]),1),0)+K54,999),"")</f>
        <v/>
      </c>
      <c r="L55" s="115" t="str">
        <f ca="1">IFERROR(INDEX(Personnel[Amount],K55),"")</f>
        <v/>
      </c>
      <c r="M55" s="195"/>
      <c r="N55" s="132" t="str">
        <f ca="1">IF(IFERROR(MATCH("*leave*",OFFSET(Budget!$A$20,N54,0,ROWS(Personnel[]),1),0)+N54,999)&lt;ROWS(Personnel[]),IFERROR(MATCH("*leave*",OFFSET(Budget!$A$20,N54,0,ROWS(Personnel[]),1),0)+N54,999),"")</f>
        <v/>
      </c>
      <c r="O55" s="137" t="str">
        <f ca="1">IFERROR(INDEX(Personnel[Months],N55)*INDEX(Personnel[FTE],N55),"")</f>
        <v/>
      </c>
      <c r="P55" s="195"/>
      <c r="Q55" s="132" t="str">
        <f ca="1">IF(MIN(IFERROR(MATCH("*PostDoc*",OFFSET(Budget!$A$20,Q54,0,ROWS(Personnel[])-Q54,1),0)+Q54,999),IFERROR(MATCH("*PhD*",OFFSET(Budget!$A$20,Q54,0,ROWS(Personnel[])-Q54,1),0)+Q54,999),IFERROR(MATCH("*PDEng*",OFFSET(Budget!$A$20,Q54,0,ROWS(Personnel[])-Q54,1),0)+Q54,999),IFERROR(MATCH("*Doctorate*",OFFSET(Budget!$A$20,Q54,0,ROWS(Personnel[])-Q54,1),0)+Q54,999))&lt;ROWS(Personnel[]),MIN(IFERROR(MATCH("*PostDoc*",OFFSET(Budget!$A$20,Q54,0,ROWS(Personnel[])-Q54,1),0)+Q54,999),IFERROR(MATCH("*PhD*",OFFSET(Budget!$A$20,Q54,0,ROWS(Personnel[])-Q54,1),0)+Q54,999),IFERROR(MATCH("*PDEng*",OFFSET(Budget!$A$20,Q54,0,ROWS(Personnel[])-Q54,1),0)+Q54,999),IFERROR(MATCH("*Doctorate*",OFFSET(Budget!$A$20,Q54,0,ROWS(Personnel[])-Q54,1),0)+Q54,999)),"")</f>
        <v/>
      </c>
      <c r="R55" s="205" t="str">
        <f ca="1">IFERROR(INDEX(Personnel[Category],Q55),"")</f>
        <v/>
      </c>
      <c r="S55" s="205" t="str">
        <f ca="1">IFERROR(INDEX(Personnel[FTE],Q55),"")</f>
        <v/>
      </c>
      <c r="T55" s="205" t="str">
        <f ca="1">IFERROR(INDEX(Personnel[Months],Q55),"")</f>
        <v/>
      </c>
      <c r="U55" s="205" t="str">
        <f ca="1">SUBSTITUTE(IFERROR(INDEX(Personnel[Organisation type],Q55),""),0,"")</f>
        <v/>
      </c>
      <c r="V55" s="206" t="str">
        <f ca="1">SUBSTITUTE(IFERROR(INDEX(Personnel[Name organisation],Q55),""),0,"")</f>
        <v/>
      </c>
      <c r="W55" s="195"/>
      <c r="X55" s="207" t="str">
        <f>IF(ROW(E1592)-ROW($E$1548)&lt;ROWS(inkind[]),IFERROR(IF(INDEX(list_cofunders[private?],MATCH(Budget!#REF!,list_cofunders[list cofunders],0),1)="yes",Budget!#REF!,""),""),"")</f>
        <v/>
      </c>
      <c r="Y55" s="208" t="str">
        <f>IF(ROW(E1695)-ROW($E$1651)&lt;ROWS(incash[]),IFERROR(IF(INDEX(list_cofunders[private?],MATCH(Budget!#REF!,list_cofunders[list cofunders],0),1)="yes",Budget!#REF!,""),""),"")</f>
        <v/>
      </c>
      <c r="Z55" s="205" t="str">
        <f>IFERROR(INDEX(Personnel[FTE],X55),"")</f>
        <v/>
      </c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7"/>
      <c r="DA55" s="27"/>
      <c r="DB55" s="27"/>
      <c r="DC55" s="27"/>
      <c r="DD55" s="27"/>
      <c r="DE55" s="27"/>
      <c r="DF55" s="27"/>
      <c r="DG55" s="27"/>
      <c r="DH55" s="27"/>
    </row>
    <row r="56" spans="2:112" s="26" customFormat="1" ht="11.25" customHeight="1" outlineLevel="1" x14ac:dyDescent="0.35">
      <c r="B56" s="132" t="str">
        <f ca="1">IF(IFERROR(MATCH("*Other*",OFFSET(Budget!$A$20,B55,0,ROWS(Personnel[]),1),0)+B55,999)&lt;ROWS(Personnel[]),IFERROR(MATCH("*Other*",OFFSET(Budget!$A$20,B55,0,ROWS(Personnel[]),1),0)+B55,999),"")</f>
        <v/>
      </c>
      <c r="C56" s="115" t="str">
        <f ca="1">IFERROR(INDEX(Personnel[Amount],B56),"")</f>
        <v/>
      </c>
      <c r="D56" s="29"/>
      <c r="E56" s="132" t="str">
        <f ca="1">IF(MIN(IFERROR(MATCH("*PostDoc*",OFFSET(Budget!$A$20,E55,0,ROWS(Personnel[]),1),0)+E55,999),IFERROR(MATCH("*PhD*",OFFSET(Budget!$A$20,E55,0,ROWS(Personnel[]),1),0)+E55,999),IFERROR(MATCH("*PDEng*",OFFSET(Budget!$A$20,E55,0,ROWS(Personnel[]),1),0)+E55,999))&lt;ROWS(Personnel[]),MIN(IFERROR(MATCH("*PostDoc*",OFFSET(Budget!$A$20,E55,0,ROWS(Personnel[]),1),0)+E55,999),IFERROR(MATCH("*PhD*",OFFSET(Budget!$A$20,E55,0,ROWS(Personnel[]),1),0)+E55,999),IFERROR(MATCH("*PDEng*",OFFSET(Budget!$A$20,E55,0,ROWS(Personnel[]),1),0)+E55,999)),"")</f>
        <v/>
      </c>
      <c r="F56" s="119" t="str">
        <f ca="1">IFERROR(INDEX(Personnel[FTE],E56)*INDEX(Personnel[Months],E56)/12,"")</f>
        <v/>
      </c>
      <c r="G56" s="140"/>
      <c r="H56" s="142" t="e">
        <f ca="1">IF(IFERROR(MATCH("*researcher*",OFFSET(Budget!#REF!,H55,0,ROWS(#REF!),1),0)+H55,999)&lt;ROWS(#REF!),IFERROR(MATCH("*researcher*",OFFSET(Budget!#REF!,H55,0,ROWS(#REF!),1),0)+H55,999),"")</f>
        <v>#REF!</v>
      </c>
      <c r="I56" s="146" t="str">
        <f ca="1">IF(ISERROR(IF(AND(INDEX(#REF!,H56)&gt;=pers_oi_min_months,INDEX(#REF!,H56)/INDEX(#REF!,H56)*12/pers_other_nrhours_year&gt;=pers_oi_minFTE)=TRUE,INDEX(#REF!,H56)/12,0)),"",IF(AND(INDEX(#REF!,H56)&gt;=pers_oi_min_months,INDEX(#REF!,H56)/INDEX(#REF!,H56)*12/pers_other_nrhours_year&gt;=pers_oi_minFTE)=TRUE,INDEX(#REF!,H56)/12,""))</f>
        <v/>
      </c>
      <c r="J56" s="140"/>
      <c r="K56" s="132" t="str">
        <f ca="1">IF(IFERROR(MATCH("*Non-scientific*",OFFSET(Budget!$A$20,K55,0,ROWS(Personnel[]),1),0)+K55,999)&lt;ROWS(Personnel[]),IFERROR(MATCH("*Non-scientific*",OFFSET(Budget!$A$20,K55,0,ROWS(Personnel[]),1),0)+K55,999),"")</f>
        <v/>
      </c>
      <c r="L56" s="115" t="str">
        <f ca="1">IFERROR(INDEX(Personnel[Amount],K56),"")</f>
        <v/>
      </c>
      <c r="M56" s="195"/>
      <c r="N56" s="132" t="str">
        <f ca="1">IF(IFERROR(MATCH("*leave*",OFFSET(Budget!$A$20,N55,0,ROWS(Personnel[]),1),0)+N55,999)&lt;ROWS(Personnel[]),IFERROR(MATCH("*leave*",OFFSET(Budget!$A$20,N55,0,ROWS(Personnel[]),1),0)+N55,999),"")</f>
        <v/>
      </c>
      <c r="O56" s="137" t="str">
        <f ca="1">IFERROR(INDEX(Personnel[Months],N56)*INDEX(Personnel[FTE],N56),"")</f>
        <v/>
      </c>
      <c r="P56" s="195"/>
      <c r="Q56" s="132" t="str">
        <f ca="1">IF(MIN(IFERROR(MATCH("*PostDoc*",OFFSET(Budget!$A$20,Q55,0,ROWS(Personnel[])-Q55,1),0)+Q55,999),IFERROR(MATCH("*PhD*",OFFSET(Budget!$A$20,Q55,0,ROWS(Personnel[])-Q55,1),0)+Q55,999),IFERROR(MATCH("*PDEng*",OFFSET(Budget!$A$20,Q55,0,ROWS(Personnel[])-Q55,1),0)+Q55,999),IFERROR(MATCH("*Doctorate*",OFFSET(Budget!$A$20,Q55,0,ROWS(Personnel[])-Q55,1),0)+Q55,999))&lt;ROWS(Personnel[]),MIN(IFERROR(MATCH("*PostDoc*",OFFSET(Budget!$A$20,Q55,0,ROWS(Personnel[])-Q55,1),0)+Q55,999),IFERROR(MATCH("*PhD*",OFFSET(Budget!$A$20,Q55,0,ROWS(Personnel[])-Q55,1),0)+Q55,999),IFERROR(MATCH("*PDEng*",OFFSET(Budget!$A$20,Q55,0,ROWS(Personnel[])-Q55,1),0)+Q55,999),IFERROR(MATCH("*Doctorate*",OFFSET(Budget!$A$20,Q55,0,ROWS(Personnel[])-Q55,1),0)+Q55,999)),"")</f>
        <v/>
      </c>
      <c r="R56" s="205" t="str">
        <f ca="1">IFERROR(INDEX(Personnel[Category],Q56),"")</f>
        <v/>
      </c>
      <c r="S56" s="205" t="str">
        <f ca="1">IFERROR(INDEX(Personnel[FTE],Q56),"")</f>
        <v/>
      </c>
      <c r="T56" s="205" t="str">
        <f ca="1">IFERROR(INDEX(Personnel[Months],Q56),"")</f>
        <v/>
      </c>
      <c r="U56" s="205" t="str">
        <f ca="1">SUBSTITUTE(IFERROR(INDEX(Personnel[Organisation type],Q56),""),0,"")</f>
        <v/>
      </c>
      <c r="V56" s="206" t="str">
        <f ca="1">SUBSTITUTE(IFERROR(INDEX(Personnel[Name organisation],Q56),""),0,"")</f>
        <v/>
      </c>
      <c r="W56" s="195"/>
      <c r="X56" s="207" t="str">
        <f>IF(ROW(E1593)-ROW($E$1548)&lt;ROWS(inkind[]),IFERROR(IF(INDEX(list_cofunders[private?],MATCH(Budget!#REF!,list_cofunders[list cofunders],0),1)="yes",Budget!#REF!,""),""),"")</f>
        <v/>
      </c>
      <c r="Y56" s="208" t="str">
        <f>IF(ROW(E1696)-ROW($E$1651)&lt;ROWS(incash[]),IFERROR(IF(INDEX(list_cofunders[private?],MATCH(Budget!#REF!,list_cofunders[list cofunders],0),1)="yes",Budget!#REF!,""),""),"")</f>
        <v/>
      </c>
      <c r="Z56" s="205" t="str">
        <f>IFERROR(INDEX(Personnel[FTE],X56),"")</f>
        <v/>
      </c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7"/>
      <c r="DA56" s="27"/>
      <c r="DB56" s="27"/>
      <c r="DC56" s="27"/>
      <c r="DD56" s="27"/>
      <c r="DE56" s="27"/>
      <c r="DF56" s="27"/>
      <c r="DG56" s="27"/>
      <c r="DH56" s="27"/>
    </row>
    <row r="57" spans="2:112" s="26" customFormat="1" ht="11.25" customHeight="1" outlineLevel="1" x14ac:dyDescent="0.35">
      <c r="B57" s="132" t="str">
        <f ca="1">IF(IFERROR(MATCH("*Other*",OFFSET(Budget!$A$20,B56,0,ROWS(Personnel[]),1),0)+B56,999)&lt;ROWS(Personnel[]),IFERROR(MATCH("*Other*",OFFSET(Budget!$A$20,B56,0,ROWS(Personnel[]),1),0)+B56,999),"")</f>
        <v/>
      </c>
      <c r="C57" s="115" t="str">
        <f ca="1">IFERROR(INDEX(Personnel[Amount],B57),"")</f>
        <v/>
      </c>
      <c r="D57" s="29"/>
      <c r="E57" s="132" t="str">
        <f ca="1">IF(MIN(IFERROR(MATCH("*PostDoc*",OFFSET(Budget!$A$20,E56,0,ROWS(Personnel[]),1),0)+E56,999),IFERROR(MATCH("*PhD*",OFFSET(Budget!$A$20,E56,0,ROWS(Personnel[]),1),0)+E56,999),IFERROR(MATCH("*PDEng*",OFFSET(Budget!$A$20,E56,0,ROWS(Personnel[]),1),0)+E56,999))&lt;ROWS(Personnel[]),MIN(IFERROR(MATCH("*PostDoc*",OFFSET(Budget!$A$20,E56,0,ROWS(Personnel[]),1),0)+E56,999),IFERROR(MATCH("*PhD*",OFFSET(Budget!$A$20,E56,0,ROWS(Personnel[]),1),0)+E56,999),IFERROR(MATCH("*PDEng*",OFFSET(Budget!$A$20,E56,0,ROWS(Personnel[]),1),0)+E56,999)),"")</f>
        <v/>
      </c>
      <c r="F57" s="119" t="str">
        <f ca="1">IFERROR(INDEX(Personnel[FTE],E57)*INDEX(Personnel[Months],E57)/12,"")</f>
        <v/>
      </c>
      <c r="G57" s="140"/>
      <c r="H57" s="142" t="e">
        <f ca="1">IF(IFERROR(MATCH("*researcher*",OFFSET(Budget!#REF!,H56,0,ROWS(#REF!),1),0)+H56,999)&lt;ROWS(#REF!),IFERROR(MATCH("*researcher*",OFFSET(Budget!#REF!,H56,0,ROWS(#REF!),1),0)+H56,999),"")</f>
        <v>#REF!</v>
      </c>
      <c r="I57" s="146" t="str">
        <f ca="1">IF(ISERROR(IF(AND(INDEX(#REF!,H57)&gt;=pers_oi_min_months,INDEX(#REF!,H57)/INDEX(#REF!,H57)*12/pers_other_nrhours_year&gt;=pers_oi_minFTE)=TRUE,INDEX(#REF!,H57)/12,0)),"",IF(AND(INDEX(#REF!,H57)&gt;=pers_oi_min_months,INDEX(#REF!,H57)/INDEX(#REF!,H57)*12/pers_other_nrhours_year&gt;=pers_oi_minFTE)=TRUE,INDEX(#REF!,H57)/12,""))</f>
        <v/>
      </c>
      <c r="J57" s="140"/>
      <c r="K57" s="132" t="str">
        <f ca="1">IF(IFERROR(MATCH("*Non-scientific*",OFFSET(Budget!$A$20,K56,0,ROWS(Personnel[]),1),0)+K56,999)&lt;ROWS(Personnel[]),IFERROR(MATCH("*Non-scientific*",OFFSET(Budget!$A$20,K56,0,ROWS(Personnel[]),1),0)+K56,999),"")</f>
        <v/>
      </c>
      <c r="L57" s="115" t="str">
        <f ca="1">IFERROR(INDEX(Personnel[Amount],K57),"")</f>
        <v/>
      </c>
      <c r="M57" s="195"/>
      <c r="N57" s="132" t="str">
        <f ca="1">IF(IFERROR(MATCH("*leave*",OFFSET(Budget!$A$20,N56,0,ROWS(Personnel[]),1),0)+N56,999)&lt;ROWS(Personnel[]),IFERROR(MATCH("*leave*",OFFSET(Budget!$A$20,N56,0,ROWS(Personnel[]),1),0)+N56,999),"")</f>
        <v/>
      </c>
      <c r="O57" s="137" t="str">
        <f ca="1">IFERROR(INDEX(Personnel[Months],N57)*INDEX(Personnel[FTE],N57),"")</f>
        <v/>
      </c>
      <c r="P57" s="195"/>
      <c r="Q57" s="132" t="str">
        <f ca="1">IF(MIN(IFERROR(MATCH("*PostDoc*",OFFSET(Budget!$A$20,Q56,0,ROWS(Personnel[])-Q56,1),0)+Q56,999),IFERROR(MATCH("*PhD*",OFFSET(Budget!$A$20,Q56,0,ROWS(Personnel[])-Q56,1),0)+Q56,999),IFERROR(MATCH("*PDEng*",OFFSET(Budget!$A$20,Q56,0,ROWS(Personnel[])-Q56,1),0)+Q56,999),IFERROR(MATCH("*Doctorate*",OFFSET(Budget!$A$20,Q56,0,ROWS(Personnel[])-Q56,1),0)+Q56,999))&lt;ROWS(Personnel[]),MIN(IFERROR(MATCH("*PostDoc*",OFFSET(Budget!$A$20,Q56,0,ROWS(Personnel[])-Q56,1),0)+Q56,999),IFERROR(MATCH("*PhD*",OFFSET(Budget!$A$20,Q56,0,ROWS(Personnel[])-Q56,1),0)+Q56,999),IFERROR(MATCH("*PDEng*",OFFSET(Budget!$A$20,Q56,0,ROWS(Personnel[])-Q56,1),0)+Q56,999),IFERROR(MATCH("*Doctorate*",OFFSET(Budget!$A$20,Q56,0,ROWS(Personnel[])-Q56,1),0)+Q56,999)),"")</f>
        <v/>
      </c>
      <c r="R57" s="205" t="str">
        <f ca="1">IFERROR(INDEX(Personnel[Category],Q57),"")</f>
        <v/>
      </c>
      <c r="S57" s="205" t="str">
        <f ca="1">IFERROR(INDEX(Personnel[FTE],Q57),"")</f>
        <v/>
      </c>
      <c r="T57" s="205" t="str">
        <f ca="1">IFERROR(INDEX(Personnel[Months],Q57),"")</f>
        <v/>
      </c>
      <c r="U57" s="205" t="str">
        <f ca="1">SUBSTITUTE(IFERROR(INDEX(Personnel[Organisation type],Q57),""),0,"")</f>
        <v/>
      </c>
      <c r="V57" s="206" t="str">
        <f ca="1">SUBSTITUTE(IFERROR(INDEX(Personnel[Name organisation],Q57),""),0,"")</f>
        <v/>
      </c>
      <c r="W57" s="195"/>
      <c r="X57" s="207" t="str">
        <f>IF(ROW(E1594)-ROW($E$1548)&lt;ROWS(inkind[]),IFERROR(IF(INDEX(list_cofunders[private?],MATCH(Budget!#REF!,list_cofunders[list cofunders],0),1)="yes",Budget!#REF!,""),""),"")</f>
        <v/>
      </c>
      <c r="Y57" s="208" t="str">
        <f>IF(ROW(E1697)-ROW($E$1651)&lt;ROWS(incash[]),IFERROR(IF(INDEX(list_cofunders[private?],MATCH(Budget!#REF!,list_cofunders[list cofunders],0),1)="yes",Budget!#REF!,""),""),"")</f>
        <v/>
      </c>
      <c r="Z57" s="205" t="str">
        <f>IFERROR(INDEX(Personnel[FTE],X57),"")</f>
        <v/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7"/>
      <c r="DA57" s="27"/>
      <c r="DB57" s="27"/>
      <c r="DC57" s="27"/>
      <c r="DD57" s="27"/>
      <c r="DE57" s="27"/>
      <c r="DF57" s="27"/>
      <c r="DG57" s="27"/>
      <c r="DH57" s="27"/>
    </row>
    <row r="58" spans="2:112" s="26" customFormat="1" ht="11.25" customHeight="1" outlineLevel="1" x14ac:dyDescent="0.35">
      <c r="B58" s="132" t="str">
        <f ca="1">IF(IFERROR(MATCH("*Other*",OFFSET(Budget!$A$20,B57,0,ROWS(Personnel[]),1),0)+B57,999)&lt;ROWS(Personnel[]),IFERROR(MATCH("*Other*",OFFSET(Budget!$A$20,B57,0,ROWS(Personnel[]),1),0)+B57,999),"")</f>
        <v/>
      </c>
      <c r="C58" s="115" t="str">
        <f ca="1">IFERROR(INDEX(Personnel[Amount],B58),"")</f>
        <v/>
      </c>
      <c r="D58" s="29"/>
      <c r="E58" s="132" t="str">
        <f ca="1">IF(MIN(IFERROR(MATCH("*PostDoc*",OFFSET(Budget!$A$20,E57,0,ROWS(Personnel[]),1),0)+E57,999),IFERROR(MATCH("*PhD*",OFFSET(Budget!$A$20,E57,0,ROWS(Personnel[]),1),0)+E57,999),IFERROR(MATCH("*PDEng*",OFFSET(Budget!$A$20,E57,0,ROWS(Personnel[]),1),0)+E57,999))&lt;ROWS(Personnel[]),MIN(IFERROR(MATCH("*PostDoc*",OFFSET(Budget!$A$20,E57,0,ROWS(Personnel[]),1),0)+E57,999),IFERROR(MATCH("*PhD*",OFFSET(Budget!$A$20,E57,0,ROWS(Personnel[]),1),0)+E57,999),IFERROR(MATCH("*PDEng*",OFFSET(Budget!$A$20,E57,0,ROWS(Personnel[]),1),0)+E57,999)),"")</f>
        <v/>
      </c>
      <c r="F58" s="119" t="str">
        <f ca="1">IFERROR(INDEX(Personnel[FTE],E58)*INDEX(Personnel[Months],E58)/12,"")</f>
        <v/>
      </c>
      <c r="G58" s="140"/>
      <c r="H58" s="142" t="e">
        <f ca="1">IF(IFERROR(MATCH("*researcher*",OFFSET(Budget!#REF!,H57,0,ROWS(#REF!),1),0)+H57,999)&lt;ROWS(#REF!),IFERROR(MATCH("*researcher*",OFFSET(Budget!#REF!,H57,0,ROWS(#REF!),1),0)+H57,999),"")</f>
        <v>#REF!</v>
      </c>
      <c r="I58" s="146" t="str">
        <f ca="1">IF(ISERROR(IF(AND(INDEX(#REF!,H58)&gt;=pers_oi_min_months,INDEX(#REF!,H58)/INDEX(#REF!,H58)*12/pers_other_nrhours_year&gt;=pers_oi_minFTE)=TRUE,INDEX(#REF!,H58)/12,0)),"",IF(AND(INDEX(#REF!,H58)&gt;=pers_oi_min_months,INDEX(#REF!,H58)/INDEX(#REF!,H58)*12/pers_other_nrhours_year&gt;=pers_oi_minFTE)=TRUE,INDEX(#REF!,H58)/12,""))</f>
        <v/>
      </c>
      <c r="J58" s="140"/>
      <c r="K58" s="132" t="str">
        <f ca="1">IF(IFERROR(MATCH("*Non-scientific*",OFFSET(Budget!$A$20,K57,0,ROWS(Personnel[]),1),0)+K57,999)&lt;ROWS(Personnel[]),IFERROR(MATCH("*Non-scientific*",OFFSET(Budget!$A$20,K57,0,ROWS(Personnel[]),1),0)+K57,999),"")</f>
        <v/>
      </c>
      <c r="L58" s="115" t="str">
        <f ca="1">IFERROR(INDEX(Personnel[Amount],K58),"")</f>
        <v/>
      </c>
      <c r="M58" s="195"/>
      <c r="N58" s="132" t="str">
        <f ca="1">IF(IFERROR(MATCH("*leave*",OFFSET(Budget!$A$20,N57,0,ROWS(Personnel[]),1),0)+N57,999)&lt;ROWS(Personnel[]),IFERROR(MATCH("*leave*",OFFSET(Budget!$A$20,N57,0,ROWS(Personnel[]),1),0)+N57,999),"")</f>
        <v/>
      </c>
      <c r="O58" s="137" t="str">
        <f ca="1">IFERROR(INDEX(Personnel[Months],N58)*INDEX(Personnel[FTE],N58),"")</f>
        <v/>
      </c>
      <c r="P58" s="195"/>
      <c r="Q58" s="132" t="str">
        <f ca="1">IF(MIN(IFERROR(MATCH("*PostDoc*",OFFSET(Budget!$A$20,Q57,0,ROWS(Personnel[])-Q57,1),0)+Q57,999),IFERROR(MATCH("*PhD*",OFFSET(Budget!$A$20,Q57,0,ROWS(Personnel[])-Q57,1),0)+Q57,999),IFERROR(MATCH("*PDEng*",OFFSET(Budget!$A$20,Q57,0,ROWS(Personnel[])-Q57,1),0)+Q57,999),IFERROR(MATCH("*Doctorate*",OFFSET(Budget!$A$20,Q57,0,ROWS(Personnel[])-Q57,1),0)+Q57,999))&lt;ROWS(Personnel[]),MIN(IFERROR(MATCH("*PostDoc*",OFFSET(Budget!$A$20,Q57,0,ROWS(Personnel[])-Q57,1),0)+Q57,999),IFERROR(MATCH("*PhD*",OFFSET(Budget!$A$20,Q57,0,ROWS(Personnel[])-Q57,1),0)+Q57,999),IFERROR(MATCH("*PDEng*",OFFSET(Budget!$A$20,Q57,0,ROWS(Personnel[])-Q57,1),0)+Q57,999),IFERROR(MATCH("*Doctorate*",OFFSET(Budget!$A$20,Q57,0,ROWS(Personnel[])-Q57,1),0)+Q57,999)),"")</f>
        <v/>
      </c>
      <c r="R58" s="205" t="str">
        <f ca="1">IFERROR(INDEX(Personnel[Category],Q58),"")</f>
        <v/>
      </c>
      <c r="S58" s="205" t="str">
        <f ca="1">IFERROR(INDEX(Personnel[FTE],Q58),"")</f>
        <v/>
      </c>
      <c r="T58" s="205" t="str">
        <f ca="1">IFERROR(INDEX(Personnel[Months],Q58),"")</f>
        <v/>
      </c>
      <c r="U58" s="205" t="str">
        <f ca="1">SUBSTITUTE(IFERROR(INDEX(Personnel[Organisation type],Q58),""),0,"")</f>
        <v/>
      </c>
      <c r="V58" s="206" t="str">
        <f ca="1">SUBSTITUTE(IFERROR(INDEX(Personnel[Name organisation],Q58),""),0,"")</f>
        <v/>
      </c>
      <c r="W58" s="195"/>
      <c r="X58" s="207" t="str">
        <f>IF(ROW(E1595)-ROW($E$1548)&lt;ROWS(inkind[]),IFERROR(IF(INDEX(list_cofunders[private?],MATCH(Budget!#REF!,list_cofunders[list cofunders],0),1)="yes",Budget!#REF!,""),""),"")</f>
        <v/>
      </c>
      <c r="Y58" s="208" t="str">
        <f>IF(ROW(E1698)-ROW($E$1651)&lt;ROWS(incash[]),IFERROR(IF(INDEX(list_cofunders[private?],MATCH(Budget!#REF!,list_cofunders[list cofunders],0),1)="yes",Budget!#REF!,""),""),"")</f>
        <v/>
      </c>
      <c r="Z58" s="205" t="str">
        <f>IFERROR(INDEX(Personnel[FTE],X58),"")</f>
        <v/>
      </c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7"/>
      <c r="DA58" s="27"/>
      <c r="DB58" s="27"/>
      <c r="DC58" s="27"/>
      <c r="DD58" s="27"/>
      <c r="DE58" s="27"/>
      <c r="DF58" s="27"/>
      <c r="DG58" s="27"/>
      <c r="DH58" s="27"/>
    </row>
    <row r="59" spans="2:112" s="26" customFormat="1" ht="11.25" customHeight="1" outlineLevel="1" x14ac:dyDescent="0.35">
      <c r="B59" s="132" t="str">
        <f ca="1">IF(IFERROR(MATCH("*Other*",OFFSET(Budget!$A$20,B58,0,ROWS(Personnel[]),1),0)+B58,999)&lt;ROWS(Personnel[]),IFERROR(MATCH("*Other*",OFFSET(Budget!$A$20,B58,0,ROWS(Personnel[]),1),0)+B58,999),"")</f>
        <v/>
      </c>
      <c r="C59" s="115" t="str">
        <f ca="1">IFERROR(INDEX(Personnel[Amount],B59),"")</f>
        <v/>
      </c>
      <c r="D59" s="29"/>
      <c r="E59" s="132" t="str">
        <f ca="1">IF(MIN(IFERROR(MATCH("*PostDoc*",OFFSET(Budget!$A$20,E58,0,ROWS(Personnel[]),1),0)+E58,999),IFERROR(MATCH("*PhD*",OFFSET(Budget!$A$20,E58,0,ROWS(Personnel[]),1),0)+E58,999),IFERROR(MATCH("*PDEng*",OFFSET(Budget!$A$20,E58,0,ROWS(Personnel[]),1),0)+E58,999))&lt;ROWS(Personnel[]),MIN(IFERROR(MATCH("*PostDoc*",OFFSET(Budget!$A$20,E58,0,ROWS(Personnel[]),1),0)+E58,999),IFERROR(MATCH("*PhD*",OFFSET(Budget!$A$20,E58,0,ROWS(Personnel[]),1),0)+E58,999),IFERROR(MATCH("*PDEng*",OFFSET(Budget!$A$20,E58,0,ROWS(Personnel[]),1),0)+E58,999)),"")</f>
        <v/>
      </c>
      <c r="F59" s="119" t="str">
        <f ca="1">IFERROR(INDEX(Personnel[FTE],E59)*INDEX(Personnel[Months],E59)/12,"")</f>
        <v/>
      </c>
      <c r="G59" s="140"/>
      <c r="H59" s="142" t="e">
        <f ca="1">IF(IFERROR(MATCH("*researcher*",OFFSET(Budget!#REF!,H58,0,ROWS(#REF!),1),0)+H58,999)&lt;ROWS(#REF!),IFERROR(MATCH("*researcher*",OFFSET(Budget!#REF!,H58,0,ROWS(#REF!),1),0)+H58,999),"")</f>
        <v>#REF!</v>
      </c>
      <c r="I59" s="146" t="str">
        <f ca="1">IF(ISERROR(IF(AND(INDEX(#REF!,H59)&gt;=pers_oi_min_months,INDEX(#REF!,H59)/INDEX(#REF!,H59)*12/pers_other_nrhours_year&gt;=pers_oi_minFTE)=TRUE,INDEX(#REF!,H59)/12,0)),"",IF(AND(INDEX(#REF!,H59)&gt;=pers_oi_min_months,INDEX(#REF!,H59)/INDEX(#REF!,H59)*12/pers_other_nrhours_year&gt;=pers_oi_minFTE)=TRUE,INDEX(#REF!,H59)/12,""))</f>
        <v/>
      </c>
      <c r="J59" s="140"/>
      <c r="K59" s="132" t="str">
        <f ca="1">IF(IFERROR(MATCH("*Non-scientific*",OFFSET(Budget!$A$20,K58,0,ROWS(Personnel[]),1),0)+K58,999)&lt;ROWS(Personnel[]),IFERROR(MATCH("*Non-scientific*",OFFSET(Budget!$A$20,K58,0,ROWS(Personnel[]),1),0)+K58,999),"")</f>
        <v/>
      </c>
      <c r="L59" s="115" t="str">
        <f ca="1">IFERROR(INDEX(Personnel[Amount],K59),"")</f>
        <v/>
      </c>
      <c r="M59" s="195"/>
      <c r="N59" s="132" t="str">
        <f ca="1">IF(IFERROR(MATCH("*leave*",OFFSET(Budget!$A$20,N58,0,ROWS(Personnel[]),1),0)+N58,999)&lt;ROWS(Personnel[]),IFERROR(MATCH("*leave*",OFFSET(Budget!$A$20,N58,0,ROWS(Personnel[]),1),0)+N58,999),"")</f>
        <v/>
      </c>
      <c r="O59" s="137" t="str">
        <f ca="1">IFERROR(INDEX(Personnel[Months],N59)*INDEX(Personnel[FTE],N59),"")</f>
        <v/>
      </c>
      <c r="P59" s="195"/>
      <c r="Q59" s="132" t="str">
        <f ca="1">IF(MIN(IFERROR(MATCH("*PostDoc*",OFFSET(Budget!$A$20,Q58,0,ROWS(Personnel[])-Q58,1),0)+Q58,999),IFERROR(MATCH("*PhD*",OFFSET(Budget!$A$20,Q58,0,ROWS(Personnel[])-Q58,1),0)+Q58,999),IFERROR(MATCH("*PDEng*",OFFSET(Budget!$A$20,Q58,0,ROWS(Personnel[])-Q58,1),0)+Q58,999),IFERROR(MATCH("*Doctorate*",OFFSET(Budget!$A$20,Q58,0,ROWS(Personnel[])-Q58,1),0)+Q58,999))&lt;ROWS(Personnel[]),MIN(IFERROR(MATCH("*PostDoc*",OFFSET(Budget!$A$20,Q58,0,ROWS(Personnel[])-Q58,1),0)+Q58,999),IFERROR(MATCH("*PhD*",OFFSET(Budget!$A$20,Q58,0,ROWS(Personnel[])-Q58,1),0)+Q58,999),IFERROR(MATCH("*PDEng*",OFFSET(Budget!$A$20,Q58,0,ROWS(Personnel[])-Q58,1),0)+Q58,999),IFERROR(MATCH("*Doctorate*",OFFSET(Budget!$A$20,Q58,0,ROWS(Personnel[])-Q58,1),0)+Q58,999)),"")</f>
        <v/>
      </c>
      <c r="R59" s="205" t="str">
        <f ca="1">IFERROR(INDEX(Personnel[Category],Q59),"")</f>
        <v/>
      </c>
      <c r="S59" s="205" t="str">
        <f ca="1">IFERROR(INDEX(Personnel[FTE],Q59),"")</f>
        <v/>
      </c>
      <c r="T59" s="205" t="str">
        <f ca="1">IFERROR(INDEX(Personnel[Months],Q59),"")</f>
        <v/>
      </c>
      <c r="U59" s="205" t="str">
        <f ca="1">SUBSTITUTE(IFERROR(INDEX(Personnel[Organisation type],Q59),""),0,"")</f>
        <v/>
      </c>
      <c r="V59" s="206" t="str">
        <f ca="1">SUBSTITUTE(IFERROR(INDEX(Personnel[Name organisation],Q59),""),0,"")</f>
        <v/>
      </c>
      <c r="W59" s="195"/>
      <c r="X59" s="207" t="str">
        <f>IF(ROW(E1596)-ROW($E$1548)&lt;ROWS(inkind[]),IFERROR(IF(INDEX(list_cofunders[private?],MATCH(Budget!#REF!,list_cofunders[list cofunders],0),1)="yes",Budget!#REF!,""),""),"")</f>
        <v/>
      </c>
      <c r="Y59" s="208" t="str">
        <f>IF(ROW(E1699)-ROW($E$1651)&lt;ROWS(incash[]),IFERROR(IF(INDEX(list_cofunders[private?],MATCH(Budget!#REF!,list_cofunders[list cofunders],0),1)="yes",Budget!#REF!,""),""),"")</f>
        <v/>
      </c>
      <c r="Z59" s="205" t="str">
        <f>IFERROR(INDEX(Personnel[FTE],X59),"")</f>
        <v/>
      </c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7"/>
      <c r="DA59" s="27"/>
      <c r="DB59" s="27"/>
      <c r="DC59" s="27"/>
      <c r="DD59" s="27"/>
      <c r="DE59" s="27"/>
      <c r="DF59" s="27"/>
      <c r="DG59" s="27"/>
      <c r="DH59" s="27"/>
    </row>
    <row r="60" spans="2:112" s="26" customFormat="1" ht="11.25" customHeight="1" outlineLevel="1" x14ac:dyDescent="0.35">
      <c r="B60" s="132" t="str">
        <f ca="1">IF(IFERROR(MATCH("*Other*",OFFSET(Budget!$A$20,B59,0,ROWS(Personnel[]),1),0)+B59,999)&lt;ROWS(Personnel[]),IFERROR(MATCH("*Other*",OFFSET(Budget!$A$20,B59,0,ROWS(Personnel[]),1),0)+B59,999),"")</f>
        <v/>
      </c>
      <c r="C60" s="115" t="str">
        <f ca="1">IFERROR(INDEX(Personnel[Amount],B60),"")</f>
        <v/>
      </c>
      <c r="D60" s="29"/>
      <c r="E60" s="132" t="str">
        <f ca="1">IF(MIN(IFERROR(MATCH("*PostDoc*",OFFSET(Budget!$A$20,E59,0,ROWS(Personnel[]),1),0)+E59,999),IFERROR(MATCH("*PhD*",OFFSET(Budget!$A$20,E59,0,ROWS(Personnel[]),1),0)+E59,999),IFERROR(MATCH("*PDEng*",OFFSET(Budget!$A$20,E59,0,ROWS(Personnel[]),1),0)+E59,999))&lt;ROWS(Personnel[]),MIN(IFERROR(MATCH("*PostDoc*",OFFSET(Budget!$A$20,E59,0,ROWS(Personnel[]),1),0)+E59,999),IFERROR(MATCH("*PhD*",OFFSET(Budget!$A$20,E59,0,ROWS(Personnel[]),1),0)+E59,999),IFERROR(MATCH("*PDEng*",OFFSET(Budget!$A$20,E59,0,ROWS(Personnel[]),1),0)+E59,999)),"")</f>
        <v/>
      </c>
      <c r="F60" s="119" t="str">
        <f ca="1">IFERROR(INDEX(Personnel[FTE],E60)*INDEX(Personnel[Months],E60)/12,"")</f>
        <v/>
      </c>
      <c r="G60" s="140"/>
      <c r="H60" s="142" t="e">
        <f ca="1">IF(IFERROR(MATCH("*researcher*",OFFSET(Budget!#REF!,H59,0,ROWS(#REF!),1),0)+H59,999)&lt;ROWS(#REF!),IFERROR(MATCH("*researcher*",OFFSET(Budget!#REF!,H59,0,ROWS(#REF!),1),0)+H59,999),"")</f>
        <v>#REF!</v>
      </c>
      <c r="I60" s="146" t="str">
        <f ca="1">IF(ISERROR(IF(AND(INDEX(#REF!,H60)&gt;=pers_oi_min_months,INDEX(#REF!,H60)/INDEX(#REF!,H60)*12/pers_other_nrhours_year&gt;=pers_oi_minFTE)=TRUE,INDEX(#REF!,H60)/12,0)),"",IF(AND(INDEX(#REF!,H60)&gt;=pers_oi_min_months,INDEX(#REF!,H60)/INDEX(#REF!,H60)*12/pers_other_nrhours_year&gt;=pers_oi_minFTE)=TRUE,INDEX(#REF!,H60)/12,""))</f>
        <v/>
      </c>
      <c r="J60" s="140"/>
      <c r="K60" s="132" t="str">
        <f ca="1">IF(IFERROR(MATCH("*Non-scientific*",OFFSET(Budget!$A$20,K59,0,ROWS(Personnel[]),1),0)+K59,999)&lt;ROWS(Personnel[]),IFERROR(MATCH("*Non-scientific*",OFFSET(Budget!$A$20,K59,0,ROWS(Personnel[]),1),0)+K59,999),"")</f>
        <v/>
      </c>
      <c r="L60" s="115" t="str">
        <f ca="1">IFERROR(INDEX(Personnel[Amount],K60),"")</f>
        <v/>
      </c>
      <c r="M60" s="195"/>
      <c r="N60" s="132" t="str">
        <f ca="1">IF(IFERROR(MATCH("*leave*",OFFSET(Budget!$A$20,N59,0,ROWS(Personnel[]),1),0)+N59,999)&lt;ROWS(Personnel[]),IFERROR(MATCH("*leave*",OFFSET(Budget!$A$20,N59,0,ROWS(Personnel[]),1),0)+N59,999),"")</f>
        <v/>
      </c>
      <c r="O60" s="137" t="str">
        <f ca="1">IFERROR(INDEX(Personnel[Months],N60)*INDEX(Personnel[FTE],N60),"")</f>
        <v/>
      </c>
      <c r="P60" s="195"/>
      <c r="Q60" s="132" t="str">
        <f ca="1">IF(MIN(IFERROR(MATCH("*PostDoc*",OFFSET(Budget!$A$20,Q59,0,ROWS(Personnel[])-Q59,1),0)+Q59,999),IFERROR(MATCH("*PhD*",OFFSET(Budget!$A$20,Q59,0,ROWS(Personnel[])-Q59,1),0)+Q59,999),IFERROR(MATCH("*PDEng*",OFFSET(Budget!$A$20,Q59,0,ROWS(Personnel[])-Q59,1),0)+Q59,999),IFERROR(MATCH("*Doctorate*",OFFSET(Budget!$A$20,Q59,0,ROWS(Personnel[])-Q59,1),0)+Q59,999))&lt;ROWS(Personnel[]),MIN(IFERROR(MATCH("*PostDoc*",OFFSET(Budget!$A$20,Q59,0,ROWS(Personnel[])-Q59,1),0)+Q59,999),IFERROR(MATCH("*PhD*",OFFSET(Budget!$A$20,Q59,0,ROWS(Personnel[])-Q59,1),0)+Q59,999),IFERROR(MATCH("*PDEng*",OFFSET(Budget!$A$20,Q59,0,ROWS(Personnel[])-Q59,1),0)+Q59,999),IFERROR(MATCH("*Doctorate*",OFFSET(Budget!$A$20,Q59,0,ROWS(Personnel[])-Q59,1),0)+Q59,999)),"")</f>
        <v/>
      </c>
      <c r="R60" s="205" t="str">
        <f ca="1">IFERROR(INDEX(Personnel[Category],Q60),"")</f>
        <v/>
      </c>
      <c r="S60" s="205" t="str">
        <f ca="1">IFERROR(INDEX(Personnel[FTE],Q60),"")</f>
        <v/>
      </c>
      <c r="T60" s="205" t="str">
        <f ca="1">IFERROR(INDEX(Personnel[Months],Q60),"")</f>
        <v/>
      </c>
      <c r="U60" s="205" t="str">
        <f ca="1">SUBSTITUTE(IFERROR(INDEX(Personnel[Organisation type],Q60),""),0,"")</f>
        <v/>
      </c>
      <c r="V60" s="206" t="str">
        <f ca="1">SUBSTITUTE(IFERROR(INDEX(Personnel[Name organisation],Q60),""),0,"")</f>
        <v/>
      </c>
      <c r="W60" s="195"/>
      <c r="X60" s="207" t="str">
        <f>IF(ROW(E1597)-ROW($E$1548)&lt;ROWS(inkind[]),IFERROR(IF(INDEX(list_cofunders[private?],MATCH(Budget!#REF!,list_cofunders[list cofunders],0),1)="yes",Budget!#REF!,""),""),"")</f>
        <v/>
      </c>
      <c r="Y60" s="208" t="str">
        <f>IF(ROW(E1700)-ROW($E$1651)&lt;ROWS(incash[]),IFERROR(IF(INDEX(list_cofunders[private?],MATCH(Budget!#REF!,list_cofunders[list cofunders],0),1)="yes",Budget!#REF!,""),""),"")</f>
        <v/>
      </c>
      <c r="Z60" s="205" t="str">
        <f>IFERROR(INDEX(Personnel[FTE],X60),"")</f>
        <v/>
      </c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7"/>
      <c r="DA60" s="27"/>
      <c r="DB60" s="27"/>
      <c r="DC60" s="27"/>
      <c r="DD60" s="27"/>
      <c r="DE60" s="27"/>
      <c r="DF60" s="27"/>
      <c r="DG60" s="27"/>
      <c r="DH60" s="27"/>
    </row>
    <row r="61" spans="2:112" s="26" customFormat="1" ht="11.25" customHeight="1" outlineLevel="1" x14ac:dyDescent="0.35">
      <c r="B61" s="132" t="str">
        <f ca="1">IF(IFERROR(MATCH("*Other*",OFFSET(Budget!$A$20,B60,0,ROWS(Personnel[]),1),0)+B60,999)&lt;ROWS(Personnel[]),IFERROR(MATCH("*Other*",OFFSET(Budget!$A$20,B60,0,ROWS(Personnel[]),1),0)+B60,999),"")</f>
        <v/>
      </c>
      <c r="C61" s="115" t="str">
        <f ca="1">IFERROR(INDEX(Personnel[Amount],B61),"")</f>
        <v/>
      </c>
      <c r="D61" s="29"/>
      <c r="E61" s="132" t="str">
        <f ca="1">IF(MIN(IFERROR(MATCH("*PostDoc*",OFFSET(Budget!$A$20,E60,0,ROWS(Personnel[]),1),0)+E60,999),IFERROR(MATCH("*PhD*",OFFSET(Budget!$A$20,E60,0,ROWS(Personnel[]),1),0)+E60,999),IFERROR(MATCH("*PDEng*",OFFSET(Budget!$A$20,E60,0,ROWS(Personnel[]),1),0)+E60,999))&lt;ROWS(Personnel[]),MIN(IFERROR(MATCH("*PostDoc*",OFFSET(Budget!$A$20,E60,0,ROWS(Personnel[]),1),0)+E60,999),IFERROR(MATCH("*PhD*",OFFSET(Budget!$A$20,E60,0,ROWS(Personnel[]),1),0)+E60,999),IFERROR(MATCH("*PDEng*",OFFSET(Budget!$A$20,E60,0,ROWS(Personnel[]),1),0)+E60,999)),"")</f>
        <v/>
      </c>
      <c r="F61" s="119" t="str">
        <f ca="1">IFERROR(INDEX(Personnel[FTE],E61)*INDEX(Personnel[Months],E61)/12,"")</f>
        <v/>
      </c>
      <c r="G61" s="140"/>
      <c r="H61" s="142" t="e">
        <f ca="1">IF(IFERROR(MATCH("*researcher*",OFFSET(Budget!#REF!,H60,0,ROWS(#REF!),1),0)+H60,999)&lt;ROWS(#REF!),IFERROR(MATCH("*researcher*",OFFSET(Budget!#REF!,H60,0,ROWS(#REF!),1),0)+H60,999),"")</f>
        <v>#REF!</v>
      </c>
      <c r="I61" s="146" t="str">
        <f ca="1">IF(ISERROR(IF(AND(INDEX(#REF!,H61)&gt;=pers_oi_min_months,INDEX(#REF!,H61)/INDEX(#REF!,H61)*12/pers_other_nrhours_year&gt;=pers_oi_minFTE)=TRUE,INDEX(#REF!,H61)/12,0)),"",IF(AND(INDEX(#REF!,H61)&gt;=pers_oi_min_months,INDEX(#REF!,H61)/INDEX(#REF!,H61)*12/pers_other_nrhours_year&gt;=pers_oi_minFTE)=TRUE,INDEX(#REF!,H61)/12,""))</f>
        <v/>
      </c>
      <c r="J61" s="140"/>
      <c r="K61" s="132" t="str">
        <f ca="1">IF(IFERROR(MATCH("*Non-scientific*",OFFSET(Budget!$A$20,K60,0,ROWS(Personnel[]),1),0)+K60,999)&lt;ROWS(Personnel[]),IFERROR(MATCH("*Non-scientific*",OFFSET(Budget!$A$20,K60,0,ROWS(Personnel[]),1),0)+K60,999),"")</f>
        <v/>
      </c>
      <c r="L61" s="115" t="str">
        <f ca="1">IFERROR(INDEX(Personnel[Amount],K61),"")</f>
        <v/>
      </c>
      <c r="M61" s="195"/>
      <c r="N61" s="132" t="str">
        <f ca="1">IF(IFERROR(MATCH("*leave*",OFFSET(Budget!$A$20,N60,0,ROWS(Personnel[]),1),0)+N60,999)&lt;ROWS(Personnel[]),IFERROR(MATCH("*leave*",OFFSET(Budget!$A$20,N60,0,ROWS(Personnel[]),1),0)+N60,999),"")</f>
        <v/>
      </c>
      <c r="O61" s="137" t="str">
        <f ca="1">IFERROR(INDEX(Personnel[Months],N61)*INDEX(Personnel[FTE],N61),"")</f>
        <v/>
      </c>
      <c r="P61" s="195"/>
      <c r="Q61" s="132" t="str">
        <f ca="1">IF(MIN(IFERROR(MATCH("*PostDoc*",OFFSET(Budget!$A$20,Q60,0,ROWS(Personnel[])-Q60,1),0)+Q60,999),IFERROR(MATCH("*PhD*",OFFSET(Budget!$A$20,Q60,0,ROWS(Personnel[])-Q60,1),0)+Q60,999),IFERROR(MATCH("*PDEng*",OFFSET(Budget!$A$20,Q60,0,ROWS(Personnel[])-Q60,1),0)+Q60,999),IFERROR(MATCH("*Doctorate*",OFFSET(Budget!$A$20,Q60,0,ROWS(Personnel[])-Q60,1),0)+Q60,999))&lt;ROWS(Personnel[]),MIN(IFERROR(MATCH("*PostDoc*",OFFSET(Budget!$A$20,Q60,0,ROWS(Personnel[])-Q60,1),0)+Q60,999),IFERROR(MATCH("*PhD*",OFFSET(Budget!$A$20,Q60,0,ROWS(Personnel[])-Q60,1),0)+Q60,999),IFERROR(MATCH("*PDEng*",OFFSET(Budget!$A$20,Q60,0,ROWS(Personnel[])-Q60,1),0)+Q60,999),IFERROR(MATCH("*Doctorate*",OFFSET(Budget!$A$20,Q60,0,ROWS(Personnel[])-Q60,1),0)+Q60,999)),"")</f>
        <v/>
      </c>
      <c r="R61" s="205" t="str">
        <f ca="1">IFERROR(INDEX(Personnel[Category],Q61),"")</f>
        <v/>
      </c>
      <c r="S61" s="205" t="str">
        <f ca="1">IFERROR(INDEX(Personnel[FTE],Q61),"")</f>
        <v/>
      </c>
      <c r="T61" s="205" t="str">
        <f ca="1">IFERROR(INDEX(Personnel[Months],Q61),"")</f>
        <v/>
      </c>
      <c r="U61" s="205" t="str">
        <f ca="1">SUBSTITUTE(IFERROR(INDEX(Personnel[Organisation type],Q61),""),0,"")</f>
        <v/>
      </c>
      <c r="V61" s="206" t="str">
        <f ca="1">SUBSTITUTE(IFERROR(INDEX(Personnel[Name organisation],Q61),""),0,"")</f>
        <v/>
      </c>
      <c r="W61" s="195"/>
      <c r="X61" s="207" t="str">
        <f>IF(ROW(E1598)-ROW($E$1548)&lt;ROWS(inkind[]),IFERROR(IF(INDEX(list_cofunders[private?],MATCH(Budget!#REF!,list_cofunders[list cofunders],0),1)="yes",Budget!#REF!,""),""),"")</f>
        <v/>
      </c>
      <c r="Y61" s="208" t="str">
        <f>IF(ROW(E1701)-ROW($E$1651)&lt;ROWS(incash[]),IFERROR(IF(INDEX(list_cofunders[private?],MATCH(Budget!#REF!,list_cofunders[list cofunders],0),1)="yes",Budget!#REF!,""),""),"")</f>
        <v/>
      </c>
      <c r="Z61" s="205" t="str">
        <f>IFERROR(INDEX(Personnel[FTE],X61),"")</f>
        <v/>
      </c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7"/>
      <c r="DA61" s="27"/>
      <c r="DB61" s="27"/>
      <c r="DC61" s="27"/>
      <c r="DD61" s="27"/>
      <c r="DE61" s="27"/>
      <c r="DF61" s="27"/>
      <c r="DG61" s="27"/>
      <c r="DH61" s="27"/>
    </row>
    <row r="62" spans="2:112" s="26" customFormat="1" ht="11.25" customHeight="1" outlineLevel="1" x14ac:dyDescent="0.35">
      <c r="B62" s="132" t="str">
        <f ca="1">IF(IFERROR(MATCH("*Other*",OFFSET(Budget!$A$20,B61,0,ROWS(Personnel[]),1),0)+B61,999)&lt;ROWS(Personnel[]),IFERROR(MATCH("*Other*",OFFSET(Budget!$A$20,B61,0,ROWS(Personnel[]),1),0)+B61,999),"")</f>
        <v/>
      </c>
      <c r="C62" s="115" t="str">
        <f ca="1">IFERROR(INDEX(Personnel[Amount],B62),"")</f>
        <v/>
      </c>
      <c r="D62" s="29"/>
      <c r="E62" s="132" t="str">
        <f ca="1">IF(MIN(IFERROR(MATCH("*PostDoc*",OFFSET(Budget!$A$20,E61,0,ROWS(Personnel[]),1),0)+E61,999),IFERROR(MATCH("*PhD*",OFFSET(Budget!$A$20,E61,0,ROWS(Personnel[]),1),0)+E61,999),IFERROR(MATCH("*PDEng*",OFFSET(Budget!$A$20,E61,0,ROWS(Personnel[]),1),0)+E61,999))&lt;ROWS(Personnel[]),MIN(IFERROR(MATCH("*PostDoc*",OFFSET(Budget!$A$20,E61,0,ROWS(Personnel[]),1),0)+E61,999),IFERROR(MATCH("*PhD*",OFFSET(Budget!$A$20,E61,0,ROWS(Personnel[]),1),0)+E61,999),IFERROR(MATCH("*PDEng*",OFFSET(Budget!$A$20,E61,0,ROWS(Personnel[]),1),0)+E61,999)),"")</f>
        <v/>
      </c>
      <c r="F62" s="119" t="str">
        <f ca="1">IFERROR(INDEX(Personnel[FTE],E62)*INDEX(Personnel[Months],E62)/12,"")</f>
        <v/>
      </c>
      <c r="G62" s="140"/>
      <c r="H62" s="142" t="e">
        <f ca="1">IF(IFERROR(MATCH("*researcher*",OFFSET(Budget!#REF!,H61,0,ROWS(#REF!),1),0)+H61,999)&lt;ROWS(#REF!),IFERROR(MATCH("*researcher*",OFFSET(Budget!#REF!,H61,0,ROWS(#REF!),1),0)+H61,999),"")</f>
        <v>#REF!</v>
      </c>
      <c r="I62" s="146" t="str">
        <f ca="1">IF(ISERROR(IF(AND(INDEX(#REF!,H62)&gt;=pers_oi_min_months,INDEX(#REF!,H62)/INDEX(#REF!,H62)*12/pers_other_nrhours_year&gt;=pers_oi_minFTE)=TRUE,INDEX(#REF!,H62)/12,0)),"",IF(AND(INDEX(#REF!,H62)&gt;=pers_oi_min_months,INDEX(#REF!,H62)/INDEX(#REF!,H62)*12/pers_other_nrhours_year&gt;=pers_oi_minFTE)=TRUE,INDEX(#REF!,H62)/12,""))</f>
        <v/>
      </c>
      <c r="J62" s="140"/>
      <c r="K62" s="132" t="str">
        <f ca="1">IF(IFERROR(MATCH("*Non-scientific*",OFFSET(Budget!$A$20,K61,0,ROWS(Personnel[]),1),0)+K61,999)&lt;ROWS(Personnel[]),IFERROR(MATCH("*Non-scientific*",OFFSET(Budget!$A$20,K61,0,ROWS(Personnel[]),1),0)+K61,999),"")</f>
        <v/>
      </c>
      <c r="L62" s="115" t="str">
        <f ca="1">IFERROR(INDEX(Personnel[Amount],K62),"")</f>
        <v/>
      </c>
      <c r="M62" s="195"/>
      <c r="N62" s="132" t="str">
        <f ca="1">IF(IFERROR(MATCH("*leave*",OFFSET(Budget!$A$20,N61,0,ROWS(Personnel[]),1),0)+N61,999)&lt;ROWS(Personnel[]),IFERROR(MATCH("*leave*",OFFSET(Budget!$A$20,N61,0,ROWS(Personnel[]),1),0)+N61,999),"")</f>
        <v/>
      </c>
      <c r="O62" s="137" t="str">
        <f ca="1">IFERROR(INDEX(Personnel[Months],N62)*INDEX(Personnel[FTE],N62),"")</f>
        <v/>
      </c>
      <c r="P62" s="195"/>
      <c r="Q62" s="132" t="str">
        <f ca="1">IF(MIN(IFERROR(MATCH("*PostDoc*",OFFSET(Budget!$A$20,Q61,0,ROWS(Personnel[])-Q61,1),0)+Q61,999),IFERROR(MATCH("*PhD*",OFFSET(Budget!$A$20,Q61,0,ROWS(Personnel[])-Q61,1),0)+Q61,999),IFERROR(MATCH("*PDEng*",OFFSET(Budget!$A$20,Q61,0,ROWS(Personnel[])-Q61,1),0)+Q61,999),IFERROR(MATCH("*Doctorate*",OFFSET(Budget!$A$20,Q61,0,ROWS(Personnel[])-Q61,1),0)+Q61,999))&lt;ROWS(Personnel[]),MIN(IFERROR(MATCH("*PostDoc*",OFFSET(Budget!$A$20,Q61,0,ROWS(Personnel[])-Q61,1),0)+Q61,999),IFERROR(MATCH("*PhD*",OFFSET(Budget!$A$20,Q61,0,ROWS(Personnel[])-Q61,1),0)+Q61,999),IFERROR(MATCH("*PDEng*",OFFSET(Budget!$A$20,Q61,0,ROWS(Personnel[])-Q61,1),0)+Q61,999),IFERROR(MATCH("*Doctorate*",OFFSET(Budget!$A$20,Q61,0,ROWS(Personnel[])-Q61,1),0)+Q61,999)),"")</f>
        <v/>
      </c>
      <c r="R62" s="205" t="str">
        <f ca="1">IFERROR(INDEX(Personnel[Category],Q62),"")</f>
        <v/>
      </c>
      <c r="S62" s="205" t="str">
        <f ca="1">IFERROR(INDEX(Personnel[FTE],Q62),"")</f>
        <v/>
      </c>
      <c r="T62" s="205" t="str">
        <f ca="1">IFERROR(INDEX(Personnel[Months],Q62),"")</f>
        <v/>
      </c>
      <c r="U62" s="205" t="str">
        <f ca="1">SUBSTITUTE(IFERROR(INDEX(Personnel[Organisation type],Q62),""),0,"")</f>
        <v/>
      </c>
      <c r="V62" s="206" t="str">
        <f ca="1">SUBSTITUTE(IFERROR(INDEX(Personnel[Name organisation],Q62),""),0,"")</f>
        <v/>
      </c>
      <c r="W62" s="195"/>
      <c r="X62" s="207" t="str">
        <f>IF(ROW(E1599)-ROW($E$1548)&lt;ROWS(inkind[]),IFERROR(IF(INDEX(list_cofunders[private?],MATCH(Budget!#REF!,list_cofunders[list cofunders],0),1)="yes",Budget!#REF!,""),""),"")</f>
        <v/>
      </c>
      <c r="Y62" s="208" t="str">
        <f>IF(ROW(E1702)-ROW($E$1651)&lt;ROWS(incash[]),IFERROR(IF(INDEX(list_cofunders[private?],MATCH(Budget!#REF!,list_cofunders[list cofunders],0),1)="yes",Budget!#REF!,""),""),"")</f>
        <v/>
      </c>
      <c r="Z62" s="205" t="str">
        <f>IFERROR(INDEX(Personnel[FTE],X62),"")</f>
        <v/>
      </c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7"/>
      <c r="DA62" s="27"/>
      <c r="DB62" s="27"/>
      <c r="DC62" s="27"/>
      <c r="DD62" s="27"/>
      <c r="DE62" s="27"/>
      <c r="DF62" s="27"/>
      <c r="DG62" s="27"/>
      <c r="DH62" s="27"/>
    </row>
    <row r="63" spans="2:112" s="26" customFormat="1" ht="11.25" customHeight="1" outlineLevel="1" x14ac:dyDescent="0.35">
      <c r="B63" s="132" t="str">
        <f ca="1">IF(IFERROR(MATCH("*Other*",OFFSET(Budget!$A$20,B62,0,ROWS(Personnel[]),1),0)+B62,999)&lt;ROWS(Personnel[]),IFERROR(MATCH("*Other*",OFFSET(Budget!$A$20,B62,0,ROWS(Personnel[]),1),0)+B62,999),"")</f>
        <v/>
      </c>
      <c r="C63" s="115" t="str">
        <f ca="1">IFERROR(INDEX(Personnel[Amount],B63),"")</f>
        <v/>
      </c>
      <c r="D63" s="29"/>
      <c r="E63" s="132" t="str">
        <f ca="1">IF(MIN(IFERROR(MATCH("*PostDoc*",OFFSET(Budget!$A$20,E62,0,ROWS(Personnel[]),1),0)+E62,999),IFERROR(MATCH("*PhD*",OFFSET(Budget!$A$20,E62,0,ROWS(Personnel[]),1),0)+E62,999),IFERROR(MATCH("*PDEng*",OFFSET(Budget!$A$20,E62,0,ROWS(Personnel[]),1),0)+E62,999))&lt;ROWS(Personnel[]),MIN(IFERROR(MATCH("*PostDoc*",OFFSET(Budget!$A$20,E62,0,ROWS(Personnel[]),1),0)+E62,999),IFERROR(MATCH("*PhD*",OFFSET(Budget!$A$20,E62,0,ROWS(Personnel[]),1),0)+E62,999),IFERROR(MATCH("*PDEng*",OFFSET(Budget!$A$20,E62,0,ROWS(Personnel[]),1),0)+E62,999)),"")</f>
        <v/>
      </c>
      <c r="F63" s="119" t="str">
        <f ca="1">IFERROR(INDEX(Personnel[FTE],E63)*INDEX(Personnel[Months],E63)/12,"")</f>
        <v/>
      </c>
      <c r="G63" s="140"/>
      <c r="H63" s="142" t="e">
        <f ca="1">IF(IFERROR(MATCH("*researcher*",OFFSET(Budget!#REF!,H62,0,ROWS(#REF!),1),0)+H62,999)&lt;ROWS(#REF!),IFERROR(MATCH("*researcher*",OFFSET(Budget!#REF!,H62,0,ROWS(#REF!),1),0)+H62,999),"")</f>
        <v>#REF!</v>
      </c>
      <c r="I63" s="146" t="str">
        <f ca="1">IF(ISERROR(IF(AND(INDEX(#REF!,H63)&gt;=pers_oi_min_months,INDEX(#REF!,H63)/INDEX(#REF!,H63)*12/pers_other_nrhours_year&gt;=pers_oi_minFTE)=TRUE,INDEX(#REF!,H63)/12,0)),"",IF(AND(INDEX(#REF!,H63)&gt;=pers_oi_min_months,INDEX(#REF!,H63)/INDEX(#REF!,H63)*12/pers_other_nrhours_year&gt;=pers_oi_minFTE)=TRUE,INDEX(#REF!,H63)/12,""))</f>
        <v/>
      </c>
      <c r="J63" s="140"/>
      <c r="K63" s="132" t="str">
        <f ca="1">IF(IFERROR(MATCH("*Non-scientific*",OFFSET(Budget!$A$20,K62,0,ROWS(Personnel[]),1),0)+K62,999)&lt;ROWS(Personnel[]),IFERROR(MATCH("*Non-scientific*",OFFSET(Budget!$A$20,K62,0,ROWS(Personnel[]),1),0)+K62,999),"")</f>
        <v/>
      </c>
      <c r="L63" s="115" t="str">
        <f ca="1">IFERROR(INDEX(Personnel[Amount],K63),"")</f>
        <v/>
      </c>
      <c r="M63" s="195"/>
      <c r="N63" s="132" t="str">
        <f ca="1">IF(IFERROR(MATCH("*leave*",OFFSET(Budget!$A$20,N62,0,ROWS(Personnel[]),1),0)+N62,999)&lt;ROWS(Personnel[]),IFERROR(MATCH("*leave*",OFFSET(Budget!$A$20,N62,0,ROWS(Personnel[]),1),0)+N62,999),"")</f>
        <v/>
      </c>
      <c r="O63" s="137" t="str">
        <f ca="1">IFERROR(INDEX(Personnel[Months],N63)*INDEX(Personnel[FTE],N63),"")</f>
        <v/>
      </c>
      <c r="P63" s="195"/>
      <c r="Q63" s="132" t="str">
        <f ca="1">IF(MIN(IFERROR(MATCH("*PostDoc*",OFFSET(Budget!$A$20,Q62,0,ROWS(Personnel[])-Q62,1),0)+Q62,999),IFERROR(MATCH("*PhD*",OFFSET(Budget!$A$20,Q62,0,ROWS(Personnel[])-Q62,1),0)+Q62,999),IFERROR(MATCH("*PDEng*",OFFSET(Budget!$A$20,Q62,0,ROWS(Personnel[])-Q62,1),0)+Q62,999),IFERROR(MATCH("*Doctorate*",OFFSET(Budget!$A$20,Q62,0,ROWS(Personnel[])-Q62,1),0)+Q62,999))&lt;ROWS(Personnel[]),MIN(IFERROR(MATCH("*PostDoc*",OFFSET(Budget!$A$20,Q62,0,ROWS(Personnel[])-Q62,1),0)+Q62,999),IFERROR(MATCH("*PhD*",OFFSET(Budget!$A$20,Q62,0,ROWS(Personnel[])-Q62,1),0)+Q62,999),IFERROR(MATCH("*PDEng*",OFFSET(Budget!$A$20,Q62,0,ROWS(Personnel[])-Q62,1),0)+Q62,999),IFERROR(MATCH("*Doctorate*",OFFSET(Budget!$A$20,Q62,0,ROWS(Personnel[])-Q62,1),0)+Q62,999)),"")</f>
        <v/>
      </c>
      <c r="R63" s="205" t="str">
        <f ca="1">IFERROR(INDEX(Personnel[Category],Q63),"")</f>
        <v/>
      </c>
      <c r="S63" s="205" t="str">
        <f ca="1">IFERROR(INDEX(Personnel[FTE],Q63),"")</f>
        <v/>
      </c>
      <c r="T63" s="205" t="str">
        <f ca="1">IFERROR(INDEX(Personnel[Months],Q63),"")</f>
        <v/>
      </c>
      <c r="U63" s="205" t="str">
        <f ca="1">SUBSTITUTE(IFERROR(INDEX(Personnel[Organisation type],Q63),""),0,"")</f>
        <v/>
      </c>
      <c r="V63" s="206" t="str">
        <f ca="1">SUBSTITUTE(IFERROR(INDEX(Personnel[Name organisation],Q63),""),0,"")</f>
        <v/>
      </c>
      <c r="W63" s="195"/>
      <c r="X63" s="207" t="str">
        <f>IF(ROW(E1600)-ROW($E$1548)&lt;ROWS(inkind[]),IFERROR(IF(INDEX(list_cofunders[private?],MATCH(Budget!#REF!,list_cofunders[list cofunders],0),1)="yes",Budget!#REF!,""),""),"")</f>
        <v/>
      </c>
      <c r="Y63" s="208" t="str">
        <f>IF(ROW(E1703)-ROW($E$1651)&lt;ROWS(incash[]),IFERROR(IF(INDEX(list_cofunders[private?],MATCH(Budget!#REF!,list_cofunders[list cofunders],0),1)="yes",Budget!#REF!,""),""),"")</f>
        <v/>
      </c>
      <c r="Z63" s="205" t="str">
        <f>IFERROR(INDEX(Personnel[FTE],X63),"")</f>
        <v/>
      </c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7"/>
      <c r="DA63" s="27"/>
      <c r="DB63" s="27"/>
      <c r="DC63" s="27"/>
      <c r="DD63" s="27"/>
      <c r="DE63" s="27"/>
      <c r="DF63" s="27"/>
      <c r="DG63" s="27"/>
      <c r="DH63" s="27"/>
    </row>
    <row r="64" spans="2:112" s="26" customFormat="1" ht="11.25" customHeight="1" outlineLevel="1" x14ac:dyDescent="0.35">
      <c r="B64" s="132" t="str">
        <f ca="1">IF(IFERROR(MATCH("*Other*",OFFSET(Budget!$A$20,B63,0,ROWS(Personnel[]),1),0)+B63,999)&lt;ROWS(Personnel[]),IFERROR(MATCH("*Other*",OFFSET(Budget!$A$20,B63,0,ROWS(Personnel[]),1),0)+B63,999),"")</f>
        <v/>
      </c>
      <c r="C64" s="115" t="str">
        <f ca="1">IFERROR(INDEX(Personnel[Amount],B64),"")</f>
        <v/>
      </c>
      <c r="D64" s="29"/>
      <c r="E64" s="132" t="str">
        <f ca="1">IF(MIN(IFERROR(MATCH("*PostDoc*",OFFSET(Budget!$A$20,E63,0,ROWS(Personnel[]),1),0)+E63,999),IFERROR(MATCH("*PhD*",OFFSET(Budget!$A$20,E63,0,ROWS(Personnel[]),1),0)+E63,999),IFERROR(MATCH("*PDEng*",OFFSET(Budget!$A$20,E63,0,ROWS(Personnel[]),1),0)+E63,999))&lt;ROWS(Personnel[]),MIN(IFERROR(MATCH("*PostDoc*",OFFSET(Budget!$A$20,E63,0,ROWS(Personnel[]),1),0)+E63,999),IFERROR(MATCH("*PhD*",OFFSET(Budget!$A$20,E63,0,ROWS(Personnel[]),1),0)+E63,999),IFERROR(MATCH("*PDEng*",OFFSET(Budget!$A$20,E63,0,ROWS(Personnel[]),1),0)+E63,999)),"")</f>
        <v/>
      </c>
      <c r="F64" s="119" t="str">
        <f ca="1">IFERROR(INDEX(Personnel[FTE],E64)*INDEX(Personnel[Months],E64)/12,"")</f>
        <v/>
      </c>
      <c r="G64" s="140"/>
      <c r="H64" s="142" t="e">
        <f ca="1">IF(IFERROR(MATCH("*researcher*",OFFSET(Budget!#REF!,H63,0,ROWS(#REF!),1),0)+H63,999)&lt;ROWS(#REF!),IFERROR(MATCH("*researcher*",OFFSET(Budget!#REF!,H63,0,ROWS(#REF!),1),0)+H63,999),"")</f>
        <v>#REF!</v>
      </c>
      <c r="I64" s="146" t="str">
        <f ca="1">IF(ISERROR(IF(AND(INDEX(#REF!,H64)&gt;=pers_oi_min_months,INDEX(#REF!,H64)/INDEX(#REF!,H64)*12/pers_other_nrhours_year&gt;=pers_oi_minFTE)=TRUE,INDEX(#REF!,H64)/12,0)),"",IF(AND(INDEX(#REF!,H64)&gt;=pers_oi_min_months,INDEX(#REF!,H64)/INDEX(#REF!,H64)*12/pers_other_nrhours_year&gt;=pers_oi_minFTE)=TRUE,INDEX(#REF!,H64)/12,""))</f>
        <v/>
      </c>
      <c r="J64" s="140"/>
      <c r="K64" s="132" t="str">
        <f ca="1">IF(IFERROR(MATCH("*Non-scientific*",OFFSET(Budget!$A$20,K63,0,ROWS(Personnel[]),1),0)+K63,999)&lt;ROWS(Personnel[]),IFERROR(MATCH("*Non-scientific*",OFFSET(Budget!$A$20,K63,0,ROWS(Personnel[]),1),0)+K63,999),"")</f>
        <v/>
      </c>
      <c r="L64" s="115" t="str">
        <f ca="1">IFERROR(INDEX(Personnel[Amount],K64),"")</f>
        <v/>
      </c>
      <c r="M64" s="195"/>
      <c r="N64" s="132" t="str">
        <f ca="1">IF(IFERROR(MATCH("*leave*",OFFSET(Budget!$A$20,N63,0,ROWS(Personnel[]),1),0)+N63,999)&lt;ROWS(Personnel[]),IFERROR(MATCH("*leave*",OFFSET(Budget!$A$20,N63,0,ROWS(Personnel[]),1),0)+N63,999),"")</f>
        <v/>
      </c>
      <c r="O64" s="137" t="str">
        <f ca="1">IFERROR(INDEX(Personnel[Months],N64)*INDEX(Personnel[FTE],N64),"")</f>
        <v/>
      </c>
      <c r="P64" s="195"/>
      <c r="Q64" s="132" t="str">
        <f ca="1">IF(MIN(IFERROR(MATCH("*PostDoc*",OFFSET(Budget!$A$20,Q63,0,ROWS(Personnel[])-Q63,1),0)+Q63,999),IFERROR(MATCH("*PhD*",OFFSET(Budget!$A$20,Q63,0,ROWS(Personnel[])-Q63,1),0)+Q63,999),IFERROR(MATCH("*PDEng*",OFFSET(Budget!$A$20,Q63,0,ROWS(Personnel[])-Q63,1),0)+Q63,999),IFERROR(MATCH("*Doctorate*",OFFSET(Budget!$A$20,Q63,0,ROWS(Personnel[])-Q63,1),0)+Q63,999))&lt;ROWS(Personnel[]),MIN(IFERROR(MATCH("*PostDoc*",OFFSET(Budget!$A$20,Q63,0,ROWS(Personnel[])-Q63,1),0)+Q63,999),IFERROR(MATCH("*PhD*",OFFSET(Budget!$A$20,Q63,0,ROWS(Personnel[])-Q63,1),0)+Q63,999),IFERROR(MATCH("*PDEng*",OFFSET(Budget!$A$20,Q63,0,ROWS(Personnel[])-Q63,1),0)+Q63,999),IFERROR(MATCH("*Doctorate*",OFFSET(Budget!$A$20,Q63,0,ROWS(Personnel[])-Q63,1),0)+Q63,999)),"")</f>
        <v/>
      </c>
      <c r="R64" s="205" t="str">
        <f ca="1">IFERROR(INDEX(Personnel[Category],Q64),"")</f>
        <v/>
      </c>
      <c r="S64" s="205" t="str">
        <f ca="1">IFERROR(INDEX(Personnel[FTE],Q64),"")</f>
        <v/>
      </c>
      <c r="T64" s="205" t="str">
        <f ca="1">IFERROR(INDEX(Personnel[Months],Q64),"")</f>
        <v/>
      </c>
      <c r="U64" s="205" t="str">
        <f ca="1">SUBSTITUTE(IFERROR(INDEX(Personnel[Organisation type],Q64),""),0,"")</f>
        <v/>
      </c>
      <c r="V64" s="206" t="str">
        <f ca="1">SUBSTITUTE(IFERROR(INDEX(Personnel[Name organisation],Q64),""),0,"")</f>
        <v/>
      </c>
      <c r="W64" s="195"/>
      <c r="X64" s="207" t="str">
        <f>IF(ROW(E1601)-ROW($E$1548)&lt;ROWS(inkind[]),IFERROR(IF(INDEX(list_cofunders[private?],MATCH(Budget!#REF!,list_cofunders[list cofunders],0),1)="yes",Budget!#REF!,""),""),"")</f>
        <v/>
      </c>
      <c r="Y64" s="208" t="str">
        <f>IF(ROW(E1704)-ROW($E$1651)&lt;ROWS(incash[]),IFERROR(IF(INDEX(list_cofunders[private?],MATCH(Budget!#REF!,list_cofunders[list cofunders],0),1)="yes",Budget!#REF!,""),""),"")</f>
        <v/>
      </c>
      <c r="Z64" s="205" t="str">
        <f>IFERROR(INDEX(Personnel[FTE],X64),"")</f>
        <v/>
      </c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7"/>
      <c r="DA64" s="27"/>
      <c r="DB64" s="27"/>
      <c r="DC64" s="27"/>
      <c r="DD64" s="27"/>
      <c r="DE64" s="27"/>
      <c r="DF64" s="27"/>
      <c r="DG64" s="27"/>
      <c r="DH64" s="27"/>
    </row>
    <row r="65" spans="2:112" s="26" customFormat="1" ht="11.25" customHeight="1" outlineLevel="1" x14ac:dyDescent="0.35">
      <c r="B65" s="132" t="str">
        <f ca="1">IF(IFERROR(MATCH("*Other*",OFFSET(Budget!$A$20,B64,0,ROWS(Personnel[]),1),0)+B64,999)&lt;ROWS(Personnel[]),IFERROR(MATCH("*Other*",OFFSET(Budget!$A$20,B64,0,ROWS(Personnel[]),1),0)+B64,999),"")</f>
        <v/>
      </c>
      <c r="C65" s="115" t="str">
        <f ca="1">IFERROR(INDEX(Personnel[Amount],B65),"")</f>
        <v/>
      </c>
      <c r="D65" s="29"/>
      <c r="E65" s="132" t="str">
        <f ca="1">IF(MIN(IFERROR(MATCH("*PostDoc*",OFFSET(Budget!$A$20,E64,0,ROWS(Personnel[]),1),0)+E64,999),IFERROR(MATCH("*PhD*",OFFSET(Budget!$A$20,E64,0,ROWS(Personnel[]),1),0)+E64,999),IFERROR(MATCH("*PDEng*",OFFSET(Budget!$A$20,E64,0,ROWS(Personnel[]),1),0)+E64,999))&lt;ROWS(Personnel[]),MIN(IFERROR(MATCH("*PostDoc*",OFFSET(Budget!$A$20,E64,0,ROWS(Personnel[]),1),0)+E64,999),IFERROR(MATCH("*PhD*",OFFSET(Budget!$A$20,E64,0,ROWS(Personnel[]),1),0)+E64,999),IFERROR(MATCH("*PDEng*",OFFSET(Budget!$A$20,E64,0,ROWS(Personnel[]),1),0)+E64,999)),"")</f>
        <v/>
      </c>
      <c r="F65" s="119" t="str">
        <f ca="1">IFERROR(INDEX(Personnel[FTE],E65)*INDEX(Personnel[Months],E65)/12,"")</f>
        <v/>
      </c>
      <c r="G65" s="140"/>
      <c r="H65" s="142" t="e">
        <f ca="1">IF(IFERROR(MATCH("*researcher*",OFFSET(Budget!#REF!,H64,0,ROWS(#REF!),1),0)+H64,999)&lt;ROWS(#REF!),IFERROR(MATCH("*researcher*",OFFSET(Budget!#REF!,H64,0,ROWS(#REF!),1),0)+H64,999),"")</f>
        <v>#REF!</v>
      </c>
      <c r="I65" s="146" t="str">
        <f ca="1">IF(ISERROR(IF(AND(INDEX(#REF!,H65)&gt;=pers_oi_min_months,INDEX(#REF!,H65)/INDEX(#REF!,H65)*12/pers_other_nrhours_year&gt;=pers_oi_minFTE)=TRUE,INDEX(#REF!,H65)/12,0)),"",IF(AND(INDEX(#REF!,H65)&gt;=pers_oi_min_months,INDEX(#REF!,H65)/INDEX(#REF!,H65)*12/pers_other_nrhours_year&gt;=pers_oi_minFTE)=TRUE,INDEX(#REF!,H65)/12,""))</f>
        <v/>
      </c>
      <c r="J65" s="140"/>
      <c r="K65" s="132" t="str">
        <f ca="1">IF(IFERROR(MATCH("*Non-scientific*",OFFSET(Budget!$A$20,K64,0,ROWS(Personnel[]),1),0)+K64,999)&lt;ROWS(Personnel[]),IFERROR(MATCH("*Non-scientific*",OFFSET(Budget!$A$20,K64,0,ROWS(Personnel[]),1),0)+K64,999),"")</f>
        <v/>
      </c>
      <c r="L65" s="115" t="str">
        <f ca="1">IFERROR(INDEX(Personnel[Amount],K65),"")</f>
        <v/>
      </c>
      <c r="M65" s="195"/>
      <c r="N65" s="132" t="str">
        <f ca="1">IF(IFERROR(MATCH("*leave*",OFFSET(Budget!$A$20,N64,0,ROWS(Personnel[]),1),0)+N64,999)&lt;ROWS(Personnel[]),IFERROR(MATCH("*leave*",OFFSET(Budget!$A$20,N64,0,ROWS(Personnel[]),1),0)+N64,999),"")</f>
        <v/>
      </c>
      <c r="O65" s="137" t="str">
        <f ca="1">IFERROR(INDEX(Personnel[Months],N65)*INDEX(Personnel[FTE],N65),"")</f>
        <v/>
      </c>
      <c r="P65" s="195"/>
      <c r="Q65" s="132" t="str">
        <f ca="1">IF(MIN(IFERROR(MATCH("*PostDoc*",OFFSET(Budget!$A$20,Q64,0,ROWS(Personnel[])-Q64,1),0)+Q64,999),IFERROR(MATCH("*PhD*",OFFSET(Budget!$A$20,Q64,0,ROWS(Personnel[])-Q64,1),0)+Q64,999),IFERROR(MATCH("*PDEng*",OFFSET(Budget!$A$20,Q64,0,ROWS(Personnel[])-Q64,1),0)+Q64,999),IFERROR(MATCH("*Doctorate*",OFFSET(Budget!$A$20,Q64,0,ROWS(Personnel[])-Q64,1),0)+Q64,999))&lt;ROWS(Personnel[]),MIN(IFERROR(MATCH("*PostDoc*",OFFSET(Budget!$A$20,Q64,0,ROWS(Personnel[])-Q64,1),0)+Q64,999),IFERROR(MATCH("*PhD*",OFFSET(Budget!$A$20,Q64,0,ROWS(Personnel[])-Q64,1),0)+Q64,999),IFERROR(MATCH("*PDEng*",OFFSET(Budget!$A$20,Q64,0,ROWS(Personnel[])-Q64,1),0)+Q64,999),IFERROR(MATCH("*Doctorate*",OFFSET(Budget!$A$20,Q64,0,ROWS(Personnel[])-Q64,1),0)+Q64,999)),"")</f>
        <v/>
      </c>
      <c r="R65" s="205" t="str">
        <f ca="1">IFERROR(INDEX(Personnel[Category],Q65),"")</f>
        <v/>
      </c>
      <c r="S65" s="205" t="str">
        <f ca="1">IFERROR(INDEX(Personnel[FTE],Q65),"")</f>
        <v/>
      </c>
      <c r="T65" s="205" t="str">
        <f ca="1">IFERROR(INDEX(Personnel[Months],Q65),"")</f>
        <v/>
      </c>
      <c r="U65" s="205" t="str">
        <f ca="1">SUBSTITUTE(IFERROR(INDEX(Personnel[Organisation type],Q65),""),0,"")</f>
        <v/>
      </c>
      <c r="V65" s="206" t="str">
        <f ca="1">SUBSTITUTE(IFERROR(INDEX(Personnel[Name organisation],Q65),""),0,"")</f>
        <v/>
      </c>
      <c r="W65" s="195"/>
      <c r="X65" s="207" t="str">
        <f>IF(ROW(E1602)-ROW($E$1548)&lt;ROWS(inkind[]),IFERROR(IF(INDEX(list_cofunders[private?],MATCH(Budget!#REF!,list_cofunders[list cofunders],0),1)="yes",Budget!#REF!,""),""),"")</f>
        <v/>
      </c>
      <c r="Y65" s="208" t="str">
        <f>IF(ROW(E1705)-ROW($E$1651)&lt;ROWS(incash[]),IFERROR(IF(INDEX(list_cofunders[private?],MATCH(Budget!#REF!,list_cofunders[list cofunders],0),1)="yes",Budget!#REF!,""),""),"")</f>
        <v/>
      </c>
      <c r="Z65" s="205" t="str">
        <f>IFERROR(INDEX(Personnel[FTE],X65),"")</f>
        <v/>
      </c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7"/>
      <c r="DA65" s="27"/>
      <c r="DB65" s="27"/>
      <c r="DC65" s="27"/>
      <c r="DD65" s="27"/>
      <c r="DE65" s="27"/>
      <c r="DF65" s="27"/>
      <c r="DG65" s="27"/>
      <c r="DH65" s="27"/>
    </row>
    <row r="66" spans="2:112" s="26" customFormat="1" ht="11.25" customHeight="1" outlineLevel="1" x14ac:dyDescent="0.35">
      <c r="B66" s="132" t="str">
        <f ca="1">IF(IFERROR(MATCH("*Other*",OFFSET(Budget!$A$20,B65,0,ROWS(Personnel[]),1),0)+B65,999)&lt;ROWS(Personnel[]),IFERROR(MATCH("*Other*",OFFSET(Budget!$A$20,B65,0,ROWS(Personnel[]),1),0)+B65,999),"")</f>
        <v/>
      </c>
      <c r="C66" s="115" t="str">
        <f ca="1">IFERROR(INDEX(Personnel[Amount],B66),"")</f>
        <v/>
      </c>
      <c r="D66" s="29"/>
      <c r="E66" s="132" t="str">
        <f ca="1">IF(MIN(IFERROR(MATCH("*PostDoc*",OFFSET(Budget!$A$20,E65,0,ROWS(Personnel[]),1),0)+E65,999),IFERROR(MATCH("*PhD*",OFFSET(Budget!$A$20,E65,0,ROWS(Personnel[]),1),0)+E65,999),IFERROR(MATCH("*PDEng*",OFFSET(Budget!$A$20,E65,0,ROWS(Personnel[]),1),0)+E65,999))&lt;ROWS(Personnel[]),MIN(IFERROR(MATCH("*PostDoc*",OFFSET(Budget!$A$20,E65,0,ROWS(Personnel[]),1),0)+E65,999),IFERROR(MATCH("*PhD*",OFFSET(Budget!$A$20,E65,0,ROWS(Personnel[]),1),0)+E65,999),IFERROR(MATCH("*PDEng*",OFFSET(Budget!$A$20,E65,0,ROWS(Personnel[]),1),0)+E65,999)),"")</f>
        <v/>
      </c>
      <c r="F66" s="119" t="str">
        <f ca="1">IFERROR(INDEX(Personnel[FTE],E66)*INDEX(Personnel[Months],E66)/12,"")</f>
        <v/>
      </c>
      <c r="G66" s="140"/>
      <c r="H66" s="142" t="e">
        <f ca="1">IF(IFERROR(MATCH("*researcher*",OFFSET(Budget!#REF!,H65,0,ROWS(#REF!),1),0)+H65,999)&lt;ROWS(#REF!),IFERROR(MATCH("*researcher*",OFFSET(Budget!#REF!,H65,0,ROWS(#REF!),1),0)+H65,999),"")</f>
        <v>#REF!</v>
      </c>
      <c r="I66" s="146" t="str">
        <f ca="1">IF(ISERROR(IF(AND(INDEX(#REF!,H66)&gt;=pers_oi_min_months,INDEX(#REF!,H66)/INDEX(#REF!,H66)*12/pers_other_nrhours_year&gt;=pers_oi_minFTE)=TRUE,INDEX(#REF!,H66)/12,0)),"",IF(AND(INDEX(#REF!,H66)&gt;=pers_oi_min_months,INDEX(#REF!,H66)/INDEX(#REF!,H66)*12/pers_other_nrhours_year&gt;=pers_oi_minFTE)=TRUE,INDEX(#REF!,H66)/12,""))</f>
        <v/>
      </c>
      <c r="J66" s="140"/>
      <c r="K66" s="132" t="str">
        <f ca="1">IF(IFERROR(MATCH("*Non-scientific*",OFFSET(Budget!$A$20,K65,0,ROWS(Personnel[]),1),0)+K65,999)&lt;ROWS(Personnel[]),IFERROR(MATCH("*Non-scientific*",OFFSET(Budget!$A$20,K65,0,ROWS(Personnel[]),1),0)+K65,999),"")</f>
        <v/>
      </c>
      <c r="L66" s="115" t="str">
        <f ca="1">IFERROR(INDEX(Personnel[Amount],K66),"")</f>
        <v/>
      </c>
      <c r="M66" s="195"/>
      <c r="N66" s="132" t="str">
        <f ca="1">IF(IFERROR(MATCH("*leave*",OFFSET(Budget!$A$20,N65,0,ROWS(Personnel[]),1),0)+N65,999)&lt;ROWS(Personnel[]),IFERROR(MATCH("*leave*",OFFSET(Budget!$A$20,N65,0,ROWS(Personnel[]),1),0)+N65,999),"")</f>
        <v/>
      </c>
      <c r="O66" s="137" t="str">
        <f ca="1">IFERROR(INDEX(Personnel[Months],N66)*INDEX(Personnel[FTE],N66),"")</f>
        <v/>
      </c>
      <c r="P66" s="195"/>
      <c r="Q66" s="132" t="str">
        <f ca="1">IF(MIN(IFERROR(MATCH("*PostDoc*",OFFSET(Budget!$A$20,Q65,0,ROWS(Personnel[])-Q65,1),0)+Q65,999),IFERROR(MATCH("*PhD*",OFFSET(Budget!$A$20,Q65,0,ROWS(Personnel[])-Q65,1),0)+Q65,999),IFERROR(MATCH("*PDEng*",OFFSET(Budget!$A$20,Q65,0,ROWS(Personnel[])-Q65,1),0)+Q65,999),IFERROR(MATCH("*Doctorate*",OFFSET(Budget!$A$20,Q65,0,ROWS(Personnel[])-Q65,1),0)+Q65,999))&lt;ROWS(Personnel[]),MIN(IFERROR(MATCH("*PostDoc*",OFFSET(Budget!$A$20,Q65,0,ROWS(Personnel[])-Q65,1),0)+Q65,999),IFERROR(MATCH("*PhD*",OFFSET(Budget!$A$20,Q65,0,ROWS(Personnel[])-Q65,1),0)+Q65,999),IFERROR(MATCH("*PDEng*",OFFSET(Budget!$A$20,Q65,0,ROWS(Personnel[])-Q65,1),0)+Q65,999),IFERROR(MATCH("*Doctorate*",OFFSET(Budget!$A$20,Q65,0,ROWS(Personnel[])-Q65,1),0)+Q65,999)),"")</f>
        <v/>
      </c>
      <c r="R66" s="205" t="str">
        <f ca="1">IFERROR(INDEX(Personnel[Category],Q66),"")</f>
        <v/>
      </c>
      <c r="S66" s="205" t="str">
        <f ca="1">IFERROR(INDEX(Personnel[FTE],Q66),"")</f>
        <v/>
      </c>
      <c r="T66" s="205" t="str">
        <f ca="1">IFERROR(INDEX(Personnel[Months],Q66),"")</f>
        <v/>
      </c>
      <c r="U66" s="205" t="str">
        <f ca="1">SUBSTITUTE(IFERROR(INDEX(Personnel[Organisation type],Q66),""),0,"")</f>
        <v/>
      </c>
      <c r="V66" s="206" t="str">
        <f ca="1">SUBSTITUTE(IFERROR(INDEX(Personnel[Name organisation],Q66),""),0,"")</f>
        <v/>
      </c>
      <c r="W66" s="195"/>
      <c r="X66" s="207" t="str">
        <f>IF(ROW(E1603)-ROW($E$1548)&lt;ROWS(inkind[]),IFERROR(IF(INDEX(list_cofunders[private?],MATCH(Budget!#REF!,list_cofunders[list cofunders],0),1)="yes",Budget!#REF!,""),""),"")</f>
        <v/>
      </c>
      <c r="Y66" s="208" t="str">
        <f>IF(ROW(E1706)-ROW($E$1651)&lt;ROWS(incash[]),IFERROR(IF(INDEX(list_cofunders[private?],MATCH(Budget!#REF!,list_cofunders[list cofunders],0),1)="yes",Budget!#REF!,""),""),"")</f>
        <v/>
      </c>
      <c r="Z66" s="205" t="str">
        <f>IFERROR(INDEX(Personnel[FTE],X66),"")</f>
        <v/>
      </c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7"/>
      <c r="DA66" s="27"/>
      <c r="DB66" s="27"/>
      <c r="DC66" s="27"/>
      <c r="DD66" s="27"/>
      <c r="DE66" s="27"/>
      <c r="DF66" s="27"/>
      <c r="DG66" s="27"/>
      <c r="DH66" s="27"/>
    </row>
    <row r="67" spans="2:112" s="26" customFormat="1" ht="11.25" customHeight="1" outlineLevel="1" x14ac:dyDescent="0.35">
      <c r="B67" s="132" t="str">
        <f ca="1">IF(IFERROR(MATCH("*Other*",OFFSET(Budget!$A$20,B66,0,ROWS(Personnel[]),1),0)+B66,999)&lt;ROWS(Personnel[]),IFERROR(MATCH("*Other*",OFFSET(Budget!$A$20,B66,0,ROWS(Personnel[]),1),0)+B66,999),"")</f>
        <v/>
      </c>
      <c r="C67" s="115" t="str">
        <f ca="1">IFERROR(INDEX(Personnel[Amount],B67),"")</f>
        <v/>
      </c>
      <c r="D67" s="29"/>
      <c r="E67" s="132" t="str">
        <f ca="1">IF(MIN(IFERROR(MATCH("*PostDoc*",OFFSET(Budget!$A$20,E66,0,ROWS(Personnel[]),1),0)+E66,999),IFERROR(MATCH("*PhD*",OFFSET(Budget!$A$20,E66,0,ROWS(Personnel[]),1),0)+E66,999),IFERROR(MATCH("*PDEng*",OFFSET(Budget!$A$20,E66,0,ROWS(Personnel[]),1),0)+E66,999))&lt;ROWS(Personnel[]),MIN(IFERROR(MATCH("*PostDoc*",OFFSET(Budget!$A$20,E66,0,ROWS(Personnel[]),1),0)+E66,999),IFERROR(MATCH("*PhD*",OFFSET(Budget!$A$20,E66,0,ROWS(Personnel[]),1),0)+E66,999),IFERROR(MATCH("*PDEng*",OFFSET(Budget!$A$20,E66,0,ROWS(Personnel[]),1),0)+E66,999)),"")</f>
        <v/>
      </c>
      <c r="F67" s="119" t="str">
        <f ca="1">IFERROR(INDEX(Personnel[FTE],E67)*INDEX(Personnel[Months],E67)/12,"")</f>
        <v/>
      </c>
      <c r="G67" s="140"/>
      <c r="H67" s="142" t="e">
        <f ca="1">IF(IFERROR(MATCH("*researcher*",OFFSET(Budget!#REF!,H66,0,ROWS(#REF!),1),0)+H66,999)&lt;ROWS(#REF!),IFERROR(MATCH("*researcher*",OFFSET(Budget!#REF!,H66,0,ROWS(#REF!),1),0)+H66,999),"")</f>
        <v>#REF!</v>
      </c>
      <c r="I67" s="146" t="str">
        <f ca="1">IF(ISERROR(IF(AND(INDEX(#REF!,H67)&gt;=pers_oi_min_months,INDEX(#REF!,H67)/INDEX(#REF!,H67)*12/pers_other_nrhours_year&gt;=pers_oi_minFTE)=TRUE,INDEX(#REF!,H67)/12,0)),"",IF(AND(INDEX(#REF!,H67)&gt;=pers_oi_min_months,INDEX(#REF!,H67)/INDEX(#REF!,H67)*12/pers_other_nrhours_year&gt;=pers_oi_minFTE)=TRUE,INDEX(#REF!,H67)/12,""))</f>
        <v/>
      </c>
      <c r="J67" s="140"/>
      <c r="K67" s="132" t="str">
        <f ca="1">IF(IFERROR(MATCH("*Non-scientific*",OFFSET(Budget!$A$20,K66,0,ROWS(Personnel[]),1),0)+K66,999)&lt;ROWS(Personnel[]),IFERROR(MATCH("*Non-scientific*",OFFSET(Budget!$A$20,K66,0,ROWS(Personnel[]),1),0)+K66,999),"")</f>
        <v/>
      </c>
      <c r="L67" s="115" t="str">
        <f ca="1">IFERROR(INDEX(Personnel[Amount],K67),"")</f>
        <v/>
      </c>
      <c r="M67" s="195"/>
      <c r="N67" s="132" t="str">
        <f ca="1">IF(IFERROR(MATCH("*leave*",OFFSET(Budget!$A$20,N66,0,ROWS(Personnel[]),1),0)+N66,999)&lt;ROWS(Personnel[]),IFERROR(MATCH("*leave*",OFFSET(Budget!$A$20,N66,0,ROWS(Personnel[]),1),0)+N66,999),"")</f>
        <v/>
      </c>
      <c r="O67" s="137" t="str">
        <f ca="1">IFERROR(INDEX(Personnel[Months],N67)*INDEX(Personnel[FTE],N67),"")</f>
        <v/>
      </c>
      <c r="P67" s="195"/>
      <c r="Q67" s="132" t="str">
        <f ca="1">IF(MIN(IFERROR(MATCH("*PostDoc*",OFFSET(Budget!$A$20,Q66,0,ROWS(Personnel[])-Q66,1),0)+Q66,999),IFERROR(MATCH("*PhD*",OFFSET(Budget!$A$20,Q66,0,ROWS(Personnel[])-Q66,1),0)+Q66,999),IFERROR(MATCH("*PDEng*",OFFSET(Budget!$A$20,Q66,0,ROWS(Personnel[])-Q66,1),0)+Q66,999),IFERROR(MATCH("*Doctorate*",OFFSET(Budget!$A$20,Q66,0,ROWS(Personnel[])-Q66,1),0)+Q66,999))&lt;ROWS(Personnel[]),MIN(IFERROR(MATCH("*PostDoc*",OFFSET(Budget!$A$20,Q66,0,ROWS(Personnel[])-Q66,1),0)+Q66,999),IFERROR(MATCH("*PhD*",OFFSET(Budget!$A$20,Q66,0,ROWS(Personnel[])-Q66,1),0)+Q66,999),IFERROR(MATCH("*PDEng*",OFFSET(Budget!$A$20,Q66,0,ROWS(Personnel[])-Q66,1),0)+Q66,999),IFERROR(MATCH("*Doctorate*",OFFSET(Budget!$A$20,Q66,0,ROWS(Personnel[])-Q66,1),0)+Q66,999)),"")</f>
        <v/>
      </c>
      <c r="R67" s="205" t="str">
        <f ca="1">IFERROR(INDEX(Personnel[Category],Q67),"")</f>
        <v/>
      </c>
      <c r="S67" s="205" t="str">
        <f ca="1">IFERROR(INDEX(Personnel[FTE],Q67),"")</f>
        <v/>
      </c>
      <c r="T67" s="205" t="str">
        <f ca="1">IFERROR(INDEX(Personnel[Months],Q67),"")</f>
        <v/>
      </c>
      <c r="U67" s="205" t="str">
        <f ca="1">SUBSTITUTE(IFERROR(INDEX(Personnel[Organisation type],Q67),""),0,"")</f>
        <v/>
      </c>
      <c r="V67" s="206" t="str">
        <f ca="1">SUBSTITUTE(IFERROR(INDEX(Personnel[Name organisation],Q67),""),0,"")</f>
        <v/>
      </c>
      <c r="W67" s="195"/>
      <c r="X67" s="207" t="str">
        <f>IF(ROW(E1604)-ROW($E$1548)&lt;ROWS(inkind[]),IFERROR(IF(INDEX(list_cofunders[private?],MATCH(Budget!#REF!,list_cofunders[list cofunders],0),1)="yes",Budget!#REF!,""),""),"")</f>
        <v/>
      </c>
      <c r="Y67" s="208" t="str">
        <f>IF(ROW(E1707)-ROW($E$1651)&lt;ROWS(incash[]),IFERROR(IF(INDEX(list_cofunders[private?],MATCH(Budget!#REF!,list_cofunders[list cofunders],0),1)="yes",Budget!#REF!,""),""),"")</f>
        <v/>
      </c>
      <c r="Z67" s="205" t="str">
        <f>IFERROR(INDEX(Personnel[FTE],X67),"")</f>
        <v/>
      </c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7"/>
      <c r="DA67" s="27"/>
      <c r="DB67" s="27"/>
      <c r="DC67" s="27"/>
      <c r="DD67" s="27"/>
      <c r="DE67" s="27"/>
      <c r="DF67" s="27"/>
      <c r="DG67" s="27"/>
      <c r="DH67" s="27"/>
    </row>
    <row r="68" spans="2:112" s="26" customFormat="1" ht="11.25" customHeight="1" outlineLevel="1" x14ac:dyDescent="0.35">
      <c r="B68" s="132" t="str">
        <f ca="1">IF(IFERROR(MATCH("*Other*",OFFSET(Budget!$A$20,B67,0,ROWS(Personnel[]),1),0)+B67,999)&lt;ROWS(Personnel[]),IFERROR(MATCH("*Other*",OFFSET(Budget!$A$20,B67,0,ROWS(Personnel[]),1),0)+B67,999),"")</f>
        <v/>
      </c>
      <c r="C68" s="115" t="str">
        <f ca="1">IFERROR(INDEX(Personnel[Amount],B68),"")</f>
        <v/>
      </c>
      <c r="D68" s="29"/>
      <c r="E68" s="132" t="str">
        <f ca="1">IF(MIN(IFERROR(MATCH("*PostDoc*",OFFSET(Budget!$A$20,E67,0,ROWS(Personnel[]),1),0)+E67,999),IFERROR(MATCH("*PhD*",OFFSET(Budget!$A$20,E67,0,ROWS(Personnel[]),1),0)+E67,999),IFERROR(MATCH("*PDEng*",OFFSET(Budget!$A$20,E67,0,ROWS(Personnel[]),1),0)+E67,999))&lt;ROWS(Personnel[]),MIN(IFERROR(MATCH("*PostDoc*",OFFSET(Budget!$A$20,E67,0,ROWS(Personnel[]),1),0)+E67,999),IFERROR(MATCH("*PhD*",OFFSET(Budget!$A$20,E67,0,ROWS(Personnel[]),1),0)+E67,999),IFERROR(MATCH("*PDEng*",OFFSET(Budget!$A$20,E67,0,ROWS(Personnel[]),1),0)+E67,999)),"")</f>
        <v/>
      </c>
      <c r="F68" s="119" t="str">
        <f ca="1">IFERROR(INDEX(Personnel[FTE],E68)*INDEX(Personnel[Months],E68)/12,"")</f>
        <v/>
      </c>
      <c r="G68" s="140"/>
      <c r="H68" s="142" t="e">
        <f ca="1">IF(IFERROR(MATCH("*researcher*",OFFSET(Budget!#REF!,H67,0,ROWS(#REF!),1),0)+H67,999)&lt;ROWS(#REF!),IFERROR(MATCH("*researcher*",OFFSET(Budget!#REF!,H67,0,ROWS(#REF!),1),0)+H67,999),"")</f>
        <v>#REF!</v>
      </c>
      <c r="I68" s="146" t="str">
        <f ca="1">IF(ISERROR(IF(AND(INDEX(#REF!,H68)&gt;=pers_oi_min_months,INDEX(#REF!,H68)/INDEX(#REF!,H68)*12/pers_other_nrhours_year&gt;=pers_oi_minFTE)=TRUE,INDEX(#REF!,H68)/12,0)),"",IF(AND(INDEX(#REF!,H68)&gt;=pers_oi_min_months,INDEX(#REF!,H68)/INDEX(#REF!,H68)*12/pers_other_nrhours_year&gt;=pers_oi_minFTE)=TRUE,INDEX(#REF!,H68)/12,""))</f>
        <v/>
      </c>
      <c r="J68" s="140"/>
      <c r="K68" s="132" t="str">
        <f ca="1">IF(IFERROR(MATCH("*Non-scientific*",OFFSET(Budget!$A$20,K67,0,ROWS(Personnel[]),1),0)+K67,999)&lt;ROWS(Personnel[]),IFERROR(MATCH("*Non-scientific*",OFFSET(Budget!$A$20,K67,0,ROWS(Personnel[]),1),0)+K67,999),"")</f>
        <v/>
      </c>
      <c r="L68" s="115" t="str">
        <f ca="1">IFERROR(INDEX(Personnel[Amount],K68),"")</f>
        <v/>
      </c>
      <c r="M68" s="195"/>
      <c r="N68" s="132" t="str">
        <f ca="1">IF(IFERROR(MATCH("*leave*",OFFSET(Budget!$A$20,N67,0,ROWS(Personnel[]),1),0)+N67,999)&lt;ROWS(Personnel[]),IFERROR(MATCH("*leave*",OFFSET(Budget!$A$20,N67,0,ROWS(Personnel[]),1),0)+N67,999),"")</f>
        <v/>
      </c>
      <c r="O68" s="137" t="str">
        <f ca="1">IFERROR(INDEX(Personnel[Months],N68)*INDEX(Personnel[FTE],N68),"")</f>
        <v/>
      </c>
      <c r="P68" s="195"/>
      <c r="Q68" s="132" t="str">
        <f ca="1">IF(MIN(IFERROR(MATCH("*PostDoc*",OFFSET(Budget!$A$20,Q67,0,ROWS(Personnel[])-Q67,1),0)+Q67,999),IFERROR(MATCH("*PhD*",OFFSET(Budget!$A$20,Q67,0,ROWS(Personnel[])-Q67,1),0)+Q67,999),IFERROR(MATCH("*PDEng*",OFFSET(Budget!$A$20,Q67,0,ROWS(Personnel[])-Q67,1),0)+Q67,999),IFERROR(MATCH("*Doctorate*",OFFSET(Budget!$A$20,Q67,0,ROWS(Personnel[])-Q67,1),0)+Q67,999))&lt;ROWS(Personnel[]),MIN(IFERROR(MATCH("*PostDoc*",OFFSET(Budget!$A$20,Q67,0,ROWS(Personnel[])-Q67,1),0)+Q67,999),IFERROR(MATCH("*PhD*",OFFSET(Budget!$A$20,Q67,0,ROWS(Personnel[])-Q67,1),0)+Q67,999),IFERROR(MATCH("*PDEng*",OFFSET(Budget!$A$20,Q67,0,ROWS(Personnel[])-Q67,1),0)+Q67,999),IFERROR(MATCH("*Doctorate*",OFFSET(Budget!$A$20,Q67,0,ROWS(Personnel[])-Q67,1),0)+Q67,999)),"")</f>
        <v/>
      </c>
      <c r="R68" s="205" t="str">
        <f ca="1">IFERROR(INDEX(Personnel[Category],Q68),"")</f>
        <v/>
      </c>
      <c r="S68" s="205" t="str">
        <f ca="1">IFERROR(INDEX(Personnel[FTE],Q68),"")</f>
        <v/>
      </c>
      <c r="T68" s="205" t="str">
        <f ca="1">IFERROR(INDEX(Personnel[Months],Q68),"")</f>
        <v/>
      </c>
      <c r="U68" s="205" t="str">
        <f ca="1">SUBSTITUTE(IFERROR(INDEX(Personnel[Organisation type],Q68),""),0,"")</f>
        <v/>
      </c>
      <c r="V68" s="206" t="str">
        <f ca="1">SUBSTITUTE(IFERROR(INDEX(Personnel[Name organisation],Q68),""),0,"")</f>
        <v/>
      </c>
      <c r="W68" s="195"/>
      <c r="X68" s="207" t="str">
        <f>IF(ROW(E1605)-ROW($E$1548)&lt;ROWS(inkind[]),IFERROR(IF(INDEX(list_cofunders[private?],MATCH(Budget!#REF!,list_cofunders[list cofunders],0),1)="yes",Budget!#REF!,""),""),"")</f>
        <v/>
      </c>
      <c r="Y68" s="208" t="str">
        <f>IF(ROW(E1708)-ROW($E$1651)&lt;ROWS(incash[]),IFERROR(IF(INDEX(list_cofunders[private?],MATCH(Budget!#REF!,list_cofunders[list cofunders],0),1)="yes",Budget!#REF!,""),""),"")</f>
        <v/>
      </c>
      <c r="Z68" s="205" t="str">
        <f>IFERROR(INDEX(Personnel[FTE],X68),"")</f>
        <v/>
      </c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7"/>
      <c r="DA68" s="27"/>
      <c r="DB68" s="27"/>
      <c r="DC68" s="27"/>
      <c r="DD68" s="27"/>
      <c r="DE68" s="27"/>
      <c r="DF68" s="27"/>
      <c r="DG68" s="27"/>
      <c r="DH68" s="27"/>
    </row>
    <row r="69" spans="2:112" s="26" customFormat="1" ht="11.25" customHeight="1" outlineLevel="1" x14ac:dyDescent="0.35">
      <c r="B69" s="132" t="str">
        <f ca="1">IF(IFERROR(MATCH("*Other*",OFFSET(Budget!$A$20,B68,0,ROWS(Personnel[]),1),0)+B68,999)&lt;ROWS(Personnel[]),IFERROR(MATCH("*Other*",OFFSET(Budget!$A$20,B68,0,ROWS(Personnel[]),1),0)+B68,999),"")</f>
        <v/>
      </c>
      <c r="C69" s="115" t="str">
        <f ca="1">IFERROR(INDEX(Personnel[Amount],B69),"")</f>
        <v/>
      </c>
      <c r="D69" s="29"/>
      <c r="E69" s="132" t="str">
        <f ca="1">IF(MIN(IFERROR(MATCH("*PostDoc*",OFFSET(Budget!$A$20,E68,0,ROWS(Personnel[]),1),0)+E68,999),IFERROR(MATCH("*PhD*",OFFSET(Budget!$A$20,E68,0,ROWS(Personnel[]),1),0)+E68,999),IFERROR(MATCH("*PDEng*",OFFSET(Budget!$A$20,E68,0,ROWS(Personnel[]),1),0)+E68,999))&lt;ROWS(Personnel[]),MIN(IFERROR(MATCH("*PostDoc*",OFFSET(Budget!$A$20,E68,0,ROWS(Personnel[]),1),0)+E68,999),IFERROR(MATCH("*PhD*",OFFSET(Budget!$A$20,E68,0,ROWS(Personnel[]),1),0)+E68,999),IFERROR(MATCH("*PDEng*",OFFSET(Budget!$A$20,E68,0,ROWS(Personnel[]),1),0)+E68,999)),"")</f>
        <v/>
      </c>
      <c r="F69" s="119" t="str">
        <f ca="1">IFERROR(INDEX(Personnel[FTE],E69)*INDEX(Personnel[Months],E69)/12,"")</f>
        <v/>
      </c>
      <c r="G69" s="140"/>
      <c r="H69" s="142" t="e">
        <f ca="1">IF(IFERROR(MATCH("*researcher*",OFFSET(Budget!#REF!,H68,0,ROWS(#REF!),1),0)+H68,999)&lt;ROWS(#REF!),IFERROR(MATCH("*researcher*",OFFSET(Budget!#REF!,H68,0,ROWS(#REF!),1),0)+H68,999),"")</f>
        <v>#REF!</v>
      </c>
      <c r="I69" s="146" t="str">
        <f ca="1">IF(ISERROR(IF(AND(INDEX(#REF!,H69)&gt;=pers_oi_min_months,INDEX(#REF!,H69)/INDEX(#REF!,H69)*12/pers_other_nrhours_year&gt;=pers_oi_minFTE)=TRUE,INDEX(#REF!,H69)/12,0)),"",IF(AND(INDEX(#REF!,H69)&gt;=pers_oi_min_months,INDEX(#REF!,H69)/INDEX(#REF!,H69)*12/pers_other_nrhours_year&gt;=pers_oi_minFTE)=TRUE,INDEX(#REF!,H69)/12,""))</f>
        <v/>
      </c>
      <c r="J69" s="140"/>
      <c r="K69" s="132" t="str">
        <f ca="1">IF(IFERROR(MATCH("*Non-scientific*",OFFSET(Budget!$A$20,K68,0,ROWS(Personnel[]),1),0)+K68,999)&lt;ROWS(Personnel[]),IFERROR(MATCH("*Non-scientific*",OFFSET(Budget!$A$20,K68,0,ROWS(Personnel[]),1),0)+K68,999),"")</f>
        <v/>
      </c>
      <c r="L69" s="115" t="str">
        <f ca="1">IFERROR(INDEX(Personnel[Amount],K69),"")</f>
        <v/>
      </c>
      <c r="M69" s="195"/>
      <c r="N69" s="132" t="str">
        <f ca="1">IF(IFERROR(MATCH("*leave*",OFFSET(Budget!$A$20,N68,0,ROWS(Personnel[]),1),0)+N68,999)&lt;ROWS(Personnel[]),IFERROR(MATCH("*leave*",OFFSET(Budget!$A$20,N68,0,ROWS(Personnel[]),1),0)+N68,999),"")</f>
        <v/>
      </c>
      <c r="O69" s="137" t="str">
        <f ca="1">IFERROR(INDEX(Personnel[Months],N69)*INDEX(Personnel[FTE],N69),"")</f>
        <v/>
      </c>
      <c r="P69" s="195"/>
      <c r="Q69" s="132" t="str">
        <f ca="1">IF(MIN(IFERROR(MATCH("*PostDoc*",OFFSET(Budget!$A$20,Q68,0,ROWS(Personnel[])-Q68,1),0)+Q68,999),IFERROR(MATCH("*PhD*",OFFSET(Budget!$A$20,Q68,0,ROWS(Personnel[])-Q68,1),0)+Q68,999),IFERROR(MATCH("*PDEng*",OFFSET(Budget!$A$20,Q68,0,ROWS(Personnel[])-Q68,1),0)+Q68,999),IFERROR(MATCH("*Doctorate*",OFFSET(Budget!$A$20,Q68,0,ROWS(Personnel[])-Q68,1),0)+Q68,999))&lt;ROWS(Personnel[]),MIN(IFERROR(MATCH("*PostDoc*",OFFSET(Budget!$A$20,Q68,0,ROWS(Personnel[])-Q68,1),0)+Q68,999),IFERROR(MATCH("*PhD*",OFFSET(Budget!$A$20,Q68,0,ROWS(Personnel[])-Q68,1),0)+Q68,999),IFERROR(MATCH("*PDEng*",OFFSET(Budget!$A$20,Q68,0,ROWS(Personnel[])-Q68,1),0)+Q68,999),IFERROR(MATCH("*Doctorate*",OFFSET(Budget!$A$20,Q68,0,ROWS(Personnel[])-Q68,1),0)+Q68,999)),"")</f>
        <v/>
      </c>
      <c r="R69" s="205" t="str">
        <f ca="1">IFERROR(INDEX(Personnel[Category],Q69),"")</f>
        <v/>
      </c>
      <c r="S69" s="205" t="str">
        <f ca="1">IFERROR(INDEX(Personnel[FTE],Q69),"")</f>
        <v/>
      </c>
      <c r="T69" s="205" t="str">
        <f ca="1">IFERROR(INDEX(Personnel[Months],Q69),"")</f>
        <v/>
      </c>
      <c r="U69" s="205" t="str">
        <f ca="1">SUBSTITUTE(IFERROR(INDEX(Personnel[Organisation type],Q69),""),0,"")</f>
        <v/>
      </c>
      <c r="V69" s="206" t="str">
        <f ca="1">SUBSTITUTE(IFERROR(INDEX(Personnel[Name organisation],Q69),""),0,"")</f>
        <v/>
      </c>
      <c r="W69" s="195"/>
      <c r="X69" s="207" t="str">
        <f>IF(ROW(E1606)-ROW($E$1548)&lt;ROWS(inkind[]),IFERROR(IF(INDEX(list_cofunders[private?],MATCH(Budget!#REF!,list_cofunders[list cofunders],0),1)="yes",Budget!#REF!,""),""),"")</f>
        <v/>
      </c>
      <c r="Y69" s="208" t="str">
        <f>IF(ROW(E1709)-ROW($E$1651)&lt;ROWS(incash[]),IFERROR(IF(INDEX(list_cofunders[private?],MATCH(Budget!#REF!,list_cofunders[list cofunders],0),1)="yes",Budget!#REF!,""),""),"")</f>
        <v/>
      </c>
      <c r="Z69" s="205" t="str">
        <f>IFERROR(INDEX(Personnel[FTE],X69),"")</f>
        <v/>
      </c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7"/>
      <c r="DA69" s="27"/>
      <c r="DB69" s="27"/>
      <c r="DC69" s="27"/>
      <c r="DD69" s="27"/>
      <c r="DE69" s="27"/>
      <c r="DF69" s="27"/>
      <c r="DG69" s="27"/>
      <c r="DH69" s="27"/>
    </row>
    <row r="70" spans="2:112" s="26" customFormat="1" ht="11.25" customHeight="1" outlineLevel="1" x14ac:dyDescent="0.35">
      <c r="B70" s="132" t="str">
        <f ca="1">IF(IFERROR(MATCH("*Other*",OFFSET(Budget!$A$20,B69,0,ROWS(Personnel[]),1),0)+B69,999)&lt;ROWS(Personnel[]),IFERROR(MATCH("*Other*",OFFSET(Budget!$A$20,B69,0,ROWS(Personnel[]),1),0)+B69,999),"")</f>
        <v/>
      </c>
      <c r="C70" s="115" t="str">
        <f ca="1">IFERROR(INDEX(Personnel[Amount],B70),"")</f>
        <v/>
      </c>
      <c r="D70" s="29"/>
      <c r="E70" s="132" t="str">
        <f ca="1">IF(MIN(IFERROR(MATCH("*PostDoc*",OFFSET(Budget!$A$20,E69,0,ROWS(Personnel[]),1),0)+E69,999),IFERROR(MATCH("*PhD*",OFFSET(Budget!$A$20,E69,0,ROWS(Personnel[]),1),0)+E69,999),IFERROR(MATCH("*PDEng*",OFFSET(Budget!$A$20,E69,0,ROWS(Personnel[]),1),0)+E69,999))&lt;ROWS(Personnel[]),MIN(IFERROR(MATCH("*PostDoc*",OFFSET(Budget!$A$20,E69,0,ROWS(Personnel[]),1),0)+E69,999),IFERROR(MATCH("*PhD*",OFFSET(Budget!$A$20,E69,0,ROWS(Personnel[]),1),0)+E69,999),IFERROR(MATCH("*PDEng*",OFFSET(Budget!$A$20,E69,0,ROWS(Personnel[]),1),0)+E69,999)),"")</f>
        <v/>
      </c>
      <c r="F70" s="119" t="str">
        <f ca="1">IFERROR(INDEX(Personnel[FTE],E70)*INDEX(Personnel[Months],E70)/12,"")</f>
        <v/>
      </c>
      <c r="G70" s="140"/>
      <c r="H70" s="142" t="e">
        <f ca="1">IF(IFERROR(MATCH("*researcher*",OFFSET(Budget!#REF!,H69,0,ROWS(#REF!),1),0)+H69,999)&lt;ROWS(#REF!),IFERROR(MATCH("*researcher*",OFFSET(Budget!#REF!,H69,0,ROWS(#REF!),1),0)+H69,999),"")</f>
        <v>#REF!</v>
      </c>
      <c r="I70" s="146" t="str">
        <f ca="1">IF(ISERROR(IF(AND(INDEX(#REF!,H70)&gt;=pers_oi_min_months,INDEX(#REF!,H70)/INDEX(#REF!,H70)*12/pers_other_nrhours_year&gt;=pers_oi_minFTE)=TRUE,INDEX(#REF!,H70)/12,0)),"",IF(AND(INDEX(#REF!,H70)&gt;=pers_oi_min_months,INDEX(#REF!,H70)/INDEX(#REF!,H70)*12/pers_other_nrhours_year&gt;=pers_oi_minFTE)=TRUE,INDEX(#REF!,H70)/12,""))</f>
        <v/>
      </c>
      <c r="J70" s="140"/>
      <c r="K70" s="132" t="str">
        <f ca="1">IF(IFERROR(MATCH("*Non-scientific*",OFFSET(Budget!$A$20,K69,0,ROWS(Personnel[]),1),0)+K69,999)&lt;ROWS(Personnel[]),IFERROR(MATCH("*Non-scientific*",OFFSET(Budget!$A$20,K69,0,ROWS(Personnel[]),1),0)+K69,999),"")</f>
        <v/>
      </c>
      <c r="L70" s="115" t="str">
        <f ca="1">IFERROR(INDEX(Personnel[Amount],K70),"")</f>
        <v/>
      </c>
      <c r="M70" s="195"/>
      <c r="N70" s="132" t="str">
        <f ca="1">IF(IFERROR(MATCH("*leave*",OFFSET(Budget!$A$20,N69,0,ROWS(Personnel[]),1),0)+N69,999)&lt;ROWS(Personnel[]),IFERROR(MATCH("*leave*",OFFSET(Budget!$A$20,N69,0,ROWS(Personnel[]),1),0)+N69,999),"")</f>
        <v/>
      </c>
      <c r="O70" s="137" t="str">
        <f ca="1">IFERROR(INDEX(Personnel[Months],N70)*INDEX(Personnel[FTE],N70),"")</f>
        <v/>
      </c>
      <c r="P70" s="195"/>
      <c r="Q70" s="132" t="str">
        <f ca="1">IF(MIN(IFERROR(MATCH("*PostDoc*",OFFSET(Budget!$A$20,Q69,0,ROWS(Personnel[])-Q69,1),0)+Q69,999),IFERROR(MATCH("*PhD*",OFFSET(Budget!$A$20,Q69,0,ROWS(Personnel[])-Q69,1),0)+Q69,999),IFERROR(MATCH("*PDEng*",OFFSET(Budget!$A$20,Q69,0,ROWS(Personnel[])-Q69,1),0)+Q69,999),IFERROR(MATCH("*Doctorate*",OFFSET(Budget!$A$20,Q69,0,ROWS(Personnel[])-Q69,1),0)+Q69,999))&lt;ROWS(Personnel[]),MIN(IFERROR(MATCH("*PostDoc*",OFFSET(Budget!$A$20,Q69,0,ROWS(Personnel[])-Q69,1),0)+Q69,999),IFERROR(MATCH("*PhD*",OFFSET(Budget!$A$20,Q69,0,ROWS(Personnel[])-Q69,1),0)+Q69,999),IFERROR(MATCH("*PDEng*",OFFSET(Budget!$A$20,Q69,0,ROWS(Personnel[])-Q69,1),0)+Q69,999),IFERROR(MATCH("*Doctorate*",OFFSET(Budget!$A$20,Q69,0,ROWS(Personnel[])-Q69,1),0)+Q69,999)),"")</f>
        <v/>
      </c>
      <c r="R70" s="205" t="str">
        <f ca="1">IFERROR(INDEX(Personnel[Category],Q70),"")</f>
        <v/>
      </c>
      <c r="S70" s="205" t="str">
        <f ca="1">IFERROR(INDEX(Personnel[FTE],Q70),"")</f>
        <v/>
      </c>
      <c r="T70" s="205" t="str">
        <f ca="1">IFERROR(INDEX(Personnel[Months],Q70),"")</f>
        <v/>
      </c>
      <c r="U70" s="205" t="str">
        <f ca="1">SUBSTITUTE(IFERROR(INDEX(Personnel[Organisation type],Q70),""),0,"")</f>
        <v/>
      </c>
      <c r="V70" s="206" t="str">
        <f ca="1">SUBSTITUTE(IFERROR(INDEX(Personnel[Name organisation],Q70),""),0,"")</f>
        <v/>
      </c>
      <c r="W70" s="195"/>
      <c r="X70" s="207" t="str">
        <f>IF(ROW(E1607)-ROW($E$1548)&lt;ROWS(inkind[]),IFERROR(IF(INDEX(list_cofunders[private?],MATCH(Budget!#REF!,list_cofunders[list cofunders],0),1)="yes",Budget!#REF!,""),""),"")</f>
        <v/>
      </c>
      <c r="Y70" s="208" t="str">
        <f>IF(ROW(E1710)-ROW($E$1651)&lt;ROWS(incash[]),IFERROR(IF(INDEX(list_cofunders[private?],MATCH(Budget!#REF!,list_cofunders[list cofunders],0),1)="yes",Budget!#REF!,""),""),"")</f>
        <v/>
      </c>
      <c r="Z70" s="205" t="str">
        <f>IFERROR(INDEX(Personnel[FTE],X70),"")</f>
        <v/>
      </c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7"/>
      <c r="DA70" s="27"/>
      <c r="DB70" s="27"/>
      <c r="DC70" s="27"/>
      <c r="DD70" s="27"/>
      <c r="DE70" s="27"/>
      <c r="DF70" s="27"/>
      <c r="DG70" s="27"/>
      <c r="DH70" s="27"/>
    </row>
    <row r="71" spans="2:112" s="26" customFormat="1" ht="11.25" customHeight="1" outlineLevel="1" x14ac:dyDescent="0.35">
      <c r="B71" s="132" t="str">
        <f ca="1">IF(IFERROR(MATCH("*Other*",OFFSET(Budget!$A$20,B70,0,ROWS(Personnel[]),1),0)+B70,999)&lt;ROWS(Personnel[]),IFERROR(MATCH("*Other*",OFFSET(Budget!$A$20,B70,0,ROWS(Personnel[]),1),0)+B70,999),"")</f>
        <v/>
      </c>
      <c r="C71" s="115" t="str">
        <f ca="1">IFERROR(INDEX(Personnel[Amount],B71),"")</f>
        <v/>
      </c>
      <c r="D71" s="29"/>
      <c r="E71" s="132" t="str">
        <f ca="1">IF(MIN(IFERROR(MATCH("*PostDoc*",OFFSET(Budget!$A$20,E70,0,ROWS(Personnel[]),1),0)+E70,999),IFERROR(MATCH("*PhD*",OFFSET(Budget!$A$20,E70,0,ROWS(Personnel[]),1),0)+E70,999),IFERROR(MATCH("*PDEng*",OFFSET(Budget!$A$20,E70,0,ROWS(Personnel[]),1),0)+E70,999))&lt;ROWS(Personnel[]),MIN(IFERROR(MATCH("*PostDoc*",OFFSET(Budget!$A$20,E70,0,ROWS(Personnel[]),1),0)+E70,999),IFERROR(MATCH("*PhD*",OFFSET(Budget!$A$20,E70,0,ROWS(Personnel[]),1),0)+E70,999),IFERROR(MATCH("*PDEng*",OFFSET(Budget!$A$20,E70,0,ROWS(Personnel[]),1),0)+E70,999)),"")</f>
        <v/>
      </c>
      <c r="F71" s="119" t="str">
        <f ca="1">IFERROR(INDEX(Personnel[FTE],E71)*INDEX(Personnel[Months],E71)/12,"")</f>
        <v/>
      </c>
      <c r="G71" s="140"/>
      <c r="H71" s="142" t="e">
        <f ca="1">IF(IFERROR(MATCH("*researcher*",OFFSET(Budget!#REF!,H70,0,ROWS(#REF!),1),0)+H70,999)&lt;ROWS(#REF!),IFERROR(MATCH("*researcher*",OFFSET(Budget!#REF!,H70,0,ROWS(#REF!),1),0)+H70,999),"")</f>
        <v>#REF!</v>
      </c>
      <c r="I71" s="146" t="str">
        <f ca="1">IF(ISERROR(IF(AND(INDEX(#REF!,H71)&gt;=pers_oi_min_months,INDEX(#REF!,H71)/INDEX(#REF!,H71)*12/pers_other_nrhours_year&gt;=pers_oi_minFTE)=TRUE,INDEX(#REF!,H71)/12,0)),"",IF(AND(INDEX(#REF!,H71)&gt;=pers_oi_min_months,INDEX(#REF!,H71)/INDEX(#REF!,H71)*12/pers_other_nrhours_year&gt;=pers_oi_minFTE)=TRUE,INDEX(#REF!,H71)/12,""))</f>
        <v/>
      </c>
      <c r="J71" s="140"/>
      <c r="K71" s="132" t="str">
        <f ca="1">IF(IFERROR(MATCH("*Non-scientific*",OFFSET(Budget!$A$20,K70,0,ROWS(Personnel[]),1),0)+K70,999)&lt;ROWS(Personnel[]),IFERROR(MATCH("*Non-scientific*",OFFSET(Budget!$A$20,K70,0,ROWS(Personnel[]),1),0)+K70,999),"")</f>
        <v/>
      </c>
      <c r="L71" s="115" t="str">
        <f ca="1">IFERROR(INDEX(Personnel[Amount],K71),"")</f>
        <v/>
      </c>
      <c r="M71" s="195"/>
      <c r="N71" s="132" t="str">
        <f ca="1">IF(IFERROR(MATCH("*leave*",OFFSET(Budget!$A$20,N70,0,ROWS(Personnel[]),1),0)+N70,999)&lt;ROWS(Personnel[]),IFERROR(MATCH("*leave*",OFFSET(Budget!$A$20,N70,0,ROWS(Personnel[]),1),0)+N70,999),"")</f>
        <v/>
      </c>
      <c r="O71" s="137" t="str">
        <f ca="1">IFERROR(INDEX(Personnel[Months],N71)*INDEX(Personnel[FTE],N71),"")</f>
        <v/>
      </c>
      <c r="P71" s="195"/>
      <c r="Q71" s="132" t="str">
        <f ca="1">IF(MIN(IFERROR(MATCH("*PostDoc*",OFFSET(Budget!$A$20,Q70,0,ROWS(Personnel[])-Q70,1),0)+Q70,999),IFERROR(MATCH("*PhD*",OFFSET(Budget!$A$20,Q70,0,ROWS(Personnel[])-Q70,1),0)+Q70,999),IFERROR(MATCH("*PDEng*",OFFSET(Budget!$A$20,Q70,0,ROWS(Personnel[])-Q70,1),0)+Q70,999),IFERROR(MATCH("*Doctorate*",OFFSET(Budget!$A$20,Q70,0,ROWS(Personnel[])-Q70,1),0)+Q70,999))&lt;ROWS(Personnel[]),MIN(IFERROR(MATCH("*PostDoc*",OFFSET(Budget!$A$20,Q70,0,ROWS(Personnel[])-Q70,1),0)+Q70,999),IFERROR(MATCH("*PhD*",OFFSET(Budget!$A$20,Q70,0,ROWS(Personnel[])-Q70,1),0)+Q70,999),IFERROR(MATCH("*PDEng*",OFFSET(Budget!$A$20,Q70,0,ROWS(Personnel[])-Q70,1),0)+Q70,999),IFERROR(MATCH("*Doctorate*",OFFSET(Budget!$A$20,Q70,0,ROWS(Personnel[])-Q70,1),0)+Q70,999)),"")</f>
        <v/>
      </c>
      <c r="R71" s="205" t="str">
        <f ca="1">IFERROR(INDEX(Personnel[Category],Q71),"")</f>
        <v/>
      </c>
      <c r="S71" s="205" t="str">
        <f ca="1">IFERROR(INDEX(Personnel[FTE],Q71),"")</f>
        <v/>
      </c>
      <c r="T71" s="205" t="str">
        <f ca="1">IFERROR(INDEX(Personnel[Months],Q71),"")</f>
        <v/>
      </c>
      <c r="U71" s="205" t="str">
        <f ca="1">SUBSTITUTE(IFERROR(INDEX(Personnel[Organisation type],Q71),""),0,"")</f>
        <v/>
      </c>
      <c r="V71" s="206" t="str">
        <f ca="1">SUBSTITUTE(IFERROR(INDEX(Personnel[Name organisation],Q71),""),0,"")</f>
        <v/>
      </c>
      <c r="W71" s="195"/>
      <c r="X71" s="207" t="str">
        <f>IF(ROW(E1608)-ROW($E$1548)&lt;ROWS(inkind[]),IFERROR(IF(INDEX(list_cofunders[private?],MATCH(Budget!#REF!,list_cofunders[list cofunders],0),1)="yes",Budget!#REF!,""),""),"")</f>
        <v/>
      </c>
      <c r="Y71" s="208" t="str">
        <f>IF(ROW(E1711)-ROW($E$1651)&lt;ROWS(incash[]),IFERROR(IF(INDEX(list_cofunders[private?],MATCH(Budget!#REF!,list_cofunders[list cofunders],0),1)="yes",Budget!#REF!,""),""),"")</f>
        <v/>
      </c>
      <c r="Z71" s="205" t="str">
        <f>IFERROR(INDEX(Personnel[FTE],X71),"")</f>
        <v/>
      </c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7"/>
      <c r="DA71" s="27"/>
      <c r="DB71" s="27"/>
      <c r="DC71" s="27"/>
      <c r="DD71" s="27"/>
      <c r="DE71" s="27"/>
      <c r="DF71" s="27"/>
      <c r="DG71" s="27"/>
      <c r="DH71" s="27"/>
    </row>
    <row r="72" spans="2:112" s="26" customFormat="1" ht="11.25" customHeight="1" outlineLevel="1" x14ac:dyDescent="0.35">
      <c r="B72" s="132" t="str">
        <f ca="1">IF(IFERROR(MATCH("*Other*",OFFSET(Budget!$A$20,B71,0,ROWS(Personnel[]),1),0)+B71,999)&lt;ROWS(Personnel[]),IFERROR(MATCH("*Other*",OFFSET(Budget!$A$20,B71,0,ROWS(Personnel[]),1),0)+B71,999),"")</f>
        <v/>
      </c>
      <c r="C72" s="115" t="str">
        <f ca="1">IFERROR(INDEX(Personnel[Amount],B72),"")</f>
        <v/>
      </c>
      <c r="D72" s="29"/>
      <c r="E72" s="132" t="str">
        <f ca="1">IF(MIN(IFERROR(MATCH("*PostDoc*",OFFSET(Budget!$A$20,E71,0,ROWS(Personnel[]),1),0)+E71,999),IFERROR(MATCH("*PhD*",OFFSET(Budget!$A$20,E71,0,ROWS(Personnel[]),1),0)+E71,999),IFERROR(MATCH("*PDEng*",OFFSET(Budget!$A$20,E71,0,ROWS(Personnel[]),1),0)+E71,999))&lt;ROWS(Personnel[]),MIN(IFERROR(MATCH("*PostDoc*",OFFSET(Budget!$A$20,E71,0,ROWS(Personnel[]),1),0)+E71,999),IFERROR(MATCH("*PhD*",OFFSET(Budget!$A$20,E71,0,ROWS(Personnel[]),1),0)+E71,999),IFERROR(MATCH("*PDEng*",OFFSET(Budget!$A$20,E71,0,ROWS(Personnel[]),1),0)+E71,999)),"")</f>
        <v/>
      </c>
      <c r="F72" s="119" t="str">
        <f ca="1">IFERROR(INDEX(Personnel[FTE],E72)*INDEX(Personnel[Months],E72)/12,"")</f>
        <v/>
      </c>
      <c r="G72" s="140"/>
      <c r="H72" s="142" t="e">
        <f ca="1">IF(IFERROR(MATCH("*researcher*",OFFSET(Budget!#REF!,H71,0,ROWS(#REF!),1),0)+H71,999)&lt;ROWS(#REF!),IFERROR(MATCH("*researcher*",OFFSET(Budget!#REF!,H71,0,ROWS(#REF!),1),0)+H71,999),"")</f>
        <v>#REF!</v>
      </c>
      <c r="I72" s="146" t="str">
        <f ca="1">IF(ISERROR(IF(AND(INDEX(#REF!,H72)&gt;=pers_oi_min_months,INDEX(#REF!,H72)/INDEX(#REF!,H72)*12/pers_other_nrhours_year&gt;=pers_oi_minFTE)=TRUE,INDEX(#REF!,H72)/12,0)),"",IF(AND(INDEX(#REF!,H72)&gt;=pers_oi_min_months,INDEX(#REF!,H72)/INDEX(#REF!,H72)*12/pers_other_nrhours_year&gt;=pers_oi_minFTE)=TRUE,INDEX(#REF!,H72)/12,""))</f>
        <v/>
      </c>
      <c r="J72" s="140"/>
      <c r="K72" s="132" t="str">
        <f ca="1">IF(IFERROR(MATCH("*Non-scientific*",OFFSET(Budget!$A$20,K71,0,ROWS(Personnel[]),1),0)+K71,999)&lt;ROWS(Personnel[]),IFERROR(MATCH("*Non-scientific*",OFFSET(Budget!$A$20,K71,0,ROWS(Personnel[]),1),0)+K71,999),"")</f>
        <v/>
      </c>
      <c r="L72" s="115" t="str">
        <f ca="1">IFERROR(INDEX(Personnel[Amount],K72),"")</f>
        <v/>
      </c>
      <c r="M72" s="195"/>
      <c r="N72" s="132" t="str">
        <f ca="1">IF(IFERROR(MATCH("*leave*",OFFSET(Budget!$A$20,N71,0,ROWS(Personnel[]),1),0)+N71,999)&lt;ROWS(Personnel[]),IFERROR(MATCH("*leave*",OFFSET(Budget!$A$20,N71,0,ROWS(Personnel[]),1),0)+N71,999),"")</f>
        <v/>
      </c>
      <c r="O72" s="137" t="str">
        <f ca="1">IFERROR(INDEX(Personnel[Months],N72)*INDEX(Personnel[FTE],N72),"")</f>
        <v/>
      </c>
      <c r="P72" s="195"/>
      <c r="Q72" s="132" t="str">
        <f ca="1">IF(MIN(IFERROR(MATCH("*PostDoc*",OFFSET(Budget!$A$20,Q71,0,ROWS(Personnel[])-Q71,1),0)+Q71,999),IFERROR(MATCH("*PhD*",OFFSET(Budget!$A$20,Q71,0,ROWS(Personnel[])-Q71,1),0)+Q71,999),IFERROR(MATCH("*PDEng*",OFFSET(Budget!$A$20,Q71,0,ROWS(Personnel[])-Q71,1),0)+Q71,999),IFERROR(MATCH("*Doctorate*",OFFSET(Budget!$A$20,Q71,0,ROWS(Personnel[])-Q71,1),0)+Q71,999))&lt;ROWS(Personnel[]),MIN(IFERROR(MATCH("*PostDoc*",OFFSET(Budget!$A$20,Q71,0,ROWS(Personnel[])-Q71,1),0)+Q71,999),IFERROR(MATCH("*PhD*",OFFSET(Budget!$A$20,Q71,0,ROWS(Personnel[])-Q71,1),0)+Q71,999),IFERROR(MATCH("*PDEng*",OFFSET(Budget!$A$20,Q71,0,ROWS(Personnel[])-Q71,1),0)+Q71,999),IFERROR(MATCH("*Doctorate*",OFFSET(Budget!$A$20,Q71,0,ROWS(Personnel[])-Q71,1),0)+Q71,999)),"")</f>
        <v/>
      </c>
      <c r="R72" s="205" t="str">
        <f ca="1">IFERROR(INDEX(Personnel[Category],Q72),"")</f>
        <v/>
      </c>
      <c r="S72" s="205" t="str">
        <f ca="1">IFERROR(INDEX(Personnel[FTE],Q72),"")</f>
        <v/>
      </c>
      <c r="T72" s="205" t="str">
        <f ca="1">IFERROR(INDEX(Personnel[Months],Q72),"")</f>
        <v/>
      </c>
      <c r="U72" s="205" t="str">
        <f ca="1">SUBSTITUTE(IFERROR(INDEX(Personnel[Organisation type],Q72),""),0,"")</f>
        <v/>
      </c>
      <c r="V72" s="206" t="str">
        <f ca="1">SUBSTITUTE(IFERROR(INDEX(Personnel[Name organisation],Q72),""),0,"")</f>
        <v/>
      </c>
      <c r="W72" s="195"/>
      <c r="X72" s="207" t="str">
        <f>IF(ROW(E1609)-ROW($E$1548)&lt;ROWS(inkind[]),IFERROR(IF(INDEX(list_cofunders[private?],MATCH(Budget!#REF!,list_cofunders[list cofunders],0),1)="yes",Budget!#REF!,""),""),"")</f>
        <v/>
      </c>
      <c r="Y72" s="208" t="str">
        <f>IF(ROW(E1712)-ROW($E$1651)&lt;ROWS(incash[]),IFERROR(IF(INDEX(list_cofunders[private?],MATCH(Budget!#REF!,list_cofunders[list cofunders],0),1)="yes",Budget!#REF!,""),""),"")</f>
        <v/>
      </c>
      <c r="Z72" s="205" t="str">
        <f>IFERROR(INDEX(Personnel[FTE],X72),"")</f>
        <v/>
      </c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7"/>
      <c r="DA72" s="27"/>
      <c r="DB72" s="27"/>
      <c r="DC72" s="27"/>
      <c r="DD72" s="27"/>
      <c r="DE72" s="27"/>
      <c r="DF72" s="27"/>
      <c r="DG72" s="27"/>
      <c r="DH72" s="27"/>
    </row>
    <row r="73" spans="2:112" s="26" customFormat="1" ht="11.25" customHeight="1" outlineLevel="1" x14ac:dyDescent="0.35">
      <c r="B73" s="132" t="str">
        <f ca="1">IF(IFERROR(MATCH("*Other*",OFFSET(Budget!$A$20,B72,0,ROWS(Personnel[]),1),0)+B72,999)&lt;ROWS(Personnel[]),IFERROR(MATCH("*Other*",OFFSET(Budget!$A$20,B72,0,ROWS(Personnel[]),1),0)+B72,999),"")</f>
        <v/>
      </c>
      <c r="C73" s="115" t="str">
        <f ca="1">IFERROR(INDEX(Personnel[Amount],B73),"")</f>
        <v/>
      </c>
      <c r="D73" s="29"/>
      <c r="E73" s="132" t="str">
        <f ca="1">IF(MIN(IFERROR(MATCH("*PostDoc*",OFFSET(Budget!$A$20,E72,0,ROWS(Personnel[]),1),0)+E72,999),IFERROR(MATCH("*PhD*",OFFSET(Budget!$A$20,E72,0,ROWS(Personnel[]),1),0)+E72,999),IFERROR(MATCH("*PDEng*",OFFSET(Budget!$A$20,E72,0,ROWS(Personnel[]),1),0)+E72,999))&lt;ROWS(Personnel[]),MIN(IFERROR(MATCH("*PostDoc*",OFFSET(Budget!$A$20,E72,0,ROWS(Personnel[]),1),0)+E72,999),IFERROR(MATCH("*PhD*",OFFSET(Budget!$A$20,E72,0,ROWS(Personnel[]),1),0)+E72,999),IFERROR(MATCH("*PDEng*",OFFSET(Budget!$A$20,E72,0,ROWS(Personnel[]),1),0)+E72,999)),"")</f>
        <v/>
      </c>
      <c r="F73" s="119" t="str">
        <f ca="1">IFERROR(INDEX(Personnel[FTE],E73)*INDEX(Personnel[Months],E73)/12,"")</f>
        <v/>
      </c>
      <c r="G73" s="140"/>
      <c r="H73" s="142" t="e">
        <f ca="1">IF(IFERROR(MATCH("*researcher*",OFFSET(Budget!#REF!,H72,0,ROWS(#REF!),1),0)+H72,999)&lt;ROWS(#REF!),IFERROR(MATCH("*researcher*",OFFSET(Budget!#REF!,H72,0,ROWS(#REF!),1),0)+H72,999),"")</f>
        <v>#REF!</v>
      </c>
      <c r="I73" s="146" t="str">
        <f ca="1">IF(ISERROR(IF(AND(INDEX(#REF!,H73)&gt;=pers_oi_min_months,INDEX(#REF!,H73)/INDEX(#REF!,H73)*12/pers_other_nrhours_year&gt;=pers_oi_minFTE)=TRUE,INDEX(#REF!,H73)/12,0)),"",IF(AND(INDEX(#REF!,H73)&gt;=pers_oi_min_months,INDEX(#REF!,H73)/INDEX(#REF!,H73)*12/pers_other_nrhours_year&gt;=pers_oi_minFTE)=TRUE,INDEX(#REF!,H73)/12,""))</f>
        <v/>
      </c>
      <c r="J73" s="140"/>
      <c r="K73" s="132" t="str">
        <f ca="1">IF(IFERROR(MATCH("*Non-scientific*",OFFSET(Budget!$A$20,K72,0,ROWS(Personnel[]),1),0)+K72,999)&lt;ROWS(Personnel[]),IFERROR(MATCH("*Non-scientific*",OFFSET(Budget!$A$20,K72,0,ROWS(Personnel[]),1),0)+K72,999),"")</f>
        <v/>
      </c>
      <c r="L73" s="115" t="str">
        <f ca="1">IFERROR(INDEX(Personnel[Amount],K73),"")</f>
        <v/>
      </c>
      <c r="M73" s="195"/>
      <c r="N73" s="132" t="str">
        <f ca="1">IF(IFERROR(MATCH("*leave*",OFFSET(Budget!$A$20,N72,0,ROWS(Personnel[]),1),0)+N72,999)&lt;ROWS(Personnel[]),IFERROR(MATCH("*leave*",OFFSET(Budget!$A$20,N72,0,ROWS(Personnel[]),1),0)+N72,999),"")</f>
        <v/>
      </c>
      <c r="O73" s="137" t="str">
        <f ca="1">IFERROR(INDEX(Personnel[Months],N73)*INDEX(Personnel[FTE],N73),"")</f>
        <v/>
      </c>
      <c r="P73" s="195"/>
      <c r="Q73" s="132" t="str">
        <f ca="1">IF(MIN(IFERROR(MATCH("*PostDoc*",OFFSET(Budget!$A$20,Q72,0,ROWS(Personnel[])-Q72,1),0)+Q72,999),IFERROR(MATCH("*PhD*",OFFSET(Budget!$A$20,Q72,0,ROWS(Personnel[])-Q72,1),0)+Q72,999),IFERROR(MATCH("*PDEng*",OFFSET(Budget!$A$20,Q72,0,ROWS(Personnel[])-Q72,1),0)+Q72,999),IFERROR(MATCH("*Doctorate*",OFFSET(Budget!$A$20,Q72,0,ROWS(Personnel[])-Q72,1),0)+Q72,999))&lt;ROWS(Personnel[]),MIN(IFERROR(MATCH("*PostDoc*",OFFSET(Budget!$A$20,Q72,0,ROWS(Personnel[])-Q72,1),0)+Q72,999),IFERROR(MATCH("*PhD*",OFFSET(Budget!$A$20,Q72,0,ROWS(Personnel[])-Q72,1),0)+Q72,999),IFERROR(MATCH("*PDEng*",OFFSET(Budget!$A$20,Q72,0,ROWS(Personnel[])-Q72,1),0)+Q72,999),IFERROR(MATCH("*Doctorate*",OFFSET(Budget!$A$20,Q72,0,ROWS(Personnel[])-Q72,1),0)+Q72,999)),"")</f>
        <v/>
      </c>
      <c r="R73" s="205" t="str">
        <f ca="1">IFERROR(INDEX(Personnel[Category],Q73),"")</f>
        <v/>
      </c>
      <c r="S73" s="205" t="str">
        <f ca="1">IFERROR(INDEX(Personnel[FTE],Q73),"")</f>
        <v/>
      </c>
      <c r="T73" s="205" t="str">
        <f ca="1">IFERROR(INDEX(Personnel[Months],Q73),"")</f>
        <v/>
      </c>
      <c r="U73" s="205" t="str">
        <f ca="1">SUBSTITUTE(IFERROR(INDEX(Personnel[Organisation type],Q73),""),0,"")</f>
        <v/>
      </c>
      <c r="V73" s="206" t="str">
        <f ca="1">SUBSTITUTE(IFERROR(INDEX(Personnel[Name organisation],Q73),""),0,"")</f>
        <v/>
      </c>
      <c r="W73" s="195"/>
      <c r="X73" s="207" t="str">
        <f>IF(ROW(E1610)-ROW($E$1548)&lt;ROWS(inkind[]),IFERROR(IF(INDEX(list_cofunders[private?],MATCH(Budget!#REF!,list_cofunders[list cofunders],0),1)="yes",Budget!#REF!,""),""),"")</f>
        <v/>
      </c>
      <c r="Y73" s="208" t="str">
        <f>IF(ROW(E1713)-ROW($E$1651)&lt;ROWS(incash[]),IFERROR(IF(INDEX(list_cofunders[private?],MATCH(Budget!#REF!,list_cofunders[list cofunders],0),1)="yes",Budget!#REF!,""),""),"")</f>
        <v/>
      </c>
      <c r="Z73" s="205" t="str">
        <f>IFERROR(INDEX(Personnel[FTE],X73),"")</f>
        <v/>
      </c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7"/>
      <c r="DA73" s="27"/>
      <c r="DB73" s="27"/>
      <c r="DC73" s="27"/>
      <c r="DD73" s="27"/>
      <c r="DE73" s="27"/>
      <c r="DF73" s="27"/>
      <c r="DG73" s="27"/>
      <c r="DH73" s="27"/>
    </row>
    <row r="74" spans="2:112" s="26" customFormat="1" ht="11.25" customHeight="1" outlineLevel="1" x14ac:dyDescent="0.35">
      <c r="B74" s="132" t="str">
        <f ca="1">IF(IFERROR(MATCH("*Other*",OFFSET(Budget!$A$20,B73,0,ROWS(Personnel[]),1),0)+B73,999)&lt;ROWS(Personnel[]),IFERROR(MATCH("*Other*",OFFSET(Budget!$A$20,B73,0,ROWS(Personnel[]),1),0)+B73,999),"")</f>
        <v/>
      </c>
      <c r="C74" s="115" t="str">
        <f ca="1">IFERROR(INDEX(Personnel[Amount],B74),"")</f>
        <v/>
      </c>
      <c r="D74" s="29"/>
      <c r="E74" s="132" t="str">
        <f ca="1">IF(MIN(IFERROR(MATCH("*PostDoc*",OFFSET(Budget!$A$20,E73,0,ROWS(Personnel[]),1),0)+E73,999),IFERROR(MATCH("*PhD*",OFFSET(Budget!$A$20,E73,0,ROWS(Personnel[]),1),0)+E73,999),IFERROR(MATCH("*PDEng*",OFFSET(Budget!$A$20,E73,0,ROWS(Personnel[]),1),0)+E73,999))&lt;ROWS(Personnel[]),MIN(IFERROR(MATCH("*PostDoc*",OFFSET(Budget!$A$20,E73,0,ROWS(Personnel[]),1),0)+E73,999),IFERROR(MATCH("*PhD*",OFFSET(Budget!$A$20,E73,0,ROWS(Personnel[]),1),0)+E73,999),IFERROR(MATCH("*PDEng*",OFFSET(Budget!$A$20,E73,0,ROWS(Personnel[]),1),0)+E73,999)),"")</f>
        <v/>
      </c>
      <c r="F74" s="119" t="str">
        <f ca="1">IFERROR(INDEX(Personnel[FTE],E74)*INDEX(Personnel[Months],E74)/12,"")</f>
        <v/>
      </c>
      <c r="G74" s="140"/>
      <c r="H74" s="142" t="e">
        <f ca="1">IF(IFERROR(MATCH("*researcher*",OFFSET(Budget!#REF!,H73,0,ROWS(#REF!),1),0)+H73,999)&lt;ROWS(#REF!),IFERROR(MATCH("*researcher*",OFFSET(Budget!#REF!,H73,0,ROWS(#REF!),1),0)+H73,999),"")</f>
        <v>#REF!</v>
      </c>
      <c r="I74" s="146" t="str">
        <f ca="1">IF(ISERROR(IF(AND(INDEX(#REF!,H74)&gt;=pers_oi_min_months,INDEX(#REF!,H74)/INDEX(#REF!,H74)*12/pers_other_nrhours_year&gt;=pers_oi_minFTE)=TRUE,INDEX(#REF!,H74)/12,0)),"",IF(AND(INDEX(#REF!,H74)&gt;=pers_oi_min_months,INDEX(#REF!,H74)/INDEX(#REF!,H74)*12/pers_other_nrhours_year&gt;=pers_oi_minFTE)=TRUE,INDEX(#REF!,H74)/12,""))</f>
        <v/>
      </c>
      <c r="J74" s="140"/>
      <c r="K74" s="132" t="str">
        <f ca="1">IF(IFERROR(MATCH("*Non-scientific*",OFFSET(Budget!$A$20,K73,0,ROWS(Personnel[]),1),0)+K73,999)&lt;ROWS(Personnel[]),IFERROR(MATCH("*Non-scientific*",OFFSET(Budget!$A$20,K73,0,ROWS(Personnel[]),1),0)+K73,999),"")</f>
        <v/>
      </c>
      <c r="L74" s="115" t="str">
        <f ca="1">IFERROR(INDEX(Personnel[Amount],K74),"")</f>
        <v/>
      </c>
      <c r="M74" s="195"/>
      <c r="N74" s="132" t="str">
        <f ca="1">IF(IFERROR(MATCH("*leave*",OFFSET(Budget!$A$20,N73,0,ROWS(Personnel[]),1),0)+N73,999)&lt;ROWS(Personnel[]),IFERROR(MATCH("*leave*",OFFSET(Budget!$A$20,N73,0,ROWS(Personnel[]),1),0)+N73,999),"")</f>
        <v/>
      </c>
      <c r="O74" s="137" t="str">
        <f ca="1">IFERROR(INDEX(Personnel[Months],N74)*INDEX(Personnel[FTE],N74),"")</f>
        <v/>
      </c>
      <c r="P74" s="195"/>
      <c r="Q74" s="132" t="str">
        <f ca="1">IF(MIN(IFERROR(MATCH("*PostDoc*",OFFSET(Budget!$A$20,Q73,0,ROWS(Personnel[])-Q73,1),0)+Q73,999),IFERROR(MATCH("*PhD*",OFFSET(Budget!$A$20,Q73,0,ROWS(Personnel[])-Q73,1),0)+Q73,999),IFERROR(MATCH("*PDEng*",OFFSET(Budget!$A$20,Q73,0,ROWS(Personnel[])-Q73,1),0)+Q73,999),IFERROR(MATCH("*Doctorate*",OFFSET(Budget!$A$20,Q73,0,ROWS(Personnel[])-Q73,1),0)+Q73,999))&lt;ROWS(Personnel[]),MIN(IFERROR(MATCH("*PostDoc*",OFFSET(Budget!$A$20,Q73,0,ROWS(Personnel[])-Q73,1),0)+Q73,999),IFERROR(MATCH("*PhD*",OFFSET(Budget!$A$20,Q73,0,ROWS(Personnel[])-Q73,1),0)+Q73,999),IFERROR(MATCH("*PDEng*",OFFSET(Budget!$A$20,Q73,0,ROWS(Personnel[])-Q73,1),0)+Q73,999),IFERROR(MATCH("*Doctorate*",OFFSET(Budget!$A$20,Q73,0,ROWS(Personnel[])-Q73,1),0)+Q73,999)),"")</f>
        <v/>
      </c>
      <c r="R74" s="205" t="str">
        <f ca="1">IFERROR(INDEX(Personnel[Category],Q74),"")</f>
        <v/>
      </c>
      <c r="S74" s="205" t="str">
        <f ca="1">IFERROR(INDEX(Personnel[FTE],Q74),"")</f>
        <v/>
      </c>
      <c r="T74" s="205" t="str">
        <f ca="1">IFERROR(INDEX(Personnel[Months],Q74),"")</f>
        <v/>
      </c>
      <c r="U74" s="205" t="str">
        <f ca="1">SUBSTITUTE(IFERROR(INDEX(Personnel[Organisation type],Q74),""),0,"")</f>
        <v/>
      </c>
      <c r="V74" s="206" t="str">
        <f ca="1">SUBSTITUTE(IFERROR(INDEX(Personnel[Name organisation],Q74),""),0,"")</f>
        <v/>
      </c>
      <c r="W74" s="195"/>
      <c r="X74" s="207" t="str">
        <f>IF(ROW(E1611)-ROW($E$1548)&lt;ROWS(inkind[]),IFERROR(IF(INDEX(list_cofunders[private?],MATCH(Budget!#REF!,list_cofunders[list cofunders],0),1)="yes",Budget!#REF!,""),""),"")</f>
        <v/>
      </c>
      <c r="Y74" s="208" t="str">
        <f>IF(ROW(E1714)-ROW($E$1651)&lt;ROWS(incash[]),IFERROR(IF(INDEX(list_cofunders[private?],MATCH(Budget!#REF!,list_cofunders[list cofunders],0),1)="yes",Budget!#REF!,""),""),"")</f>
        <v/>
      </c>
      <c r="Z74" s="205" t="str">
        <f>IFERROR(INDEX(Personnel[FTE],X74),"")</f>
        <v/>
      </c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7"/>
      <c r="DA74" s="27"/>
      <c r="DB74" s="27"/>
      <c r="DC74" s="27"/>
      <c r="DD74" s="27"/>
      <c r="DE74" s="27"/>
      <c r="DF74" s="27"/>
      <c r="DG74" s="27"/>
      <c r="DH74" s="27"/>
    </row>
    <row r="75" spans="2:112" s="26" customFormat="1" ht="11.25" customHeight="1" outlineLevel="1" x14ac:dyDescent="0.35">
      <c r="B75" s="132" t="str">
        <f ca="1">IF(IFERROR(MATCH("*Other*",OFFSET(Budget!$A$20,B74,0,ROWS(Personnel[]),1),0)+B74,999)&lt;ROWS(Personnel[]),IFERROR(MATCH("*Other*",OFFSET(Budget!$A$20,B74,0,ROWS(Personnel[]),1),0)+B74,999),"")</f>
        <v/>
      </c>
      <c r="C75" s="115" t="str">
        <f ca="1">IFERROR(INDEX(Personnel[Amount],B75),"")</f>
        <v/>
      </c>
      <c r="D75" s="29"/>
      <c r="E75" s="132" t="str">
        <f ca="1">IF(MIN(IFERROR(MATCH("*PostDoc*",OFFSET(Budget!$A$20,E74,0,ROWS(Personnel[]),1),0)+E74,999),IFERROR(MATCH("*PhD*",OFFSET(Budget!$A$20,E74,0,ROWS(Personnel[]),1),0)+E74,999),IFERROR(MATCH("*PDEng*",OFFSET(Budget!$A$20,E74,0,ROWS(Personnel[]),1),0)+E74,999))&lt;ROWS(Personnel[]),MIN(IFERROR(MATCH("*PostDoc*",OFFSET(Budget!$A$20,E74,0,ROWS(Personnel[]),1),0)+E74,999),IFERROR(MATCH("*PhD*",OFFSET(Budget!$A$20,E74,0,ROWS(Personnel[]),1),0)+E74,999),IFERROR(MATCH("*PDEng*",OFFSET(Budget!$A$20,E74,0,ROWS(Personnel[]),1),0)+E74,999)),"")</f>
        <v/>
      </c>
      <c r="F75" s="119" t="str">
        <f ca="1">IFERROR(INDEX(Personnel[FTE],E75)*INDEX(Personnel[Months],E75)/12,"")</f>
        <v/>
      </c>
      <c r="G75" s="140"/>
      <c r="H75" s="142" t="e">
        <f ca="1">IF(IFERROR(MATCH("*researcher*",OFFSET(Budget!#REF!,H74,0,ROWS(#REF!),1),0)+H74,999)&lt;ROWS(#REF!),IFERROR(MATCH("*researcher*",OFFSET(Budget!#REF!,H74,0,ROWS(#REF!),1),0)+H74,999),"")</f>
        <v>#REF!</v>
      </c>
      <c r="I75" s="146" t="str">
        <f ca="1">IF(ISERROR(IF(AND(INDEX(#REF!,H75)&gt;=pers_oi_min_months,INDEX(#REF!,H75)/INDEX(#REF!,H75)*12/pers_other_nrhours_year&gt;=pers_oi_minFTE)=TRUE,INDEX(#REF!,H75)/12,0)),"",IF(AND(INDEX(#REF!,H75)&gt;=pers_oi_min_months,INDEX(#REF!,H75)/INDEX(#REF!,H75)*12/pers_other_nrhours_year&gt;=pers_oi_minFTE)=TRUE,INDEX(#REF!,H75)/12,""))</f>
        <v/>
      </c>
      <c r="J75" s="140"/>
      <c r="K75" s="132" t="str">
        <f ca="1">IF(IFERROR(MATCH("*Non-scientific*",OFFSET(Budget!$A$20,K74,0,ROWS(Personnel[]),1),0)+K74,999)&lt;ROWS(Personnel[]),IFERROR(MATCH("*Non-scientific*",OFFSET(Budget!$A$20,K74,0,ROWS(Personnel[]),1),0)+K74,999),"")</f>
        <v/>
      </c>
      <c r="L75" s="115" t="str">
        <f ca="1">IFERROR(INDEX(Personnel[Amount],K75),"")</f>
        <v/>
      </c>
      <c r="M75" s="195"/>
      <c r="N75" s="132" t="str">
        <f ca="1">IF(IFERROR(MATCH("*leave*",OFFSET(Budget!$A$20,N74,0,ROWS(Personnel[]),1),0)+N74,999)&lt;ROWS(Personnel[]),IFERROR(MATCH("*leave*",OFFSET(Budget!$A$20,N74,0,ROWS(Personnel[]),1),0)+N74,999),"")</f>
        <v/>
      </c>
      <c r="O75" s="137" t="str">
        <f ca="1">IFERROR(INDEX(Personnel[Months],N75)*INDEX(Personnel[FTE],N75),"")</f>
        <v/>
      </c>
      <c r="P75" s="195"/>
      <c r="Q75" s="132" t="str">
        <f ca="1">IF(MIN(IFERROR(MATCH("*PostDoc*",OFFSET(Budget!$A$20,Q74,0,ROWS(Personnel[])-Q74,1),0)+Q74,999),IFERROR(MATCH("*PhD*",OFFSET(Budget!$A$20,Q74,0,ROWS(Personnel[])-Q74,1),0)+Q74,999),IFERROR(MATCH("*PDEng*",OFFSET(Budget!$A$20,Q74,0,ROWS(Personnel[])-Q74,1),0)+Q74,999),IFERROR(MATCH("*Doctorate*",OFFSET(Budget!$A$20,Q74,0,ROWS(Personnel[])-Q74,1),0)+Q74,999))&lt;ROWS(Personnel[]),MIN(IFERROR(MATCH("*PostDoc*",OFFSET(Budget!$A$20,Q74,0,ROWS(Personnel[])-Q74,1),0)+Q74,999),IFERROR(MATCH("*PhD*",OFFSET(Budget!$A$20,Q74,0,ROWS(Personnel[])-Q74,1),0)+Q74,999),IFERROR(MATCH("*PDEng*",OFFSET(Budget!$A$20,Q74,0,ROWS(Personnel[])-Q74,1),0)+Q74,999),IFERROR(MATCH("*Doctorate*",OFFSET(Budget!$A$20,Q74,0,ROWS(Personnel[])-Q74,1),0)+Q74,999)),"")</f>
        <v/>
      </c>
      <c r="R75" s="205" t="str">
        <f ca="1">IFERROR(INDEX(Personnel[Category],Q75),"")</f>
        <v/>
      </c>
      <c r="S75" s="205" t="str">
        <f ca="1">IFERROR(INDEX(Personnel[FTE],Q75),"")</f>
        <v/>
      </c>
      <c r="T75" s="205" t="str">
        <f ca="1">IFERROR(INDEX(Personnel[Months],Q75),"")</f>
        <v/>
      </c>
      <c r="U75" s="205" t="str">
        <f ca="1">SUBSTITUTE(IFERROR(INDEX(Personnel[Organisation type],Q75),""),0,"")</f>
        <v/>
      </c>
      <c r="V75" s="206" t="str">
        <f ca="1">SUBSTITUTE(IFERROR(INDEX(Personnel[Name organisation],Q75),""),0,"")</f>
        <v/>
      </c>
      <c r="W75" s="195"/>
      <c r="X75" s="207" t="str">
        <f>IF(ROW(E1612)-ROW($E$1548)&lt;ROWS(inkind[]),IFERROR(IF(INDEX(list_cofunders[private?],MATCH(Budget!#REF!,list_cofunders[list cofunders],0),1)="yes",Budget!#REF!,""),""),"")</f>
        <v/>
      </c>
      <c r="Y75" s="208" t="str">
        <f>IF(ROW(E1715)-ROW($E$1651)&lt;ROWS(incash[]),IFERROR(IF(INDEX(list_cofunders[private?],MATCH(Budget!#REF!,list_cofunders[list cofunders],0),1)="yes",Budget!#REF!,""),""),"")</f>
        <v/>
      </c>
      <c r="Z75" s="205" t="str">
        <f>IFERROR(INDEX(Personnel[FTE],X75),"")</f>
        <v/>
      </c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7"/>
      <c r="DA75" s="27"/>
      <c r="DB75" s="27"/>
      <c r="DC75" s="27"/>
      <c r="DD75" s="27"/>
      <c r="DE75" s="27"/>
      <c r="DF75" s="27"/>
      <c r="DG75" s="27"/>
      <c r="DH75" s="27"/>
    </row>
    <row r="76" spans="2:112" s="26" customFormat="1" ht="11.25" customHeight="1" outlineLevel="1" x14ac:dyDescent="0.35">
      <c r="B76" s="132" t="str">
        <f ca="1">IF(IFERROR(MATCH("*Other*",OFFSET(Budget!$A$20,B75,0,ROWS(Personnel[]),1),0)+B75,999)&lt;ROWS(Personnel[]),IFERROR(MATCH("*Other*",OFFSET(Budget!$A$20,B75,0,ROWS(Personnel[]),1),0)+B75,999),"")</f>
        <v/>
      </c>
      <c r="C76" s="115" t="str">
        <f ca="1">IFERROR(INDEX(Personnel[Amount],B76),"")</f>
        <v/>
      </c>
      <c r="D76" s="29"/>
      <c r="E76" s="132" t="str">
        <f ca="1">IF(MIN(IFERROR(MATCH("*PostDoc*",OFFSET(Budget!$A$20,E75,0,ROWS(Personnel[]),1),0)+E75,999),IFERROR(MATCH("*PhD*",OFFSET(Budget!$A$20,E75,0,ROWS(Personnel[]),1),0)+E75,999),IFERROR(MATCH("*PDEng*",OFFSET(Budget!$A$20,E75,0,ROWS(Personnel[]),1),0)+E75,999))&lt;ROWS(Personnel[]),MIN(IFERROR(MATCH("*PostDoc*",OFFSET(Budget!$A$20,E75,0,ROWS(Personnel[]),1),0)+E75,999),IFERROR(MATCH("*PhD*",OFFSET(Budget!$A$20,E75,0,ROWS(Personnel[]),1),0)+E75,999),IFERROR(MATCH("*PDEng*",OFFSET(Budget!$A$20,E75,0,ROWS(Personnel[]),1),0)+E75,999)),"")</f>
        <v/>
      </c>
      <c r="F76" s="119" t="str">
        <f ca="1">IFERROR(INDEX(Personnel[FTE],E76)*INDEX(Personnel[Months],E76)/12,"")</f>
        <v/>
      </c>
      <c r="G76" s="140"/>
      <c r="H76" s="142" t="e">
        <f ca="1">IF(IFERROR(MATCH("*researcher*",OFFSET(Budget!#REF!,H75,0,ROWS(#REF!),1),0)+H75,999)&lt;ROWS(#REF!),IFERROR(MATCH("*researcher*",OFFSET(Budget!#REF!,H75,0,ROWS(#REF!),1),0)+H75,999),"")</f>
        <v>#REF!</v>
      </c>
      <c r="I76" s="146" t="str">
        <f ca="1">IF(ISERROR(IF(AND(INDEX(#REF!,H76)&gt;=pers_oi_min_months,INDEX(#REF!,H76)/INDEX(#REF!,H76)*12/pers_other_nrhours_year&gt;=pers_oi_minFTE)=TRUE,INDEX(#REF!,H76)/12,0)),"",IF(AND(INDEX(#REF!,H76)&gt;=pers_oi_min_months,INDEX(#REF!,H76)/INDEX(#REF!,H76)*12/pers_other_nrhours_year&gt;=pers_oi_minFTE)=TRUE,INDEX(#REF!,H76)/12,""))</f>
        <v/>
      </c>
      <c r="J76" s="140"/>
      <c r="K76" s="132" t="str">
        <f ca="1">IF(IFERROR(MATCH("*Non-scientific*",OFFSET(Budget!$A$20,K75,0,ROWS(Personnel[]),1),0)+K75,999)&lt;ROWS(Personnel[]),IFERROR(MATCH("*Non-scientific*",OFFSET(Budget!$A$20,K75,0,ROWS(Personnel[]),1),0)+K75,999),"")</f>
        <v/>
      </c>
      <c r="L76" s="115" t="str">
        <f ca="1">IFERROR(INDEX(Personnel[Amount],K76),"")</f>
        <v/>
      </c>
      <c r="M76" s="195"/>
      <c r="N76" s="132" t="str">
        <f ca="1">IF(IFERROR(MATCH("*leave*",OFFSET(Budget!$A$20,N75,0,ROWS(Personnel[]),1),0)+N75,999)&lt;ROWS(Personnel[]),IFERROR(MATCH("*leave*",OFFSET(Budget!$A$20,N75,0,ROWS(Personnel[]),1),0)+N75,999),"")</f>
        <v/>
      </c>
      <c r="O76" s="137" t="str">
        <f ca="1">IFERROR(INDEX(Personnel[Months],N76)*INDEX(Personnel[FTE],N76),"")</f>
        <v/>
      </c>
      <c r="P76" s="195"/>
      <c r="Q76" s="132" t="str">
        <f ca="1">IF(MIN(IFERROR(MATCH("*PostDoc*",OFFSET(Budget!$A$20,Q75,0,ROWS(Personnel[])-Q75,1),0)+Q75,999),IFERROR(MATCH("*PhD*",OFFSET(Budget!$A$20,Q75,0,ROWS(Personnel[])-Q75,1),0)+Q75,999),IFERROR(MATCH("*PDEng*",OFFSET(Budget!$A$20,Q75,0,ROWS(Personnel[])-Q75,1),0)+Q75,999),IFERROR(MATCH("*Doctorate*",OFFSET(Budget!$A$20,Q75,0,ROWS(Personnel[])-Q75,1),0)+Q75,999))&lt;ROWS(Personnel[]),MIN(IFERROR(MATCH("*PostDoc*",OFFSET(Budget!$A$20,Q75,0,ROWS(Personnel[])-Q75,1),0)+Q75,999),IFERROR(MATCH("*PhD*",OFFSET(Budget!$A$20,Q75,0,ROWS(Personnel[])-Q75,1),0)+Q75,999),IFERROR(MATCH("*PDEng*",OFFSET(Budget!$A$20,Q75,0,ROWS(Personnel[])-Q75,1),0)+Q75,999),IFERROR(MATCH("*Doctorate*",OFFSET(Budget!$A$20,Q75,0,ROWS(Personnel[])-Q75,1),0)+Q75,999)),"")</f>
        <v/>
      </c>
      <c r="R76" s="205" t="str">
        <f ca="1">IFERROR(INDEX(Personnel[Category],Q76),"")</f>
        <v/>
      </c>
      <c r="S76" s="205" t="str">
        <f ca="1">IFERROR(INDEX(Personnel[FTE],Q76),"")</f>
        <v/>
      </c>
      <c r="T76" s="205" t="str">
        <f ca="1">IFERROR(INDEX(Personnel[Months],Q76),"")</f>
        <v/>
      </c>
      <c r="U76" s="205" t="str">
        <f ca="1">SUBSTITUTE(IFERROR(INDEX(Personnel[Organisation type],Q76),""),0,"")</f>
        <v/>
      </c>
      <c r="V76" s="206" t="str">
        <f ca="1">SUBSTITUTE(IFERROR(INDEX(Personnel[Name organisation],Q76),""),0,"")</f>
        <v/>
      </c>
      <c r="W76" s="195"/>
      <c r="X76" s="207" t="str">
        <f>IF(ROW(E1613)-ROW($E$1548)&lt;ROWS(inkind[]),IFERROR(IF(INDEX(list_cofunders[private?],MATCH(Budget!#REF!,list_cofunders[list cofunders],0),1)="yes",Budget!#REF!,""),""),"")</f>
        <v/>
      </c>
      <c r="Y76" s="208" t="str">
        <f>IF(ROW(E1716)-ROW($E$1651)&lt;ROWS(incash[]),IFERROR(IF(INDEX(list_cofunders[private?],MATCH(Budget!#REF!,list_cofunders[list cofunders],0),1)="yes",Budget!#REF!,""),""),"")</f>
        <v/>
      </c>
      <c r="Z76" s="205" t="str">
        <f>IFERROR(INDEX(Personnel[FTE],X76),"")</f>
        <v/>
      </c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7"/>
      <c r="DA76" s="27"/>
      <c r="DB76" s="27"/>
      <c r="DC76" s="27"/>
      <c r="DD76" s="27"/>
      <c r="DE76" s="27"/>
      <c r="DF76" s="27"/>
      <c r="DG76" s="27"/>
      <c r="DH76" s="27"/>
    </row>
    <row r="77" spans="2:112" s="26" customFormat="1" ht="11.25" customHeight="1" outlineLevel="1" x14ac:dyDescent="0.35">
      <c r="B77" s="132" t="str">
        <f ca="1">IF(IFERROR(MATCH("*Other*",OFFSET(Budget!$A$20,B76,0,ROWS(Personnel[]),1),0)+B76,999)&lt;ROWS(Personnel[]),IFERROR(MATCH("*Other*",OFFSET(Budget!$A$20,B76,0,ROWS(Personnel[]),1),0)+B76,999),"")</f>
        <v/>
      </c>
      <c r="C77" s="115" t="str">
        <f ca="1">IFERROR(INDEX(Personnel[Amount],B77),"")</f>
        <v/>
      </c>
      <c r="D77" s="29"/>
      <c r="E77" s="132" t="str">
        <f ca="1">IF(MIN(IFERROR(MATCH("*PostDoc*",OFFSET(Budget!$A$20,E76,0,ROWS(Personnel[]),1),0)+E76,999),IFERROR(MATCH("*PhD*",OFFSET(Budget!$A$20,E76,0,ROWS(Personnel[]),1),0)+E76,999),IFERROR(MATCH("*PDEng*",OFFSET(Budget!$A$20,E76,0,ROWS(Personnel[]),1),0)+E76,999))&lt;ROWS(Personnel[]),MIN(IFERROR(MATCH("*PostDoc*",OFFSET(Budget!$A$20,E76,0,ROWS(Personnel[]),1),0)+E76,999),IFERROR(MATCH("*PhD*",OFFSET(Budget!$A$20,E76,0,ROWS(Personnel[]),1),0)+E76,999),IFERROR(MATCH("*PDEng*",OFFSET(Budget!$A$20,E76,0,ROWS(Personnel[]),1),0)+E76,999)),"")</f>
        <v/>
      </c>
      <c r="F77" s="119" t="str">
        <f ca="1">IFERROR(INDEX(Personnel[FTE],E77)*INDEX(Personnel[Months],E77)/12,"")</f>
        <v/>
      </c>
      <c r="G77" s="140"/>
      <c r="H77" s="142" t="e">
        <f ca="1">IF(IFERROR(MATCH("*researcher*",OFFSET(Budget!#REF!,H76,0,ROWS(#REF!),1),0)+H76,999)&lt;ROWS(#REF!),IFERROR(MATCH("*researcher*",OFFSET(Budget!#REF!,H76,0,ROWS(#REF!),1),0)+H76,999),"")</f>
        <v>#REF!</v>
      </c>
      <c r="I77" s="146" t="str">
        <f ca="1">IF(ISERROR(IF(AND(INDEX(#REF!,H77)&gt;=pers_oi_min_months,INDEX(#REF!,H77)/INDEX(#REF!,H77)*12/pers_other_nrhours_year&gt;=pers_oi_minFTE)=TRUE,INDEX(#REF!,H77)/12,0)),"",IF(AND(INDEX(#REF!,H77)&gt;=pers_oi_min_months,INDEX(#REF!,H77)/INDEX(#REF!,H77)*12/pers_other_nrhours_year&gt;=pers_oi_minFTE)=TRUE,INDEX(#REF!,H77)/12,""))</f>
        <v/>
      </c>
      <c r="J77" s="140"/>
      <c r="K77" s="132" t="str">
        <f ca="1">IF(IFERROR(MATCH("*Non-scientific*",OFFSET(Budget!$A$20,K76,0,ROWS(Personnel[]),1),0)+K76,999)&lt;ROWS(Personnel[]),IFERROR(MATCH("*Non-scientific*",OFFSET(Budget!$A$20,K76,0,ROWS(Personnel[]),1),0)+K76,999),"")</f>
        <v/>
      </c>
      <c r="L77" s="115" t="str">
        <f ca="1">IFERROR(INDEX(Personnel[Amount],K77),"")</f>
        <v/>
      </c>
      <c r="M77" s="195"/>
      <c r="N77" s="132" t="str">
        <f ca="1">IF(IFERROR(MATCH("*leave*",OFFSET(Budget!$A$20,N76,0,ROWS(Personnel[]),1),0)+N76,999)&lt;ROWS(Personnel[]),IFERROR(MATCH("*leave*",OFFSET(Budget!$A$20,N76,0,ROWS(Personnel[]),1),0)+N76,999),"")</f>
        <v/>
      </c>
      <c r="O77" s="137" t="str">
        <f ca="1">IFERROR(INDEX(Personnel[Months],N77)*INDEX(Personnel[FTE],N77),"")</f>
        <v/>
      </c>
      <c r="P77" s="195"/>
      <c r="Q77" s="132" t="str">
        <f ca="1">IF(MIN(IFERROR(MATCH("*PostDoc*",OFFSET(Budget!$A$20,Q76,0,ROWS(Personnel[])-Q76,1),0)+Q76,999),IFERROR(MATCH("*PhD*",OFFSET(Budget!$A$20,Q76,0,ROWS(Personnel[])-Q76,1),0)+Q76,999),IFERROR(MATCH("*PDEng*",OFFSET(Budget!$A$20,Q76,0,ROWS(Personnel[])-Q76,1),0)+Q76,999),IFERROR(MATCH("*Doctorate*",OFFSET(Budget!$A$20,Q76,0,ROWS(Personnel[])-Q76,1),0)+Q76,999))&lt;ROWS(Personnel[]),MIN(IFERROR(MATCH("*PostDoc*",OFFSET(Budget!$A$20,Q76,0,ROWS(Personnel[])-Q76,1),0)+Q76,999),IFERROR(MATCH("*PhD*",OFFSET(Budget!$A$20,Q76,0,ROWS(Personnel[])-Q76,1),0)+Q76,999),IFERROR(MATCH("*PDEng*",OFFSET(Budget!$A$20,Q76,0,ROWS(Personnel[])-Q76,1),0)+Q76,999),IFERROR(MATCH("*Doctorate*",OFFSET(Budget!$A$20,Q76,0,ROWS(Personnel[])-Q76,1),0)+Q76,999)),"")</f>
        <v/>
      </c>
      <c r="R77" s="205" t="str">
        <f ca="1">IFERROR(INDEX(Personnel[Category],Q77),"")</f>
        <v/>
      </c>
      <c r="S77" s="205" t="str">
        <f ca="1">IFERROR(INDEX(Personnel[FTE],Q77),"")</f>
        <v/>
      </c>
      <c r="T77" s="205" t="str">
        <f ca="1">IFERROR(INDEX(Personnel[Months],Q77),"")</f>
        <v/>
      </c>
      <c r="U77" s="205" t="str">
        <f ca="1">SUBSTITUTE(IFERROR(INDEX(Personnel[Organisation type],Q77),""),0,"")</f>
        <v/>
      </c>
      <c r="V77" s="206" t="str">
        <f ca="1">SUBSTITUTE(IFERROR(INDEX(Personnel[Name organisation],Q77),""),0,"")</f>
        <v/>
      </c>
      <c r="W77" s="195"/>
      <c r="X77" s="207" t="str">
        <f>IF(ROW(E1614)-ROW($E$1548)&lt;ROWS(inkind[]),IFERROR(IF(INDEX(list_cofunders[private?],MATCH(Budget!#REF!,list_cofunders[list cofunders],0),1)="yes",Budget!#REF!,""),""),"")</f>
        <v/>
      </c>
      <c r="Y77" s="208" t="str">
        <f>IF(ROW(E1717)-ROW($E$1651)&lt;ROWS(incash[]),IFERROR(IF(INDEX(list_cofunders[private?],MATCH(Budget!#REF!,list_cofunders[list cofunders],0),1)="yes",Budget!#REF!,""),""),"")</f>
        <v/>
      </c>
      <c r="Z77" s="205" t="str">
        <f>IFERROR(INDEX(Personnel[FTE],X77),"")</f>
        <v/>
      </c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7"/>
      <c r="DA77" s="27"/>
      <c r="DB77" s="27"/>
      <c r="DC77" s="27"/>
      <c r="DD77" s="27"/>
      <c r="DE77" s="27"/>
      <c r="DF77" s="27"/>
      <c r="DG77" s="27"/>
      <c r="DH77" s="27"/>
    </row>
    <row r="78" spans="2:112" s="26" customFormat="1" ht="11.25" customHeight="1" outlineLevel="1" x14ac:dyDescent="0.35">
      <c r="B78" s="132" t="str">
        <f ca="1">IF(IFERROR(MATCH("*Other*",OFFSET(Budget!$A$20,B77,0,ROWS(Personnel[]),1),0)+B77,999)&lt;ROWS(Personnel[]),IFERROR(MATCH("*Other*",OFFSET(Budget!$A$20,B77,0,ROWS(Personnel[]),1),0)+B77,999),"")</f>
        <v/>
      </c>
      <c r="C78" s="115" t="str">
        <f ca="1">IFERROR(INDEX(Personnel[Amount],B78),"")</f>
        <v/>
      </c>
      <c r="D78" s="29"/>
      <c r="E78" s="132" t="str">
        <f ca="1">IF(MIN(IFERROR(MATCH("*PostDoc*",OFFSET(Budget!$A$20,E77,0,ROWS(Personnel[]),1),0)+E77,999),IFERROR(MATCH("*PhD*",OFFSET(Budget!$A$20,E77,0,ROWS(Personnel[]),1),0)+E77,999),IFERROR(MATCH("*PDEng*",OFFSET(Budget!$A$20,E77,0,ROWS(Personnel[]),1),0)+E77,999))&lt;ROWS(Personnel[]),MIN(IFERROR(MATCH("*PostDoc*",OFFSET(Budget!$A$20,E77,0,ROWS(Personnel[]),1),0)+E77,999),IFERROR(MATCH("*PhD*",OFFSET(Budget!$A$20,E77,0,ROWS(Personnel[]),1),0)+E77,999),IFERROR(MATCH("*PDEng*",OFFSET(Budget!$A$20,E77,0,ROWS(Personnel[]),1),0)+E77,999)),"")</f>
        <v/>
      </c>
      <c r="F78" s="119" t="str">
        <f ca="1">IFERROR(INDEX(Personnel[FTE],E78)*INDEX(Personnel[Months],E78)/12,"")</f>
        <v/>
      </c>
      <c r="G78" s="140"/>
      <c r="H78" s="142" t="e">
        <f ca="1">IF(IFERROR(MATCH("*researcher*",OFFSET(Budget!#REF!,H77,0,ROWS(#REF!),1),0)+H77,999)&lt;ROWS(#REF!),IFERROR(MATCH("*researcher*",OFFSET(Budget!#REF!,H77,0,ROWS(#REF!),1),0)+H77,999),"")</f>
        <v>#REF!</v>
      </c>
      <c r="I78" s="146" t="str">
        <f ca="1">IF(ISERROR(IF(AND(INDEX(#REF!,H78)&gt;=pers_oi_min_months,INDEX(#REF!,H78)/INDEX(#REF!,H78)*12/pers_other_nrhours_year&gt;=pers_oi_minFTE)=TRUE,INDEX(#REF!,H78)/12,0)),"",IF(AND(INDEX(#REF!,H78)&gt;=pers_oi_min_months,INDEX(#REF!,H78)/INDEX(#REF!,H78)*12/pers_other_nrhours_year&gt;=pers_oi_minFTE)=TRUE,INDEX(#REF!,H78)/12,""))</f>
        <v/>
      </c>
      <c r="J78" s="140"/>
      <c r="K78" s="132" t="str">
        <f ca="1">IF(IFERROR(MATCH("*Non-scientific*",OFFSET(Budget!$A$20,K77,0,ROWS(Personnel[]),1),0)+K77,999)&lt;ROWS(Personnel[]),IFERROR(MATCH("*Non-scientific*",OFFSET(Budget!$A$20,K77,0,ROWS(Personnel[]),1),0)+K77,999),"")</f>
        <v/>
      </c>
      <c r="L78" s="115" t="str">
        <f ca="1">IFERROR(INDEX(Personnel[Amount],K78),"")</f>
        <v/>
      </c>
      <c r="M78" s="195"/>
      <c r="N78" s="132" t="str">
        <f ca="1">IF(IFERROR(MATCH("*leave*",OFFSET(Budget!$A$20,N77,0,ROWS(Personnel[]),1),0)+N77,999)&lt;ROWS(Personnel[]),IFERROR(MATCH("*leave*",OFFSET(Budget!$A$20,N77,0,ROWS(Personnel[]),1),0)+N77,999),"")</f>
        <v/>
      </c>
      <c r="O78" s="137" t="str">
        <f ca="1">IFERROR(INDEX(Personnel[Months],N78)*INDEX(Personnel[FTE],N78),"")</f>
        <v/>
      </c>
      <c r="P78" s="195"/>
      <c r="Q78" s="132" t="str">
        <f ca="1">IF(MIN(IFERROR(MATCH("*PostDoc*",OFFSET(Budget!$A$20,Q77,0,ROWS(Personnel[])-Q77,1),0)+Q77,999),IFERROR(MATCH("*PhD*",OFFSET(Budget!$A$20,Q77,0,ROWS(Personnel[])-Q77,1),0)+Q77,999),IFERROR(MATCH("*PDEng*",OFFSET(Budget!$A$20,Q77,0,ROWS(Personnel[])-Q77,1),0)+Q77,999),IFERROR(MATCH("*Doctorate*",OFFSET(Budget!$A$20,Q77,0,ROWS(Personnel[])-Q77,1),0)+Q77,999))&lt;ROWS(Personnel[]),MIN(IFERROR(MATCH("*PostDoc*",OFFSET(Budget!$A$20,Q77,0,ROWS(Personnel[])-Q77,1),0)+Q77,999),IFERROR(MATCH("*PhD*",OFFSET(Budget!$A$20,Q77,0,ROWS(Personnel[])-Q77,1),0)+Q77,999),IFERROR(MATCH("*PDEng*",OFFSET(Budget!$A$20,Q77,0,ROWS(Personnel[])-Q77,1),0)+Q77,999),IFERROR(MATCH("*Doctorate*",OFFSET(Budget!$A$20,Q77,0,ROWS(Personnel[])-Q77,1),0)+Q77,999)),"")</f>
        <v/>
      </c>
      <c r="R78" s="205" t="str">
        <f ca="1">IFERROR(INDEX(Personnel[Category],Q78),"")</f>
        <v/>
      </c>
      <c r="S78" s="205" t="str">
        <f ca="1">IFERROR(INDEX(Personnel[FTE],Q78),"")</f>
        <v/>
      </c>
      <c r="T78" s="205" t="str">
        <f ca="1">IFERROR(INDEX(Personnel[Months],Q78),"")</f>
        <v/>
      </c>
      <c r="U78" s="205" t="str">
        <f ca="1">SUBSTITUTE(IFERROR(INDEX(Personnel[Organisation type],Q78),""),0,"")</f>
        <v/>
      </c>
      <c r="V78" s="206" t="str">
        <f ca="1">SUBSTITUTE(IFERROR(INDEX(Personnel[Name organisation],Q78),""),0,"")</f>
        <v/>
      </c>
      <c r="W78" s="195"/>
      <c r="X78" s="207" t="str">
        <f>IF(ROW(E1615)-ROW($E$1548)&lt;ROWS(inkind[]),IFERROR(IF(INDEX(list_cofunders[private?],MATCH(Budget!#REF!,list_cofunders[list cofunders],0),1)="yes",Budget!#REF!,""),""),"")</f>
        <v/>
      </c>
      <c r="Y78" s="208" t="str">
        <f>IF(ROW(E1718)-ROW($E$1651)&lt;ROWS(incash[]),IFERROR(IF(INDEX(list_cofunders[private?],MATCH(Budget!#REF!,list_cofunders[list cofunders],0),1)="yes",Budget!#REF!,""),""),"")</f>
        <v/>
      </c>
      <c r="Z78" s="205" t="str">
        <f>IFERROR(INDEX(Personnel[FTE],X78),"")</f>
        <v/>
      </c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7"/>
      <c r="DA78" s="27"/>
      <c r="DB78" s="27"/>
      <c r="DC78" s="27"/>
      <c r="DD78" s="27"/>
      <c r="DE78" s="27"/>
      <c r="DF78" s="27"/>
      <c r="DG78" s="27"/>
      <c r="DH78" s="27"/>
    </row>
    <row r="79" spans="2:112" s="26" customFormat="1" ht="11.25" customHeight="1" outlineLevel="1" x14ac:dyDescent="0.35">
      <c r="B79" s="132" t="str">
        <f ca="1">IF(IFERROR(MATCH("*Other*",OFFSET(Budget!$A$20,B78,0,ROWS(Personnel[]),1),0)+B78,999)&lt;ROWS(Personnel[]),IFERROR(MATCH("*Other*",OFFSET(Budget!$A$20,B78,0,ROWS(Personnel[]),1),0)+B78,999),"")</f>
        <v/>
      </c>
      <c r="C79" s="115" t="str">
        <f ca="1">IFERROR(INDEX(Personnel[Amount],B79),"")</f>
        <v/>
      </c>
      <c r="D79" s="29"/>
      <c r="E79" s="132" t="str">
        <f ca="1">IF(MIN(IFERROR(MATCH("*PostDoc*",OFFSET(Budget!$A$20,E78,0,ROWS(Personnel[]),1),0)+E78,999),IFERROR(MATCH("*PhD*",OFFSET(Budget!$A$20,E78,0,ROWS(Personnel[]),1),0)+E78,999),IFERROR(MATCH("*PDEng*",OFFSET(Budget!$A$20,E78,0,ROWS(Personnel[]),1),0)+E78,999))&lt;ROWS(Personnel[]),MIN(IFERROR(MATCH("*PostDoc*",OFFSET(Budget!$A$20,E78,0,ROWS(Personnel[]),1),0)+E78,999),IFERROR(MATCH("*PhD*",OFFSET(Budget!$A$20,E78,0,ROWS(Personnel[]),1),0)+E78,999),IFERROR(MATCH("*PDEng*",OFFSET(Budget!$A$20,E78,0,ROWS(Personnel[]),1),0)+E78,999)),"")</f>
        <v/>
      </c>
      <c r="F79" s="119" t="str">
        <f ca="1">IFERROR(INDEX(Personnel[FTE],E79)*INDEX(Personnel[Months],E79)/12,"")</f>
        <v/>
      </c>
      <c r="G79" s="140"/>
      <c r="H79" s="142" t="e">
        <f ca="1">IF(IFERROR(MATCH("*researcher*",OFFSET(Budget!#REF!,H78,0,ROWS(#REF!),1),0)+H78,999)&lt;ROWS(#REF!),IFERROR(MATCH("*researcher*",OFFSET(Budget!#REF!,H78,0,ROWS(#REF!),1),0)+H78,999),"")</f>
        <v>#REF!</v>
      </c>
      <c r="I79" s="146" t="str">
        <f ca="1">IF(ISERROR(IF(AND(INDEX(#REF!,H79)&gt;=pers_oi_min_months,INDEX(#REF!,H79)/INDEX(#REF!,H79)*12/pers_other_nrhours_year&gt;=pers_oi_minFTE)=TRUE,INDEX(#REF!,H79)/12,0)),"",IF(AND(INDEX(#REF!,H79)&gt;=pers_oi_min_months,INDEX(#REF!,H79)/INDEX(#REF!,H79)*12/pers_other_nrhours_year&gt;=pers_oi_minFTE)=TRUE,INDEX(#REF!,H79)/12,""))</f>
        <v/>
      </c>
      <c r="J79" s="140"/>
      <c r="K79" s="132" t="str">
        <f ca="1">IF(IFERROR(MATCH("*Non-scientific*",OFFSET(Budget!$A$20,K78,0,ROWS(Personnel[]),1),0)+K78,999)&lt;ROWS(Personnel[]),IFERROR(MATCH("*Non-scientific*",OFFSET(Budget!$A$20,K78,0,ROWS(Personnel[]),1),0)+K78,999),"")</f>
        <v/>
      </c>
      <c r="L79" s="115" t="str">
        <f ca="1">IFERROR(INDEX(Personnel[Amount],K79),"")</f>
        <v/>
      </c>
      <c r="M79" s="195"/>
      <c r="N79" s="132" t="str">
        <f ca="1">IF(IFERROR(MATCH("*leave*",OFFSET(Budget!$A$20,N78,0,ROWS(Personnel[]),1),0)+N78,999)&lt;ROWS(Personnel[]),IFERROR(MATCH("*leave*",OFFSET(Budget!$A$20,N78,0,ROWS(Personnel[]),1),0)+N78,999),"")</f>
        <v/>
      </c>
      <c r="O79" s="137" t="str">
        <f ca="1">IFERROR(INDEX(Personnel[Months],N79)*INDEX(Personnel[FTE],N79),"")</f>
        <v/>
      </c>
      <c r="P79" s="195"/>
      <c r="Q79" s="132" t="str">
        <f ca="1">IF(MIN(IFERROR(MATCH("*PostDoc*",OFFSET(Budget!$A$20,Q78,0,ROWS(Personnel[])-Q78,1),0)+Q78,999),IFERROR(MATCH("*PhD*",OFFSET(Budget!$A$20,Q78,0,ROWS(Personnel[])-Q78,1),0)+Q78,999),IFERROR(MATCH("*PDEng*",OFFSET(Budget!$A$20,Q78,0,ROWS(Personnel[])-Q78,1),0)+Q78,999),IFERROR(MATCH("*Doctorate*",OFFSET(Budget!$A$20,Q78,0,ROWS(Personnel[])-Q78,1),0)+Q78,999))&lt;ROWS(Personnel[]),MIN(IFERROR(MATCH("*PostDoc*",OFFSET(Budget!$A$20,Q78,0,ROWS(Personnel[])-Q78,1),0)+Q78,999),IFERROR(MATCH("*PhD*",OFFSET(Budget!$A$20,Q78,0,ROWS(Personnel[])-Q78,1),0)+Q78,999),IFERROR(MATCH("*PDEng*",OFFSET(Budget!$A$20,Q78,0,ROWS(Personnel[])-Q78,1),0)+Q78,999),IFERROR(MATCH("*Doctorate*",OFFSET(Budget!$A$20,Q78,0,ROWS(Personnel[])-Q78,1),0)+Q78,999)),"")</f>
        <v/>
      </c>
      <c r="R79" s="205" t="str">
        <f ca="1">IFERROR(INDEX(Personnel[Category],Q79),"")</f>
        <v/>
      </c>
      <c r="S79" s="205" t="str">
        <f ca="1">IFERROR(INDEX(Personnel[FTE],Q79),"")</f>
        <v/>
      </c>
      <c r="T79" s="205" t="str">
        <f ca="1">IFERROR(INDEX(Personnel[Months],Q79),"")</f>
        <v/>
      </c>
      <c r="U79" s="205" t="str">
        <f ca="1">SUBSTITUTE(IFERROR(INDEX(Personnel[Organisation type],Q79),""),0,"")</f>
        <v/>
      </c>
      <c r="V79" s="206" t="str">
        <f ca="1">SUBSTITUTE(IFERROR(INDEX(Personnel[Name organisation],Q79),""),0,"")</f>
        <v/>
      </c>
      <c r="W79" s="195"/>
      <c r="X79" s="207" t="str">
        <f>IF(ROW(E1616)-ROW($E$1548)&lt;ROWS(inkind[]),IFERROR(IF(INDEX(list_cofunders[private?],MATCH(Budget!#REF!,list_cofunders[list cofunders],0),1)="yes",Budget!#REF!,""),""),"")</f>
        <v/>
      </c>
      <c r="Y79" s="208" t="str">
        <f>IF(ROW(E1719)-ROW($E$1651)&lt;ROWS(incash[]),IFERROR(IF(INDEX(list_cofunders[private?],MATCH(Budget!#REF!,list_cofunders[list cofunders],0),1)="yes",Budget!#REF!,""),""),"")</f>
        <v/>
      </c>
      <c r="Z79" s="205" t="str">
        <f>IFERROR(INDEX(Personnel[FTE],X79),"")</f>
        <v/>
      </c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7"/>
      <c r="DA79" s="27"/>
      <c r="DB79" s="27"/>
      <c r="DC79" s="27"/>
      <c r="DD79" s="27"/>
      <c r="DE79" s="27"/>
      <c r="DF79" s="27"/>
      <c r="DG79" s="27"/>
      <c r="DH79" s="27"/>
    </row>
    <row r="80" spans="2:112" s="26" customFormat="1" ht="11.25" customHeight="1" outlineLevel="1" x14ac:dyDescent="0.35">
      <c r="B80" s="132" t="str">
        <f ca="1">IF(IFERROR(MATCH("*Other*",OFFSET(Budget!$A$20,B79,0,ROWS(Personnel[]),1),0)+B79,999)&lt;ROWS(Personnel[]),IFERROR(MATCH("*Other*",OFFSET(Budget!$A$20,B79,0,ROWS(Personnel[]),1),0)+B79,999),"")</f>
        <v/>
      </c>
      <c r="C80" s="115" t="str">
        <f ca="1">IFERROR(INDEX(Personnel[Amount],B80),"")</f>
        <v/>
      </c>
      <c r="D80" s="29"/>
      <c r="E80" s="132" t="str">
        <f ca="1">IF(MIN(IFERROR(MATCH("*PostDoc*",OFFSET(Budget!$A$20,E79,0,ROWS(Personnel[]),1),0)+E79,999),IFERROR(MATCH("*PhD*",OFFSET(Budget!$A$20,E79,0,ROWS(Personnel[]),1),0)+E79,999),IFERROR(MATCH("*PDEng*",OFFSET(Budget!$A$20,E79,0,ROWS(Personnel[]),1),0)+E79,999))&lt;ROWS(Personnel[]),MIN(IFERROR(MATCH("*PostDoc*",OFFSET(Budget!$A$20,E79,0,ROWS(Personnel[]),1),0)+E79,999),IFERROR(MATCH("*PhD*",OFFSET(Budget!$A$20,E79,0,ROWS(Personnel[]),1),0)+E79,999),IFERROR(MATCH("*PDEng*",OFFSET(Budget!$A$20,E79,0,ROWS(Personnel[]),1),0)+E79,999)),"")</f>
        <v/>
      </c>
      <c r="F80" s="119" t="str">
        <f ca="1">IFERROR(INDEX(Personnel[FTE],E80)*INDEX(Personnel[Months],E80)/12,"")</f>
        <v/>
      </c>
      <c r="G80" s="140"/>
      <c r="H80" s="142" t="e">
        <f ca="1">IF(IFERROR(MATCH("*researcher*",OFFSET(Budget!#REF!,H79,0,ROWS(#REF!),1),0)+H79,999)&lt;ROWS(#REF!),IFERROR(MATCH("*researcher*",OFFSET(Budget!#REF!,H79,0,ROWS(#REF!),1),0)+H79,999),"")</f>
        <v>#REF!</v>
      </c>
      <c r="I80" s="146" t="str">
        <f ca="1">IF(ISERROR(IF(AND(INDEX(#REF!,H80)&gt;=pers_oi_min_months,INDEX(#REF!,H80)/INDEX(#REF!,H80)*12/pers_other_nrhours_year&gt;=pers_oi_minFTE)=TRUE,INDEX(#REF!,H80)/12,0)),"",IF(AND(INDEX(#REF!,H80)&gt;=pers_oi_min_months,INDEX(#REF!,H80)/INDEX(#REF!,H80)*12/pers_other_nrhours_year&gt;=pers_oi_minFTE)=TRUE,INDEX(#REF!,H80)/12,""))</f>
        <v/>
      </c>
      <c r="J80" s="140"/>
      <c r="K80" s="132" t="str">
        <f ca="1">IF(IFERROR(MATCH("*Non-scientific*",OFFSET(Budget!$A$20,K79,0,ROWS(Personnel[]),1),0)+K79,999)&lt;ROWS(Personnel[]),IFERROR(MATCH("*Non-scientific*",OFFSET(Budget!$A$20,K79,0,ROWS(Personnel[]),1),0)+K79,999),"")</f>
        <v/>
      </c>
      <c r="L80" s="115" t="str">
        <f ca="1">IFERROR(INDEX(Personnel[Amount],K80),"")</f>
        <v/>
      </c>
      <c r="M80" s="195"/>
      <c r="N80" s="132" t="str">
        <f ca="1">IF(IFERROR(MATCH("*leave*",OFFSET(Budget!$A$20,N79,0,ROWS(Personnel[]),1),0)+N79,999)&lt;ROWS(Personnel[]),IFERROR(MATCH("*leave*",OFFSET(Budget!$A$20,N79,0,ROWS(Personnel[]),1),0)+N79,999),"")</f>
        <v/>
      </c>
      <c r="O80" s="137" t="str">
        <f ca="1">IFERROR(INDEX(Personnel[Months],N80)*INDEX(Personnel[FTE],N80),"")</f>
        <v/>
      </c>
      <c r="P80" s="195"/>
      <c r="Q80" s="132" t="str">
        <f ca="1">IF(MIN(IFERROR(MATCH("*PostDoc*",OFFSET(Budget!$A$20,Q79,0,ROWS(Personnel[])-Q79,1),0)+Q79,999),IFERROR(MATCH("*PhD*",OFFSET(Budget!$A$20,Q79,0,ROWS(Personnel[])-Q79,1),0)+Q79,999),IFERROR(MATCH("*PDEng*",OFFSET(Budget!$A$20,Q79,0,ROWS(Personnel[])-Q79,1),0)+Q79,999),IFERROR(MATCH("*Doctorate*",OFFSET(Budget!$A$20,Q79,0,ROWS(Personnel[])-Q79,1),0)+Q79,999))&lt;ROWS(Personnel[]),MIN(IFERROR(MATCH("*PostDoc*",OFFSET(Budget!$A$20,Q79,0,ROWS(Personnel[])-Q79,1),0)+Q79,999),IFERROR(MATCH("*PhD*",OFFSET(Budget!$A$20,Q79,0,ROWS(Personnel[])-Q79,1),0)+Q79,999),IFERROR(MATCH("*PDEng*",OFFSET(Budget!$A$20,Q79,0,ROWS(Personnel[])-Q79,1),0)+Q79,999),IFERROR(MATCH("*Doctorate*",OFFSET(Budget!$A$20,Q79,0,ROWS(Personnel[])-Q79,1),0)+Q79,999)),"")</f>
        <v/>
      </c>
      <c r="R80" s="205" t="str">
        <f ca="1">IFERROR(INDEX(Personnel[Category],Q80),"")</f>
        <v/>
      </c>
      <c r="S80" s="205" t="str">
        <f ca="1">IFERROR(INDEX(Personnel[FTE],Q80),"")</f>
        <v/>
      </c>
      <c r="T80" s="205" t="str">
        <f ca="1">IFERROR(INDEX(Personnel[Months],Q80),"")</f>
        <v/>
      </c>
      <c r="U80" s="205" t="str">
        <f ca="1">SUBSTITUTE(IFERROR(INDEX(Personnel[Organisation type],Q80),""),0,"")</f>
        <v/>
      </c>
      <c r="V80" s="206" t="str">
        <f ca="1">SUBSTITUTE(IFERROR(INDEX(Personnel[Name organisation],Q80),""),0,"")</f>
        <v/>
      </c>
      <c r="W80" s="195"/>
      <c r="X80" s="207" t="str">
        <f>IF(ROW(E1617)-ROW($E$1548)&lt;ROWS(inkind[]),IFERROR(IF(INDEX(list_cofunders[private?],MATCH(Budget!#REF!,list_cofunders[list cofunders],0),1)="yes",Budget!#REF!,""),""),"")</f>
        <v/>
      </c>
      <c r="Y80" s="208" t="str">
        <f>IF(ROW(E1720)-ROW($E$1651)&lt;ROWS(incash[]),IFERROR(IF(INDEX(list_cofunders[private?],MATCH(Budget!#REF!,list_cofunders[list cofunders],0),1)="yes",Budget!#REF!,""),""),"")</f>
        <v/>
      </c>
      <c r="Z80" s="205" t="str">
        <f>IFERROR(INDEX(Personnel[FTE],X80),"")</f>
        <v/>
      </c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7"/>
      <c r="DA80" s="27"/>
      <c r="DB80" s="27"/>
      <c r="DC80" s="27"/>
      <c r="DD80" s="27"/>
      <c r="DE80" s="27"/>
      <c r="DF80" s="27"/>
      <c r="DG80" s="27"/>
      <c r="DH80" s="27"/>
    </row>
    <row r="81" spans="2:112" s="26" customFormat="1" ht="11.25" customHeight="1" outlineLevel="1" x14ac:dyDescent="0.35">
      <c r="B81" s="132" t="str">
        <f ca="1">IF(IFERROR(MATCH("*Other*",OFFSET(Budget!$A$20,B80,0,ROWS(Personnel[]),1),0)+B80,999)&lt;ROWS(Personnel[]),IFERROR(MATCH("*Other*",OFFSET(Budget!$A$20,B80,0,ROWS(Personnel[]),1),0)+B80,999),"")</f>
        <v/>
      </c>
      <c r="C81" s="115" t="str">
        <f ca="1">IFERROR(INDEX(Personnel[Amount],B81),"")</f>
        <v/>
      </c>
      <c r="D81" s="29"/>
      <c r="E81" s="132" t="str">
        <f ca="1">IF(MIN(IFERROR(MATCH("*PostDoc*",OFFSET(Budget!$A$20,E80,0,ROWS(Personnel[]),1),0)+E80,999),IFERROR(MATCH("*PhD*",OFFSET(Budget!$A$20,E80,0,ROWS(Personnel[]),1),0)+E80,999),IFERROR(MATCH("*PDEng*",OFFSET(Budget!$A$20,E80,0,ROWS(Personnel[]),1),0)+E80,999))&lt;ROWS(Personnel[]),MIN(IFERROR(MATCH("*PostDoc*",OFFSET(Budget!$A$20,E80,0,ROWS(Personnel[]),1),0)+E80,999),IFERROR(MATCH("*PhD*",OFFSET(Budget!$A$20,E80,0,ROWS(Personnel[]),1),0)+E80,999),IFERROR(MATCH("*PDEng*",OFFSET(Budget!$A$20,E80,0,ROWS(Personnel[]),1),0)+E80,999)),"")</f>
        <v/>
      </c>
      <c r="F81" s="119" t="str">
        <f ca="1">IFERROR(INDEX(Personnel[FTE],E81)*INDEX(Personnel[Months],E81)/12,"")</f>
        <v/>
      </c>
      <c r="G81" s="140"/>
      <c r="H81" s="142" t="e">
        <f ca="1">IF(IFERROR(MATCH("*researcher*",OFFSET(Budget!#REF!,H80,0,ROWS(#REF!),1),0)+H80,999)&lt;ROWS(#REF!),IFERROR(MATCH("*researcher*",OFFSET(Budget!#REF!,H80,0,ROWS(#REF!),1),0)+H80,999),"")</f>
        <v>#REF!</v>
      </c>
      <c r="I81" s="146" t="str">
        <f ca="1">IF(ISERROR(IF(AND(INDEX(#REF!,H81)&gt;=pers_oi_min_months,INDEX(#REF!,H81)/INDEX(#REF!,H81)*12/pers_other_nrhours_year&gt;=pers_oi_minFTE)=TRUE,INDEX(#REF!,H81)/12,0)),"",IF(AND(INDEX(#REF!,H81)&gt;=pers_oi_min_months,INDEX(#REF!,H81)/INDEX(#REF!,H81)*12/pers_other_nrhours_year&gt;=pers_oi_minFTE)=TRUE,INDEX(#REF!,H81)/12,""))</f>
        <v/>
      </c>
      <c r="J81" s="140"/>
      <c r="K81" s="132" t="str">
        <f ca="1">IF(IFERROR(MATCH("*Non-scientific*",OFFSET(Budget!$A$20,K80,0,ROWS(Personnel[]),1),0)+K80,999)&lt;ROWS(Personnel[]),IFERROR(MATCH("*Non-scientific*",OFFSET(Budget!$A$20,K80,0,ROWS(Personnel[]),1),0)+K80,999),"")</f>
        <v/>
      </c>
      <c r="L81" s="115" t="str">
        <f ca="1">IFERROR(INDEX(Personnel[Amount],K81),"")</f>
        <v/>
      </c>
      <c r="M81" s="195"/>
      <c r="N81" s="132" t="str">
        <f ca="1">IF(IFERROR(MATCH("*leave*",OFFSET(Budget!$A$20,N80,0,ROWS(Personnel[]),1),0)+N80,999)&lt;ROWS(Personnel[]),IFERROR(MATCH("*leave*",OFFSET(Budget!$A$20,N80,0,ROWS(Personnel[]),1),0)+N80,999),"")</f>
        <v/>
      </c>
      <c r="O81" s="137" t="str">
        <f ca="1">IFERROR(INDEX(Personnel[Months],N81)*INDEX(Personnel[FTE],N81),"")</f>
        <v/>
      </c>
      <c r="P81" s="195"/>
      <c r="Q81" s="132" t="str">
        <f ca="1">IF(MIN(IFERROR(MATCH("*PostDoc*",OFFSET(Budget!$A$20,Q80,0,ROWS(Personnel[])-Q80,1),0)+Q80,999),IFERROR(MATCH("*PhD*",OFFSET(Budget!$A$20,Q80,0,ROWS(Personnel[])-Q80,1),0)+Q80,999),IFERROR(MATCH("*PDEng*",OFFSET(Budget!$A$20,Q80,0,ROWS(Personnel[])-Q80,1),0)+Q80,999),IFERROR(MATCH("*Doctorate*",OFFSET(Budget!$A$20,Q80,0,ROWS(Personnel[])-Q80,1),0)+Q80,999))&lt;ROWS(Personnel[]),MIN(IFERROR(MATCH("*PostDoc*",OFFSET(Budget!$A$20,Q80,0,ROWS(Personnel[])-Q80,1),0)+Q80,999),IFERROR(MATCH("*PhD*",OFFSET(Budget!$A$20,Q80,0,ROWS(Personnel[])-Q80,1),0)+Q80,999),IFERROR(MATCH("*PDEng*",OFFSET(Budget!$A$20,Q80,0,ROWS(Personnel[])-Q80,1),0)+Q80,999),IFERROR(MATCH("*Doctorate*",OFFSET(Budget!$A$20,Q80,0,ROWS(Personnel[])-Q80,1),0)+Q80,999)),"")</f>
        <v/>
      </c>
      <c r="R81" s="205" t="str">
        <f ca="1">IFERROR(INDEX(Personnel[Category],Q81),"")</f>
        <v/>
      </c>
      <c r="S81" s="205" t="str">
        <f ca="1">IFERROR(INDEX(Personnel[FTE],Q81),"")</f>
        <v/>
      </c>
      <c r="T81" s="205" t="str">
        <f ca="1">IFERROR(INDEX(Personnel[Months],Q81),"")</f>
        <v/>
      </c>
      <c r="U81" s="205" t="str">
        <f ca="1">SUBSTITUTE(IFERROR(INDEX(Personnel[Organisation type],Q81),""),0,"")</f>
        <v/>
      </c>
      <c r="V81" s="206" t="str">
        <f ca="1">SUBSTITUTE(IFERROR(INDEX(Personnel[Name organisation],Q81),""),0,"")</f>
        <v/>
      </c>
      <c r="W81" s="195"/>
      <c r="X81" s="207" t="str">
        <f>IF(ROW(E1618)-ROW($E$1548)&lt;ROWS(inkind[]),IFERROR(IF(INDEX(list_cofunders[private?],MATCH(Budget!#REF!,list_cofunders[list cofunders],0),1)="yes",Budget!#REF!,""),""),"")</f>
        <v/>
      </c>
      <c r="Y81" s="208" t="str">
        <f>IF(ROW(E1721)-ROW($E$1651)&lt;ROWS(incash[]),IFERROR(IF(INDEX(list_cofunders[private?],MATCH(Budget!#REF!,list_cofunders[list cofunders],0),1)="yes",Budget!#REF!,""),""),"")</f>
        <v/>
      </c>
      <c r="Z81" s="205" t="str">
        <f>IFERROR(INDEX(Personnel[FTE],X81),"")</f>
        <v/>
      </c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7"/>
      <c r="DA81" s="27"/>
      <c r="DB81" s="27"/>
      <c r="DC81" s="27"/>
      <c r="DD81" s="27"/>
      <c r="DE81" s="27"/>
      <c r="DF81" s="27"/>
      <c r="DG81" s="27"/>
      <c r="DH81" s="27"/>
    </row>
    <row r="82" spans="2:112" s="26" customFormat="1" ht="11.25" customHeight="1" outlineLevel="1" x14ac:dyDescent="0.35">
      <c r="B82" s="132" t="str">
        <f ca="1">IF(IFERROR(MATCH("*Other*",OFFSET(Budget!$A$20,B81,0,ROWS(Personnel[]),1),0)+B81,999)&lt;ROWS(Personnel[]),IFERROR(MATCH("*Other*",OFFSET(Budget!$A$20,B81,0,ROWS(Personnel[]),1),0)+B81,999),"")</f>
        <v/>
      </c>
      <c r="C82" s="115" t="str">
        <f ca="1">IFERROR(INDEX(Personnel[Amount],B82),"")</f>
        <v/>
      </c>
      <c r="D82" s="29"/>
      <c r="E82" s="132" t="str">
        <f ca="1">IF(MIN(IFERROR(MATCH("*PostDoc*",OFFSET(Budget!$A$20,E81,0,ROWS(Personnel[]),1),0)+E81,999),IFERROR(MATCH("*PhD*",OFFSET(Budget!$A$20,E81,0,ROWS(Personnel[]),1),0)+E81,999),IFERROR(MATCH("*PDEng*",OFFSET(Budget!$A$20,E81,0,ROWS(Personnel[]),1),0)+E81,999))&lt;ROWS(Personnel[]),MIN(IFERROR(MATCH("*PostDoc*",OFFSET(Budget!$A$20,E81,0,ROWS(Personnel[]),1),0)+E81,999),IFERROR(MATCH("*PhD*",OFFSET(Budget!$A$20,E81,0,ROWS(Personnel[]),1),0)+E81,999),IFERROR(MATCH("*PDEng*",OFFSET(Budget!$A$20,E81,0,ROWS(Personnel[]),1),0)+E81,999)),"")</f>
        <v/>
      </c>
      <c r="F82" s="119" t="str">
        <f ca="1">IFERROR(INDEX(Personnel[FTE],E82)*INDEX(Personnel[Months],E82)/12,"")</f>
        <v/>
      </c>
      <c r="G82" s="140"/>
      <c r="H82" s="142" t="e">
        <f ca="1">IF(IFERROR(MATCH("*researcher*",OFFSET(Budget!#REF!,H81,0,ROWS(#REF!),1),0)+H81,999)&lt;ROWS(#REF!),IFERROR(MATCH("*researcher*",OFFSET(Budget!#REF!,H81,0,ROWS(#REF!),1),0)+H81,999),"")</f>
        <v>#REF!</v>
      </c>
      <c r="I82" s="146" t="str">
        <f ca="1">IF(ISERROR(IF(AND(INDEX(#REF!,H82)&gt;=pers_oi_min_months,INDEX(#REF!,H82)/INDEX(#REF!,H82)*12/pers_other_nrhours_year&gt;=pers_oi_minFTE)=TRUE,INDEX(#REF!,H82)/12,0)),"",IF(AND(INDEX(#REF!,H82)&gt;=pers_oi_min_months,INDEX(#REF!,H82)/INDEX(#REF!,H82)*12/pers_other_nrhours_year&gt;=pers_oi_minFTE)=TRUE,INDEX(#REF!,H82)/12,""))</f>
        <v/>
      </c>
      <c r="J82" s="140"/>
      <c r="K82" s="132" t="str">
        <f ca="1">IF(IFERROR(MATCH("*Non-scientific*",OFFSET(Budget!$A$20,K81,0,ROWS(Personnel[]),1),0)+K81,999)&lt;ROWS(Personnel[]),IFERROR(MATCH("*Non-scientific*",OFFSET(Budget!$A$20,K81,0,ROWS(Personnel[]),1),0)+K81,999),"")</f>
        <v/>
      </c>
      <c r="L82" s="115" t="str">
        <f ca="1">IFERROR(INDEX(Personnel[Amount],K82),"")</f>
        <v/>
      </c>
      <c r="M82" s="195"/>
      <c r="N82" s="132" t="str">
        <f ca="1">IF(IFERROR(MATCH("*leave*",OFFSET(Budget!$A$20,N81,0,ROWS(Personnel[]),1),0)+N81,999)&lt;ROWS(Personnel[]),IFERROR(MATCH("*leave*",OFFSET(Budget!$A$20,N81,0,ROWS(Personnel[]),1),0)+N81,999),"")</f>
        <v/>
      </c>
      <c r="O82" s="137" t="str">
        <f ca="1">IFERROR(INDEX(Personnel[Months],N82)*INDEX(Personnel[FTE],N82),"")</f>
        <v/>
      </c>
      <c r="P82" s="195"/>
      <c r="Q82" s="132" t="str">
        <f ca="1">IF(MIN(IFERROR(MATCH("*PostDoc*",OFFSET(Budget!$A$20,Q81,0,ROWS(Personnel[])-Q81,1),0)+Q81,999),IFERROR(MATCH("*PhD*",OFFSET(Budget!$A$20,Q81,0,ROWS(Personnel[])-Q81,1),0)+Q81,999),IFERROR(MATCH("*PDEng*",OFFSET(Budget!$A$20,Q81,0,ROWS(Personnel[])-Q81,1),0)+Q81,999),IFERROR(MATCH("*Doctorate*",OFFSET(Budget!$A$20,Q81,0,ROWS(Personnel[])-Q81,1),0)+Q81,999))&lt;ROWS(Personnel[]),MIN(IFERROR(MATCH("*PostDoc*",OFFSET(Budget!$A$20,Q81,0,ROWS(Personnel[])-Q81,1),0)+Q81,999),IFERROR(MATCH("*PhD*",OFFSET(Budget!$A$20,Q81,0,ROWS(Personnel[])-Q81,1),0)+Q81,999),IFERROR(MATCH("*PDEng*",OFFSET(Budget!$A$20,Q81,0,ROWS(Personnel[])-Q81,1),0)+Q81,999),IFERROR(MATCH("*Doctorate*",OFFSET(Budget!$A$20,Q81,0,ROWS(Personnel[])-Q81,1),0)+Q81,999)),"")</f>
        <v/>
      </c>
      <c r="R82" s="205" t="str">
        <f ca="1">IFERROR(INDEX(Personnel[Category],Q82),"")</f>
        <v/>
      </c>
      <c r="S82" s="205" t="str">
        <f ca="1">IFERROR(INDEX(Personnel[FTE],Q82),"")</f>
        <v/>
      </c>
      <c r="T82" s="205" t="str">
        <f ca="1">IFERROR(INDEX(Personnel[Months],Q82),"")</f>
        <v/>
      </c>
      <c r="U82" s="205" t="str">
        <f ca="1">SUBSTITUTE(IFERROR(INDEX(Personnel[Organisation type],Q82),""),0,"")</f>
        <v/>
      </c>
      <c r="V82" s="206" t="str">
        <f ca="1">SUBSTITUTE(IFERROR(INDEX(Personnel[Name organisation],Q82),""),0,"")</f>
        <v/>
      </c>
      <c r="W82" s="195"/>
      <c r="X82" s="207" t="str">
        <f>IF(ROW(E1619)-ROW($E$1548)&lt;ROWS(inkind[]),IFERROR(IF(INDEX(list_cofunders[private?],MATCH(Budget!#REF!,list_cofunders[list cofunders],0),1)="yes",Budget!#REF!,""),""),"")</f>
        <v/>
      </c>
      <c r="Y82" s="208" t="str">
        <f>IF(ROW(E1722)-ROW($E$1651)&lt;ROWS(incash[]),IFERROR(IF(INDEX(list_cofunders[private?],MATCH(Budget!#REF!,list_cofunders[list cofunders],0),1)="yes",Budget!#REF!,""),""),"")</f>
        <v/>
      </c>
      <c r="Z82" s="205" t="str">
        <f>IFERROR(INDEX(Personnel[FTE],X82),"")</f>
        <v/>
      </c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7"/>
      <c r="DA82" s="27"/>
      <c r="DB82" s="27"/>
      <c r="DC82" s="27"/>
      <c r="DD82" s="27"/>
      <c r="DE82" s="27"/>
      <c r="DF82" s="27"/>
      <c r="DG82" s="27"/>
      <c r="DH82" s="27"/>
    </row>
    <row r="83" spans="2:112" s="26" customFormat="1" ht="11.25" customHeight="1" outlineLevel="1" x14ac:dyDescent="0.35">
      <c r="B83" s="132" t="str">
        <f ca="1">IF(IFERROR(MATCH("*Other*",OFFSET(Budget!$A$20,B82,0,ROWS(Personnel[]),1),0)+B82,999)&lt;ROWS(Personnel[]),IFERROR(MATCH("*Other*",OFFSET(Budget!$A$20,B82,0,ROWS(Personnel[]),1),0)+B82,999),"")</f>
        <v/>
      </c>
      <c r="C83" s="115" t="str">
        <f ca="1">IFERROR(INDEX(Personnel[Amount],B83),"")</f>
        <v/>
      </c>
      <c r="D83" s="29"/>
      <c r="E83" s="132" t="str">
        <f ca="1">IF(MIN(IFERROR(MATCH("*PostDoc*",OFFSET(Budget!$A$20,E82,0,ROWS(Personnel[]),1),0)+E82,999),IFERROR(MATCH("*PhD*",OFFSET(Budget!$A$20,E82,0,ROWS(Personnel[]),1),0)+E82,999),IFERROR(MATCH("*PDEng*",OFFSET(Budget!$A$20,E82,0,ROWS(Personnel[]),1),0)+E82,999))&lt;ROWS(Personnel[]),MIN(IFERROR(MATCH("*PostDoc*",OFFSET(Budget!$A$20,E82,0,ROWS(Personnel[]),1),0)+E82,999),IFERROR(MATCH("*PhD*",OFFSET(Budget!$A$20,E82,0,ROWS(Personnel[]),1),0)+E82,999),IFERROR(MATCH("*PDEng*",OFFSET(Budget!$A$20,E82,0,ROWS(Personnel[]),1),0)+E82,999)),"")</f>
        <v/>
      </c>
      <c r="F83" s="119" t="str">
        <f ca="1">IFERROR(INDEX(Personnel[FTE],E83)*INDEX(Personnel[Months],E83)/12,"")</f>
        <v/>
      </c>
      <c r="G83" s="140"/>
      <c r="H83" s="142" t="e">
        <f ca="1">IF(IFERROR(MATCH("*researcher*",OFFSET(Budget!#REF!,H82,0,ROWS(#REF!),1),0)+H82,999)&lt;ROWS(#REF!),IFERROR(MATCH("*researcher*",OFFSET(Budget!#REF!,H82,0,ROWS(#REF!),1),0)+H82,999),"")</f>
        <v>#REF!</v>
      </c>
      <c r="I83" s="146" t="str">
        <f ca="1">IF(ISERROR(IF(AND(INDEX(#REF!,H83)&gt;=pers_oi_min_months,INDEX(#REF!,H83)/INDEX(#REF!,H83)*12/pers_other_nrhours_year&gt;=pers_oi_minFTE)=TRUE,INDEX(#REF!,H83)/12,0)),"",IF(AND(INDEX(#REF!,H83)&gt;=pers_oi_min_months,INDEX(#REF!,H83)/INDEX(#REF!,H83)*12/pers_other_nrhours_year&gt;=pers_oi_minFTE)=TRUE,INDEX(#REF!,H83)/12,""))</f>
        <v/>
      </c>
      <c r="J83" s="140"/>
      <c r="K83" s="132" t="str">
        <f ca="1">IF(IFERROR(MATCH("*Non-scientific*",OFFSET(Budget!$A$20,K82,0,ROWS(Personnel[]),1),0)+K82,999)&lt;ROWS(Personnel[]),IFERROR(MATCH("*Non-scientific*",OFFSET(Budget!$A$20,K82,0,ROWS(Personnel[]),1),0)+K82,999),"")</f>
        <v/>
      </c>
      <c r="L83" s="115" t="str">
        <f ca="1">IFERROR(INDEX(Personnel[Amount],K83),"")</f>
        <v/>
      </c>
      <c r="M83" s="195"/>
      <c r="N83" s="132" t="str">
        <f ca="1">IF(IFERROR(MATCH("*leave*",OFFSET(Budget!$A$20,N82,0,ROWS(Personnel[]),1),0)+N82,999)&lt;ROWS(Personnel[]),IFERROR(MATCH("*leave*",OFFSET(Budget!$A$20,N82,0,ROWS(Personnel[]),1),0)+N82,999),"")</f>
        <v/>
      </c>
      <c r="O83" s="137" t="str">
        <f ca="1">IFERROR(INDEX(Personnel[Months],N83)*INDEX(Personnel[FTE],N83),"")</f>
        <v/>
      </c>
      <c r="P83" s="195"/>
      <c r="Q83" s="132" t="str">
        <f ca="1">IF(MIN(IFERROR(MATCH("*PostDoc*",OFFSET(Budget!$A$20,Q82,0,ROWS(Personnel[])-Q82,1),0)+Q82,999),IFERROR(MATCH("*PhD*",OFFSET(Budget!$A$20,Q82,0,ROWS(Personnel[])-Q82,1),0)+Q82,999),IFERROR(MATCH("*PDEng*",OFFSET(Budget!$A$20,Q82,0,ROWS(Personnel[])-Q82,1),0)+Q82,999),IFERROR(MATCH("*Doctorate*",OFFSET(Budget!$A$20,Q82,0,ROWS(Personnel[])-Q82,1),0)+Q82,999))&lt;ROWS(Personnel[]),MIN(IFERROR(MATCH("*PostDoc*",OFFSET(Budget!$A$20,Q82,0,ROWS(Personnel[])-Q82,1),0)+Q82,999),IFERROR(MATCH("*PhD*",OFFSET(Budget!$A$20,Q82,0,ROWS(Personnel[])-Q82,1),0)+Q82,999),IFERROR(MATCH("*PDEng*",OFFSET(Budget!$A$20,Q82,0,ROWS(Personnel[])-Q82,1),0)+Q82,999),IFERROR(MATCH("*Doctorate*",OFFSET(Budget!$A$20,Q82,0,ROWS(Personnel[])-Q82,1),0)+Q82,999)),"")</f>
        <v/>
      </c>
      <c r="R83" s="205" t="str">
        <f ca="1">IFERROR(INDEX(Personnel[Category],Q83),"")</f>
        <v/>
      </c>
      <c r="S83" s="205" t="str">
        <f ca="1">IFERROR(INDEX(Personnel[FTE],Q83),"")</f>
        <v/>
      </c>
      <c r="T83" s="205" t="str">
        <f ca="1">IFERROR(INDEX(Personnel[Months],Q83),"")</f>
        <v/>
      </c>
      <c r="U83" s="205" t="str">
        <f ca="1">SUBSTITUTE(IFERROR(INDEX(Personnel[Organisation type],Q83),""),0,"")</f>
        <v/>
      </c>
      <c r="V83" s="206" t="str">
        <f ca="1">SUBSTITUTE(IFERROR(INDEX(Personnel[Name organisation],Q83),""),0,"")</f>
        <v/>
      </c>
      <c r="W83" s="195"/>
      <c r="X83" s="207" t="str">
        <f>IF(ROW(E1620)-ROW($E$1548)&lt;ROWS(inkind[]),IFERROR(IF(INDEX(list_cofunders[private?],MATCH(Budget!#REF!,list_cofunders[list cofunders],0),1)="yes",Budget!#REF!,""),""),"")</f>
        <v/>
      </c>
      <c r="Y83" s="208" t="str">
        <f>IF(ROW(E1723)-ROW($E$1651)&lt;ROWS(incash[]),IFERROR(IF(INDEX(list_cofunders[private?],MATCH(Budget!#REF!,list_cofunders[list cofunders],0),1)="yes",Budget!#REF!,""),""),"")</f>
        <v/>
      </c>
      <c r="Z83" s="205" t="str">
        <f>IFERROR(INDEX(Personnel[FTE],X83),"")</f>
        <v/>
      </c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7"/>
      <c r="DA83" s="27"/>
      <c r="DB83" s="27"/>
      <c r="DC83" s="27"/>
      <c r="DD83" s="27"/>
      <c r="DE83" s="27"/>
      <c r="DF83" s="27"/>
      <c r="DG83" s="27"/>
      <c r="DH83" s="27"/>
    </row>
    <row r="84" spans="2:112" s="26" customFormat="1" ht="11.25" customHeight="1" outlineLevel="1" x14ac:dyDescent="0.35">
      <c r="B84" s="132" t="str">
        <f ca="1">IF(IFERROR(MATCH("*Other*",OFFSET(Budget!$A$20,B83,0,ROWS(Personnel[]),1),0)+B83,999)&lt;ROWS(Personnel[]),IFERROR(MATCH("*Other*",OFFSET(Budget!$A$20,B83,0,ROWS(Personnel[]),1),0)+B83,999),"")</f>
        <v/>
      </c>
      <c r="C84" s="115" t="str">
        <f ca="1">IFERROR(INDEX(Personnel[Amount],B84),"")</f>
        <v/>
      </c>
      <c r="D84" s="29"/>
      <c r="E84" s="132" t="str">
        <f ca="1">IF(MIN(IFERROR(MATCH("*PostDoc*",OFFSET(Budget!$A$20,E83,0,ROWS(Personnel[]),1),0)+E83,999),IFERROR(MATCH("*PhD*",OFFSET(Budget!$A$20,E83,0,ROWS(Personnel[]),1),0)+E83,999),IFERROR(MATCH("*PDEng*",OFFSET(Budget!$A$20,E83,0,ROWS(Personnel[]),1),0)+E83,999))&lt;ROWS(Personnel[]),MIN(IFERROR(MATCH("*PostDoc*",OFFSET(Budget!$A$20,E83,0,ROWS(Personnel[]),1),0)+E83,999),IFERROR(MATCH("*PhD*",OFFSET(Budget!$A$20,E83,0,ROWS(Personnel[]),1),0)+E83,999),IFERROR(MATCH("*PDEng*",OFFSET(Budget!$A$20,E83,0,ROWS(Personnel[]),1),0)+E83,999)),"")</f>
        <v/>
      </c>
      <c r="F84" s="119" t="str">
        <f ca="1">IFERROR(INDEX(Personnel[FTE],E84)*INDEX(Personnel[Months],E84)/12,"")</f>
        <v/>
      </c>
      <c r="G84" s="140"/>
      <c r="H84" s="142" t="e">
        <f ca="1">IF(IFERROR(MATCH("*researcher*",OFFSET(Budget!#REF!,H83,0,ROWS(#REF!),1),0)+H83,999)&lt;ROWS(#REF!),IFERROR(MATCH("*researcher*",OFFSET(Budget!#REF!,H83,0,ROWS(#REF!),1),0)+H83,999),"")</f>
        <v>#REF!</v>
      </c>
      <c r="I84" s="146" t="str">
        <f ca="1">IF(ISERROR(IF(AND(INDEX(#REF!,H84)&gt;=pers_oi_min_months,INDEX(#REF!,H84)/INDEX(#REF!,H84)*12/pers_other_nrhours_year&gt;=pers_oi_minFTE)=TRUE,INDEX(#REF!,H84)/12,0)),"",IF(AND(INDEX(#REF!,H84)&gt;=pers_oi_min_months,INDEX(#REF!,H84)/INDEX(#REF!,H84)*12/pers_other_nrhours_year&gt;=pers_oi_minFTE)=TRUE,INDEX(#REF!,H84)/12,""))</f>
        <v/>
      </c>
      <c r="J84" s="140"/>
      <c r="K84" s="132" t="str">
        <f ca="1">IF(IFERROR(MATCH("*Non-scientific*",OFFSET(Budget!$A$20,K83,0,ROWS(Personnel[]),1),0)+K83,999)&lt;ROWS(Personnel[]),IFERROR(MATCH("*Non-scientific*",OFFSET(Budget!$A$20,K83,0,ROWS(Personnel[]),1),0)+K83,999),"")</f>
        <v/>
      </c>
      <c r="L84" s="115" t="str">
        <f ca="1">IFERROR(INDEX(Personnel[Amount],K84),"")</f>
        <v/>
      </c>
      <c r="M84" s="195"/>
      <c r="N84" s="132" t="str">
        <f ca="1">IF(IFERROR(MATCH("*leave*",OFFSET(Budget!$A$20,N83,0,ROWS(Personnel[]),1),0)+N83,999)&lt;ROWS(Personnel[]),IFERROR(MATCH("*leave*",OFFSET(Budget!$A$20,N83,0,ROWS(Personnel[]),1),0)+N83,999),"")</f>
        <v/>
      </c>
      <c r="O84" s="137" t="str">
        <f ca="1">IFERROR(INDEX(Personnel[Months],N84)*INDEX(Personnel[FTE],N84),"")</f>
        <v/>
      </c>
      <c r="P84" s="195"/>
      <c r="Q84" s="132" t="str">
        <f ca="1">IF(MIN(IFERROR(MATCH("*PostDoc*",OFFSET(Budget!$A$20,Q83,0,ROWS(Personnel[])-Q83,1),0)+Q83,999),IFERROR(MATCH("*PhD*",OFFSET(Budget!$A$20,Q83,0,ROWS(Personnel[])-Q83,1),0)+Q83,999),IFERROR(MATCH("*PDEng*",OFFSET(Budget!$A$20,Q83,0,ROWS(Personnel[])-Q83,1),0)+Q83,999),IFERROR(MATCH("*Doctorate*",OFFSET(Budget!$A$20,Q83,0,ROWS(Personnel[])-Q83,1),0)+Q83,999))&lt;ROWS(Personnel[]),MIN(IFERROR(MATCH("*PostDoc*",OFFSET(Budget!$A$20,Q83,0,ROWS(Personnel[])-Q83,1),0)+Q83,999),IFERROR(MATCH("*PhD*",OFFSET(Budget!$A$20,Q83,0,ROWS(Personnel[])-Q83,1),0)+Q83,999),IFERROR(MATCH("*PDEng*",OFFSET(Budget!$A$20,Q83,0,ROWS(Personnel[])-Q83,1),0)+Q83,999),IFERROR(MATCH("*Doctorate*",OFFSET(Budget!$A$20,Q83,0,ROWS(Personnel[])-Q83,1),0)+Q83,999)),"")</f>
        <v/>
      </c>
      <c r="R84" s="205" t="str">
        <f ca="1">IFERROR(INDEX(Personnel[Category],Q84),"")</f>
        <v/>
      </c>
      <c r="S84" s="205" t="str">
        <f ca="1">IFERROR(INDEX(Personnel[FTE],Q84),"")</f>
        <v/>
      </c>
      <c r="T84" s="205" t="str">
        <f ca="1">IFERROR(INDEX(Personnel[Months],Q84),"")</f>
        <v/>
      </c>
      <c r="U84" s="205" t="str">
        <f ca="1">SUBSTITUTE(IFERROR(INDEX(Personnel[Organisation type],Q84),""),0,"")</f>
        <v/>
      </c>
      <c r="V84" s="206" t="str">
        <f ca="1">SUBSTITUTE(IFERROR(INDEX(Personnel[Name organisation],Q84),""),0,"")</f>
        <v/>
      </c>
      <c r="W84" s="195"/>
      <c r="X84" s="207" t="str">
        <f>IF(ROW(E1621)-ROW($E$1548)&lt;ROWS(inkind[]),IFERROR(IF(INDEX(list_cofunders[private?],MATCH(Budget!#REF!,list_cofunders[list cofunders],0),1)="yes",Budget!#REF!,""),""),"")</f>
        <v/>
      </c>
      <c r="Y84" s="208" t="str">
        <f>IF(ROW(E1724)-ROW($E$1651)&lt;ROWS(incash[]),IFERROR(IF(INDEX(list_cofunders[private?],MATCH(Budget!#REF!,list_cofunders[list cofunders],0),1)="yes",Budget!#REF!,""),""),"")</f>
        <v/>
      </c>
      <c r="Z84" s="205" t="str">
        <f>IFERROR(INDEX(Personnel[FTE],X84),"")</f>
        <v/>
      </c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7"/>
      <c r="DA84" s="27"/>
      <c r="DB84" s="27"/>
      <c r="DC84" s="27"/>
      <c r="DD84" s="27"/>
      <c r="DE84" s="27"/>
      <c r="DF84" s="27"/>
      <c r="DG84" s="27"/>
      <c r="DH84" s="27"/>
    </row>
    <row r="85" spans="2:112" s="26" customFormat="1" ht="11.25" customHeight="1" outlineLevel="1" x14ac:dyDescent="0.35">
      <c r="B85" s="132" t="str">
        <f ca="1">IF(IFERROR(MATCH("*Other*",OFFSET(Budget!$A$20,B84,0,ROWS(Personnel[]),1),0)+B84,999)&lt;ROWS(Personnel[]),IFERROR(MATCH("*Other*",OFFSET(Budget!$A$20,B84,0,ROWS(Personnel[]),1),0)+B84,999),"")</f>
        <v/>
      </c>
      <c r="C85" s="115" t="str">
        <f ca="1">IFERROR(INDEX(Personnel[Amount],B85),"")</f>
        <v/>
      </c>
      <c r="D85" s="29"/>
      <c r="E85" s="132" t="str">
        <f ca="1">IF(MIN(IFERROR(MATCH("*PostDoc*",OFFSET(Budget!$A$20,E84,0,ROWS(Personnel[]),1),0)+E84,999),IFERROR(MATCH("*PhD*",OFFSET(Budget!$A$20,E84,0,ROWS(Personnel[]),1),0)+E84,999),IFERROR(MATCH("*PDEng*",OFFSET(Budget!$A$20,E84,0,ROWS(Personnel[]),1),0)+E84,999))&lt;ROWS(Personnel[]),MIN(IFERROR(MATCH("*PostDoc*",OFFSET(Budget!$A$20,E84,0,ROWS(Personnel[]),1),0)+E84,999),IFERROR(MATCH("*PhD*",OFFSET(Budget!$A$20,E84,0,ROWS(Personnel[]),1),0)+E84,999),IFERROR(MATCH("*PDEng*",OFFSET(Budget!$A$20,E84,0,ROWS(Personnel[]),1),0)+E84,999)),"")</f>
        <v/>
      </c>
      <c r="F85" s="119" t="str">
        <f ca="1">IFERROR(INDEX(Personnel[FTE],E85)*INDEX(Personnel[Months],E85)/12,"")</f>
        <v/>
      </c>
      <c r="G85" s="140"/>
      <c r="H85" s="142" t="e">
        <f ca="1">IF(IFERROR(MATCH("*researcher*",OFFSET(Budget!#REF!,H84,0,ROWS(#REF!),1),0)+H84,999)&lt;ROWS(#REF!),IFERROR(MATCH("*researcher*",OFFSET(Budget!#REF!,H84,0,ROWS(#REF!),1),0)+H84,999),"")</f>
        <v>#REF!</v>
      </c>
      <c r="I85" s="146" t="str">
        <f ca="1">IF(ISERROR(IF(AND(INDEX(#REF!,H85)&gt;=pers_oi_min_months,INDEX(#REF!,H85)/INDEX(#REF!,H85)*12/pers_other_nrhours_year&gt;=pers_oi_minFTE)=TRUE,INDEX(#REF!,H85)/12,0)),"",IF(AND(INDEX(#REF!,H85)&gt;=pers_oi_min_months,INDEX(#REF!,H85)/INDEX(#REF!,H85)*12/pers_other_nrhours_year&gt;=pers_oi_minFTE)=TRUE,INDEX(#REF!,H85)/12,""))</f>
        <v/>
      </c>
      <c r="J85" s="140"/>
      <c r="K85" s="132" t="str">
        <f ca="1">IF(IFERROR(MATCH("*Non-scientific*",OFFSET(Budget!$A$20,K84,0,ROWS(Personnel[]),1),0)+K84,999)&lt;ROWS(Personnel[]),IFERROR(MATCH("*Non-scientific*",OFFSET(Budget!$A$20,K84,0,ROWS(Personnel[]),1),0)+K84,999),"")</f>
        <v/>
      </c>
      <c r="L85" s="115" t="str">
        <f ca="1">IFERROR(INDEX(Personnel[Amount],K85),"")</f>
        <v/>
      </c>
      <c r="M85" s="195"/>
      <c r="N85" s="132" t="str">
        <f ca="1">IF(IFERROR(MATCH("*leave*",OFFSET(Budget!$A$20,N84,0,ROWS(Personnel[]),1),0)+N84,999)&lt;ROWS(Personnel[]),IFERROR(MATCH("*leave*",OFFSET(Budget!$A$20,N84,0,ROWS(Personnel[]),1),0)+N84,999),"")</f>
        <v/>
      </c>
      <c r="O85" s="137" t="str">
        <f ca="1">IFERROR(INDEX(Personnel[Months],N85)*INDEX(Personnel[FTE],N85),"")</f>
        <v/>
      </c>
      <c r="P85" s="195"/>
      <c r="Q85" s="132" t="str">
        <f ca="1">IF(MIN(IFERROR(MATCH("*PostDoc*",OFFSET(Budget!$A$20,Q84,0,ROWS(Personnel[])-Q84,1),0)+Q84,999),IFERROR(MATCH("*PhD*",OFFSET(Budget!$A$20,Q84,0,ROWS(Personnel[])-Q84,1),0)+Q84,999),IFERROR(MATCH("*PDEng*",OFFSET(Budget!$A$20,Q84,0,ROWS(Personnel[])-Q84,1),0)+Q84,999),IFERROR(MATCH("*Doctorate*",OFFSET(Budget!$A$20,Q84,0,ROWS(Personnel[])-Q84,1),0)+Q84,999))&lt;ROWS(Personnel[]),MIN(IFERROR(MATCH("*PostDoc*",OFFSET(Budget!$A$20,Q84,0,ROWS(Personnel[])-Q84,1),0)+Q84,999),IFERROR(MATCH("*PhD*",OFFSET(Budget!$A$20,Q84,0,ROWS(Personnel[])-Q84,1),0)+Q84,999),IFERROR(MATCH("*PDEng*",OFFSET(Budget!$A$20,Q84,0,ROWS(Personnel[])-Q84,1),0)+Q84,999),IFERROR(MATCH("*Doctorate*",OFFSET(Budget!$A$20,Q84,0,ROWS(Personnel[])-Q84,1),0)+Q84,999)),"")</f>
        <v/>
      </c>
      <c r="R85" s="205" t="str">
        <f ca="1">IFERROR(INDEX(Personnel[Category],Q85),"")</f>
        <v/>
      </c>
      <c r="S85" s="205" t="str">
        <f ca="1">IFERROR(INDEX(Personnel[FTE],Q85),"")</f>
        <v/>
      </c>
      <c r="T85" s="205" t="str">
        <f ca="1">IFERROR(INDEX(Personnel[Months],Q85),"")</f>
        <v/>
      </c>
      <c r="U85" s="205" t="str">
        <f ca="1">SUBSTITUTE(IFERROR(INDEX(Personnel[Organisation type],Q85),""),0,"")</f>
        <v/>
      </c>
      <c r="V85" s="206" t="str">
        <f ca="1">SUBSTITUTE(IFERROR(INDEX(Personnel[Name organisation],Q85),""),0,"")</f>
        <v/>
      </c>
      <c r="W85" s="195"/>
      <c r="X85" s="207" t="str">
        <f>IF(ROW(E1622)-ROW($E$1548)&lt;ROWS(inkind[]),IFERROR(IF(INDEX(list_cofunders[private?],MATCH(Budget!#REF!,list_cofunders[list cofunders],0),1)="yes",Budget!#REF!,""),""),"")</f>
        <v/>
      </c>
      <c r="Y85" s="208" t="str">
        <f>IF(ROW(E1725)-ROW($E$1651)&lt;ROWS(incash[]),IFERROR(IF(INDEX(list_cofunders[private?],MATCH(Budget!#REF!,list_cofunders[list cofunders],0),1)="yes",Budget!#REF!,""),""),"")</f>
        <v/>
      </c>
      <c r="Z85" s="205" t="str">
        <f>IFERROR(INDEX(Personnel[FTE],X85),"")</f>
        <v/>
      </c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7"/>
      <c r="DA85" s="27"/>
      <c r="DB85" s="27"/>
      <c r="DC85" s="27"/>
      <c r="DD85" s="27"/>
      <c r="DE85" s="27"/>
      <c r="DF85" s="27"/>
      <c r="DG85" s="27"/>
      <c r="DH85" s="27"/>
    </row>
    <row r="86" spans="2:112" s="26" customFormat="1" ht="11.25" customHeight="1" outlineLevel="1" x14ac:dyDescent="0.35">
      <c r="B86" s="132" t="str">
        <f ca="1">IF(IFERROR(MATCH("*Other*",OFFSET(Budget!$A$20,B85,0,ROWS(Personnel[]),1),0)+B85,999)&lt;ROWS(Personnel[]),IFERROR(MATCH("*Other*",OFFSET(Budget!$A$20,B85,0,ROWS(Personnel[]),1),0)+B85,999),"")</f>
        <v/>
      </c>
      <c r="C86" s="115" t="str">
        <f ca="1">IFERROR(INDEX(Personnel[Amount],B86),"")</f>
        <v/>
      </c>
      <c r="D86" s="29"/>
      <c r="E86" s="132" t="str">
        <f ca="1">IF(MIN(IFERROR(MATCH("*PostDoc*",OFFSET(Budget!$A$20,E85,0,ROWS(Personnel[]),1),0)+E85,999),IFERROR(MATCH("*PhD*",OFFSET(Budget!$A$20,E85,0,ROWS(Personnel[]),1),0)+E85,999),IFERROR(MATCH("*PDEng*",OFFSET(Budget!$A$20,E85,0,ROWS(Personnel[]),1),0)+E85,999))&lt;ROWS(Personnel[]),MIN(IFERROR(MATCH("*PostDoc*",OFFSET(Budget!$A$20,E85,0,ROWS(Personnel[]),1),0)+E85,999),IFERROR(MATCH("*PhD*",OFFSET(Budget!$A$20,E85,0,ROWS(Personnel[]),1),0)+E85,999),IFERROR(MATCH("*PDEng*",OFFSET(Budget!$A$20,E85,0,ROWS(Personnel[]),1),0)+E85,999)),"")</f>
        <v/>
      </c>
      <c r="F86" s="119" t="str">
        <f ca="1">IFERROR(INDEX(Personnel[FTE],E86)*INDEX(Personnel[Months],E86)/12,"")</f>
        <v/>
      </c>
      <c r="G86" s="140"/>
      <c r="H86" s="142" t="e">
        <f ca="1">IF(IFERROR(MATCH("*researcher*",OFFSET(Budget!#REF!,H85,0,ROWS(#REF!),1),0)+H85,999)&lt;ROWS(#REF!),IFERROR(MATCH("*researcher*",OFFSET(Budget!#REF!,H85,0,ROWS(#REF!),1),0)+H85,999),"")</f>
        <v>#REF!</v>
      </c>
      <c r="I86" s="146" t="str">
        <f ca="1">IF(ISERROR(IF(AND(INDEX(#REF!,H86)&gt;=pers_oi_min_months,INDEX(#REF!,H86)/INDEX(#REF!,H86)*12/pers_other_nrhours_year&gt;=pers_oi_minFTE)=TRUE,INDEX(#REF!,H86)/12,0)),"",IF(AND(INDEX(#REF!,H86)&gt;=pers_oi_min_months,INDEX(#REF!,H86)/INDEX(#REF!,H86)*12/pers_other_nrhours_year&gt;=pers_oi_minFTE)=TRUE,INDEX(#REF!,H86)/12,""))</f>
        <v/>
      </c>
      <c r="J86" s="140"/>
      <c r="K86" s="132" t="str">
        <f ca="1">IF(IFERROR(MATCH("*Non-scientific*",OFFSET(Budget!$A$20,K85,0,ROWS(Personnel[]),1),0)+K85,999)&lt;ROWS(Personnel[]),IFERROR(MATCH("*Non-scientific*",OFFSET(Budget!$A$20,K85,0,ROWS(Personnel[]),1),0)+K85,999),"")</f>
        <v/>
      </c>
      <c r="L86" s="115" t="str">
        <f ca="1">IFERROR(INDEX(Personnel[Amount],K86),"")</f>
        <v/>
      </c>
      <c r="M86" s="195"/>
      <c r="N86" s="132" t="str">
        <f ca="1">IF(IFERROR(MATCH("*leave*",OFFSET(Budget!$A$20,N85,0,ROWS(Personnel[]),1),0)+N85,999)&lt;ROWS(Personnel[]),IFERROR(MATCH("*leave*",OFFSET(Budget!$A$20,N85,0,ROWS(Personnel[]),1),0)+N85,999),"")</f>
        <v/>
      </c>
      <c r="O86" s="137" t="str">
        <f ca="1">IFERROR(INDEX(Personnel[Months],N86)*INDEX(Personnel[FTE],N86),"")</f>
        <v/>
      </c>
      <c r="P86" s="195"/>
      <c r="Q86" s="132" t="str">
        <f ca="1">IF(MIN(IFERROR(MATCH("*PostDoc*",OFFSET(Budget!$A$20,Q85,0,ROWS(Personnel[])-Q85,1),0)+Q85,999),IFERROR(MATCH("*PhD*",OFFSET(Budget!$A$20,Q85,0,ROWS(Personnel[])-Q85,1),0)+Q85,999),IFERROR(MATCH("*PDEng*",OFFSET(Budget!$A$20,Q85,0,ROWS(Personnel[])-Q85,1),0)+Q85,999),IFERROR(MATCH("*Doctorate*",OFFSET(Budget!$A$20,Q85,0,ROWS(Personnel[])-Q85,1),0)+Q85,999))&lt;ROWS(Personnel[]),MIN(IFERROR(MATCH("*PostDoc*",OFFSET(Budget!$A$20,Q85,0,ROWS(Personnel[])-Q85,1),0)+Q85,999),IFERROR(MATCH("*PhD*",OFFSET(Budget!$A$20,Q85,0,ROWS(Personnel[])-Q85,1),0)+Q85,999),IFERROR(MATCH("*PDEng*",OFFSET(Budget!$A$20,Q85,0,ROWS(Personnel[])-Q85,1),0)+Q85,999),IFERROR(MATCH("*Doctorate*",OFFSET(Budget!$A$20,Q85,0,ROWS(Personnel[])-Q85,1),0)+Q85,999)),"")</f>
        <v/>
      </c>
      <c r="R86" s="205" t="str">
        <f ca="1">IFERROR(INDEX(Personnel[Category],Q86),"")</f>
        <v/>
      </c>
      <c r="S86" s="205" t="str">
        <f ca="1">IFERROR(INDEX(Personnel[FTE],Q86),"")</f>
        <v/>
      </c>
      <c r="T86" s="205" t="str">
        <f ca="1">IFERROR(INDEX(Personnel[Months],Q86),"")</f>
        <v/>
      </c>
      <c r="U86" s="205" t="str">
        <f ca="1">SUBSTITUTE(IFERROR(INDEX(Personnel[Organisation type],Q86),""),0,"")</f>
        <v/>
      </c>
      <c r="V86" s="206" t="str">
        <f ca="1">SUBSTITUTE(IFERROR(INDEX(Personnel[Name organisation],Q86),""),0,"")</f>
        <v/>
      </c>
      <c r="W86" s="195"/>
      <c r="X86" s="207" t="str">
        <f>IF(ROW(E1623)-ROW($E$1548)&lt;ROWS(inkind[]),IFERROR(IF(INDEX(list_cofunders[private?],MATCH(Budget!#REF!,list_cofunders[list cofunders],0),1)="yes",Budget!#REF!,""),""),"")</f>
        <v/>
      </c>
      <c r="Y86" s="208" t="str">
        <f>IF(ROW(E1726)-ROW($E$1651)&lt;ROWS(incash[]),IFERROR(IF(INDEX(list_cofunders[private?],MATCH(Budget!#REF!,list_cofunders[list cofunders],0),1)="yes",Budget!#REF!,""),""),"")</f>
        <v/>
      </c>
      <c r="Z86" s="205" t="str">
        <f>IFERROR(INDEX(Personnel[FTE],X86),"")</f>
        <v/>
      </c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7"/>
      <c r="DA86" s="27"/>
      <c r="DB86" s="27"/>
      <c r="DC86" s="27"/>
      <c r="DD86" s="27"/>
      <c r="DE86" s="27"/>
      <c r="DF86" s="27"/>
      <c r="DG86" s="27"/>
      <c r="DH86" s="27"/>
    </row>
    <row r="87" spans="2:112" s="26" customFormat="1" ht="11.25" customHeight="1" outlineLevel="1" x14ac:dyDescent="0.35">
      <c r="B87" s="132" t="str">
        <f ca="1">IF(IFERROR(MATCH("*Other*",OFFSET(Budget!$A$20,B86,0,ROWS(Personnel[]),1),0)+B86,999)&lt;ROWS(Personnel[]),IFERROR(MATCH("*Other*",OFFSET(Budget!$A$20,B86,0,ROWS(Personnel[]),1),0)+B86,999),"")</f>
        <v/>
      </c>
      <c r="C87" s="115" t="str">
        <f ca="1">IFERROR(INDEX(Personnel[Amount],B87),"")</f>
        <v/>
      </c>
      <c r="D87" s="29"/>
      <c r="E87" s="132" t="str">
        <f ca="1">IF(MIN(IFERROR(MATCH("*PostDoc*",OFFSET(Budget!$A$20,E86,0,ROWS(Personnel[]),1),0)+E86,999),IFERROR(MATCH("*PhD*",OFFSET(Budget!$A$20,E86,0,ROWS(Personnel[]),1),0)+E86,999),IFERROR(MATCH("*PDEng*",OFFSET(Budget!$A$20,E86,0,ROWS(Personnel[]),1),0)+E86,999))&lt;ROWS(Personnel[]),MIN(IFERROR(MATCH("*PostDoc*",OFFSET(Budget!$A$20,E86,0,ROWS(Personnel[]),1),0)+E86,999),IFERROR(MATCH("*PhD*",OFFSET(Budget!$A$20,E86,0,ROWS(Personnel[]),1),0)+E86,999),IFERROR(MATCH("*PDEng*",OFFSET(Budget!$A$20,E86,0,ROWS(Personnel[]),1),0)+E86,999)),"")</f>
        <v/>
      </c>
      <c r="F87" s="119" t="str">
        <f ca="1">IFERROR(INDEX(Personnel[FTE],E87)*INDEX(Personnel[Months],E87)/12,"")</f>
        <v/>
      </c>
      <c r="G87" s="140"/>
      <c r="H87" s="142" t="e">
        <f ca="1">IF(IFERROR(MATCH("*researcher*",OFFSET(Budget!#REF!,H86,0,ROWS(#REF!),1),0)+H86,999)&lt;ROWS(#REF!),IFERROR(MATCH("*researcher*",OFFSET(Budget!#REF!,H86,0,ROWS(#REF!),1),0)+H86,999),"")</f>
        <v>#REF!</v>
      </c>
      <c r="I87" s="146" t="str">
        <f ca="1">IF(ISERROR(IF(AND(INDEX(#REF!,H87)&gt;=pers_oi_min_months,INDEX(#REF!,H87)/INDEX(#REF!,H87)*12/pers_other_nrhours_year&gt;=pers_oi_minFTE)=TRUE,INDEX(#REF!,H87)/12,0)),"",IF(AND(INDEX(#REF!,H87)&gt;=pers_oi_min_months,INDEX(#REF!,H87)/INDEX(#REF!,H87)*12/pers_other_nrhours_year&gt;=pers_oi_minFTE)=TRUE,INDEX(#REF!,H87)/12,""))</f>
        <v/>
      </c>
      <c r="J87" s="140"/>
      <c r="K87" s="132" t="str">
        <f ca="1">IF(IFERROR(MATCH("*Non-scientific*",OFFSET(Budget!$A$20,K86,0,ROWS(Personnel[]),1),0)+K86,999)&lt;ROWS(Personnel[]),IFERROR(MATCH("*Non-scientific*",OFFSET(Budget!$A$20,K86,0,ROWS(Personnel[]),1),0)+K86,999),"")</f>
        <v/>
      </c>
      <c r="L87" s="115" t="str">
        <f ca="1">IFERROR(INDEX(Personnel[Amount],K87),"")</f>
        <v/>
      </c>
      <c r="M87" s="195"/>
      <c r="N87" s="132" t="str">
        <f ca="1">IF(IFERROR(MATCH("*leave*",OFFSET(Budget!$A$20,N86,0,ROWS(Personnel[]),1),0)+N86,999)&lt;ROWS(Personnel[]),IFERROR(MATCH("*leave*",OFFSET(Budget!$A$20,N86,0,ROWS(Personnel[]),1),0)+N86,999),"")</f>
        <v/>
      </c>
      <c r="O87" s="137" t="str">
        <f ca="1">IFERROR(INDEX(Personnel[Months],N87)*INDEX(Personnel[FTE],N87),"")</f>
        <v/>
      </c>
      <c r="P87" s="195"/>
      <c r="Q87" s="132" t="str">
        <f ca="1">IF(MIN(IFERROR(MATCH("*PostDoc*",OFFSET(Budget!$A$20,Q86,0,ROWS(Personnel[])-Q86,1),0)+Q86,999),IFERROR(MATCH("*PhD*",OFFSET(Budget!$A$20,Q86,0,ROWS(Personnel[])-Q86,1),0)+Q86,999),IFERROR(MATCH("*PDEng*",OFFSET(Budget!$A$20,Q86,0,ROWS(Personnel[])-Q86,1),0)+Q86,999),IFERROR(MATCH("*Doctorate*",OFFSET(Budget!$A$20,Q86,0,ROWS(Personnel[])-Q86,1),0)+Q86,999))&lt;ROWS(Personnel[]),MIN(IFERROR(MATCH("*PostDoc*",OFFSET(Budget!$A$20,Q86,0,ROWS(Personnel[])-Q86,1),0)+Q86,999),IFERROR(MATCH("*PhD*",OFFSET(Budget!$A$20,Q86,0,ROWS(Personnel[])-Q86,1),0)+Q86,999),IFERROR(MATCH("*PDEng*",OFFSET(Budget!$A$20,Q86,0,ROWS(Personnel[])-Q86,1),0)+Q86,999),IFERROR(MATCH("*Doctorate*",OFFSET(Budget!$A$20,Q86,0,ROWS(Personnel[])-Q86,1),0)+Q86,999)),"")</f>
        <v/>
      </c>
      <c r="R87" s="205" t="str">
        <f ca="1">IFERROR(INDEX(Personnel[Category],Q87),"")</f>
        <v/>
      </c>
      <c r="S87" s="205" t="str">
        <f ca="1">IFERROR(INDEX(Personnel[FTE],Q87),"")</f>
        <v/>
      </c>
      <c r="T87" s="205" t="str">
        <f ca="1">IFERROR(INDEX(Personnel[Months],Q87),"")</f>
        <v/>
      </c>
      <c r="U87" s="205" t="str">
        <f ca="1">SUBSTITUTE(IFERROR(INDEX(Personnel[Organisation type],Q87),""),0,"")</f>
        <v/>
      </c>
      <c r="V87" s="206" t="str">
        <f ca="1">SUBSTITUTE(IFERROR(INDEX(Personnel[Name organisation],Q87),""),0,"")</f>
        <v/>
      </c>
      <c r="W87" s="195"/>
      <c r="X87" s="207" t="str">
        <f>IF(ROW(E1624)-ROW($E$1548)&lt;ROWS(inkind[]),IFERROR(IF(INDEX(list_cofunders[private?],MATCH(Budget!#REF!,list_cofunders[list cofunders],0),1)="yes",Budget!#REF!,""),""),"")</f>
        <v/>
      </c>
      <c r="Y87" s="208" t="str">
        <f>IF(ROW(E1727)-ROW($E$1651)&lt;ROWS(incash[]),IFERROR(IF(INDEX(list_cofunders[private?],MATCH(Budget!#REF!,list_cofunders[list cofunders],0),1)="yes",Budget!#REF!,""),""),"")</f>
        <v/>
      </c>
      <c r="Z87" s="205" t="str">
        <f>IFERROR(INDEX(Personnel[FTE],X87),"")</f>
        <v/>
      </c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7"/>
      <c r="DA87" s="27"/>
      <c r="DB87" s="27"/>
      <c r="DC87" s="27"/>
      <c r="DD87" s="27"/>
      <c r="DE87" s="27"/>
      <c r="DF87" s="27"/>
      <c r="DG87" s="27"/>
      <c r="DH87" s="27"/>
    </row>
    <row r="88" spans="2:112" s="26" customFormat="1" ht="11.25" customHeight="1" outlineLevel="1" x14ac:dyDescent="0.35">
      <c r="B88" s="132" t="str">
        <f ca="1">IF(IFERROR(MATCH("*Other*",OFFSET(Budget!$A$20,B87,0,ROWS(Personnel[]),1),0)+B87,999)&lt;ROWS(Personnel[]),IFERROR(MATCH("*Other*",OFFSET(Budget!$A$20,B87,0,ROWS(Personnel[]),1),0)+B87,999),"")</f>
        <v/>
      </c>
      <c r="C88" s="115" t="str">
        <f ca="1">IFERROR(INDEX(Personnel[Amount],B88),"")</f>
        <v/>
      </c>
      <c r="D88" s="29"/>
      <c r="E88" s="132" t="str">
        <f ca="1">IF(MIN(IFERROR(MATCH("*PostDoc*",OFFSET(Budget!$A$20,E87,0,ROWS(Personnel[]),1),0)+E87,999),IFERROR(MATCH("*PhD*",OFFSET(Budget!$A$20,E87,0,ROWS(Personnel[]),1),0)+E87,999),IFERROR(MATCH("*PDEng*",OFFSET(Budget!$A$20,E87,0,ROWS(Personnel[]),1),0)+E87,999))&lt;ROWS(Personnel[]),MIN(IFERROR(MATCH("*PostDoc*",OFFSET(Budget!$A$20,E87,0,ROWS(Personnel[]),1),0)+E87,999),IFERROR(MATCH("*PhD*",OFFSET(Budget!$A$20,E87,0,ROWS(Personnel[]),1),0)+E87,999),IFERROR(MATCH("*PDEng*",OFFSET(Budget!$A$20,E87,0,ROWS(Personnel[]),1),0)+E87,999)),"")</f>
        <v/>
      </c>
      <c r="F88" s="119" t="str">
        <f ca="1">IFERROR(INDEX(Personnel[FTE],E88)*INDEX(Personnel[Months],E88)/12,"")</f>
        <v/>
      </c>
      <c r="G88" s="140"/>
      <c r="H88" s="142" t="e">
        <f ca="1">IF(IFERROR(MATCH("*researcher*",OFFSET(Budget!#REF!,H87,0,ROWS(#REF!),1),0)+H87,999)&lt;ROWS(#REF!),IFERROR(MATCH("*researcher*",OFFSET(Budget!#REF!,H87,0,ROWS(#REF!),1),0)+H87,999),"")</f>
        <v>#REF!</v>
      </c>
      <c r="I88" s="146" t="str">
        <f ca="1">IF(ISERROR(IF(AND(INDEX(#REF!,H88)&gt;=pers_oi_min_months,INDEX(#REF!,H88)/INDEX(#REF!,H88)*12/pers_other_nrhours_year&gt;=pers_oi_minFTE)=TRUE,INDEX(#REF!,H88)/12,0)),"",IF(AND(INDEX(#REF!,H88)&gt;=pers_oi_min_months,INDEX(#REF!,H88)/INDEX(#REF!,H88)*12/pers_other_nrhours_year&gt;=pers_oi_minFTE)=TRUE,INDEX(#REF!,H88)/12,""))</f>
        <v/>
      </c>
      <c r="J88" s="140"/>
      <c r="K88" s="132" t="str">
        <f ca="1">IF(IFERROR(MATCH("*Non-scientific*",OFFSET(Budget!$A$20,K87,0,ROWS(Personnel[]),1),0)+K87,999)&lt;ROWS(Personnel[]),IFERROR(MATCH("*Non-scientific*",OFFSET(Budget!$A$20,K87,0,ROWS(Personnel[]),1),0)+K87,999),"")</f>
        <v/>
      </c>
      <c r="L88" s="115" t="str">
        <f ca="1">IFERROR(INDEX(Personnel[Amount],K88),"")</f>
        <v/>
      </c>
      <c r="M88" s="195"/>
      <c r="N88" s="132" t="str">
        <f ca="1">IF(IFERROR(MATCH("*leave*",OFFSET(Budget!$A$20,N87,0,ROWS(Personnel[]),1),0)+N87,999)&lt;ROWS(Personnel[]),IFERROR(MATCH("*leave*",OFFSET(Budget!$A$20,N87,0,ROWS(Personnel[]),1),0)+N87,999),"")</f>
        <v/>
      </c>
      <c r="O88" s="137" t="str">
        <f ca="1">IFERROR(INDEX(Personnel[Months],N88)*INDEX(Personnel[FTE],N88),"")</f>
        <v/>
      </c>
      <c r="P88" s="195"/>
      <c r="Q88" s="132" t="str">
        <f ca="1">IF(MIN(IFERROR(MATCH("*PostDoc*",OFFSET(Budget!$A$20,Q87,0,ROWS(Personnel[])-Q87,1),0)+Q87,999),IFERROR(MATCH("*PhD*",OFFSET(Budget!$A$20,Q87,0,ROWS(Personnel[])-Q87,1),0)+Q87,999),IFERROR(MATCH("*PDEng*",OFFSET(Budget!$A$20,Q87,0,ROWS(Personnel[])-Q87,1),0)+Q87,999),IFERROR(MATCH("*Doctorate*",OFFSET(Budget!$A$20,Q87,0,ROWS(Personnel[])-Q87,1),0)+Q87,999))&lt;ROWS(Personnel[]),MIN(IFERROR(MATCH("*PostDoc*",OFFSET(Budget!$A$20,Q87,0,ROWS(Personnel[])-Q87,1),0)+Q87,999),IFERROR(MATCH("*PhD*",OFFSET(Budget!$A$20,Q87,0,ROWS(Personnel[])-Q87,1),0)+Q87,999),IFERROR(MATCH("*PDEng*",OFFSET(Budget!$A$20,Q87,0,ROWS(Personnel[])-Q87,1),0)+Q87,999),IFERROR(MATCH("*Doctorate*",OFFSET(Budget!$A$20,Q87,0,ROWS(Personnel[])-Q87,1),0)+Q87,999)),"")</f>
        <v/>
      </c>
      <c r="R88" s="205" t="str">
        <f ca="1">IFERROR(INDEX(Personnel[Category],Q88),"")</f>
        <v/>
      </c>
      <c r="S88" s="205" t="str">
        <f ca="1">IFERROR(INDEX(Personnel[FTE],Q88),"")</f>
        <v/>
      </c>
      <c r="T88" s="205" t="str">
        <f ca="1">IFERROR(INDEX(Personnel[Months],Q88),"")</f>
        <v/>
      </c>
      <c r="U88" s="205" t="str">
        <f ca="1">SUBSTITUTE(IFERROR(INDEX(Personnel[Organisation type],Q88),""),0,"")</f>
        <v/>
      </c>
      <c r="V88" s="206" t="str">
        <f ca="1">SUBSTITUTE(IFERROR(INDEX(Personnel[Name organisation],Q88),""),0,"")</f>
        <v/>
      </c>
      <c r="W88" s="195"/>
      <c r="X88" s="207" t="str">
        <f>IF(ROW(E1625)-ROW($E$1548)&lt;ROWS(inkind[]),IFERROR(IF(INDEX(list_cofunders[private?],MATCH(Budget!#REF!,list_cofunders[list cofunders],0),1)="yes",Budget!#REF!,""),""),"")</f>
        <v/>
      </c>
      <c r="Y88" s="208" t="str">
        <f>IF(ROW(E1728)-ROW($E$1651)&lt;ROWS(incash[]),IFERROR(IF(INDEX(list_cofunders[private?],MATCH(Budget!#REF!,list_cofunders[list cofunders],0),1)="yes",Budget!#REF!,""),""),"")</f>
        <v/>
      </c>
      <c r="Z88" s="205" t="str">
        <f>IFERROR(INDEX(Personnel[FTE],X88),"")</f>
        <v/>
      </c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7"/>
      <c r="DA88" s="27"/>
      <c r="DB88" s="27"/>
      <c r="DC88" s="27"/>
      <c r="DD88" s="27"/>
      <c r="DE88" s="27"/>
      <c r="DF88" s="27"/>
      <c r="DG88" s="27"/>
      <c r="DH88" s="27"/>
    </row>
    <row r="89" spans="2:112" s="26" customFormat="1" ht="11.25" customHeight="1" outlineLevel="1" x14ac:dyDescent="0.35">
      <c r="B89" s="132" t="str">
        <f ca="1">IF(IFERROR(MATCH("*Other*",OFFSET(Budget!$A$20,B88,0,ROWS(Personnel[]),1),0)+B88,999)&lt;ROWS(Personnel[]),IFERROR(MATCH("*Other*",OFFSET(Budget!$A$20,B88,0,ROWS(Personnel[]),1),0)+B88,999),"")</f>
        <v/>
      </c>
      <c r="C89" s="115" t="str">
        <f ca="1">IFERROR(INDEX(Personnel[Amount],B89),"")</f>
        <v/>
      </c>
      <c r="D89" s="29"/>
      <c r="E89" s="132" t="str">
        <f ca="1">IF(MIN(IFERROR(MATCH("*PostDoc*",OFFSET(Budget!$A$20,E88,0,ROWS(Personnel[]),1),0)+E88,999),IFERROR(MATCH("*PhD*",OFFSET(Budget!$A$20,E88,0,ROWS(Personnel[]),1),0)+E88,999),IFERROR(MATCH("*PDEng*",OFFSET(Budget!$A$20,E88,0,ROWS(Personnel[]),1),0)+E88,999))&lt;ROWS(Personnel[]),MIN(IFERROR(MATCH("*PostDoc*",OFFSET(Budget!$A$20,E88,0,ROWS(Personnel[]),1),0)+E88,999),IFERROR(MATCH("*PhD*",OFFSET(Budget!$A$20,E88,0,ROWS(Personnel[]),1),0)+E88,999),IFERROR(MATCH("*PDEng*",OFFSET(Budget!$A$20,E88,0,ROWS(Personnel[]),1),0)+E88,999)),"")</f>
        <v/>
      </c>
      <c r="F89" s="119" t="str">
        <f ca="1">IFERROR(INDEX(Personnel[FTE],E89)*INDEX(Personnel[Months],E89)/12,"")</f>
        <v/>
      </c>
      <c r="G89" s="140"/>
      <c r="H89" s="142" t="e">
        <f ca="1">IF(IFERROR(MATCH("*researcher*",OFFSET(Budget!#REF!,H88,0,ROWS(#REF!),1),0)+H88,999)&lt;ROWS(#REF!),IFERROR(MATCH("*researcher*",OFFSET(Budget!#REF!,H88,0,ROWS(#REF!),1),0)+H88,999),"")</f>
        <v>#REF!</v>
      </c>
      <c r="I89" s="146" t="str">
        <f ca="1">IF(ISERROR(IF(AND(INDEX(#REF!,H89)&gt;=pers_oi_min_months,INDEX(#REF!,H89)/INDEX(#REF!,H89)*12/pers_other_nrhours_year&gt;=pers_oi_minFTE)=TRUE,INDEX(#REF!,H89)/12,0)),"",IF(AND(INDEX(#REF!,H89)&gt;=pers_oi_min_months,INDEX(#REF!,H89)/INDEX(#REF!,H89)*12/pers_other_nrhours_year&gt;=pers_oi_minFTE)=TRUE,INDEX(#REF!,H89)/12,""))</f>
        <v/>
      </c>
      <c r="J89" s="140"/>
      <c r="K89" s="132" t="str">
        <f ca="1">IF(IFERROR(MATCH("*Non-scientific*",OFFSET(Budget!$A$20,K88,0,ROWS(Personnel[]),1),0)+K88,999)&lt;ROWS(Personnel[]),IFERROR(MATCH("*Non-scientific*",OFFSET(Budget!$A$20,K88,0,ROWS(Personnel[]),1),0)+K88,999),"")</f>
        <v/>
      </c>
      <c r="L89" s="115" t="str">
        <f ca="1">IFERROR(INDEX(Personnel[Amount],K89),"")</f>
        <v/>
      </c>
      <c r="M89" s="195"/>
      <c r="N89" s="132" t="str">
        <f ca="1">IF(IFERROR(MATCH("*leave*",OFFSET(Budget!$A$20,N88,0,ROWS(Personnel[]),1),0)+N88,999)&lt;ROWS(Personnel[]),IFERROR(MATCH("*leave*",OFFSET(Budget!$A$20,N88,0,ROWS(Personnel[]),1),0)+N88,999),"")</f>
        <v/>
      </c>
      <c r="O89" s="137" t="str">
        <f ca="1">IFERROR(INDEX(Personnel[Months],N89)*INDEX(Personnel[FTE],N89),"")</f>
        <v/>
      </c>
      <c r="P89" s="195"/>
      <c r="Q89" s="132" t="str">
        <f ca="1">IF(MIN(IFERROR(MATCH("*PostDoc*",OFFSET(Budget!$A$20,Q88,0,ROWS(Personnel[])-Q88,1),0)+Q88,999),IFERROR(MATCH("*PhD*",OFFSET(Budget!$A$20,Q88,0,ROWS(Personnel[])-Q88,1),0)+Q88,999),IFERROR(MATCH("*PDEng*",OFFSET(Budget!$A$20,Q88,0,ROWS(Personnel[])-Q88,1),0)+Q88,999),IFERROR(MATCH("*Doctorate*",OFFSET(Budget!$A$20,Q88,0,ROWS(Personnel[])-Q88,1),0)+Q88,999))&lt;ROWS(Personnel[]),MIN(IFERROR(MATCH("*PostDoc*",OFFSET(Budget!$A$20,Q88,0,ROWS(Personnel[])-Q88,1),0)+Q88,999),IFERROR(MATCH("*PhD*",OFFSET(Budget!$A$20,Q88,0,ROWS(Personnel[])-Q88,1),0)+Q88,999),IFERROR(MATCH("*PDEng*",OFFSET(Budget!$A$20,Q88,0,ROWS(Personnel[])-Q88,1),0)+Q88,999),IFERROR(MATCH("*Doctorate*",OFFSET(Budget!$A$20,Q88,0,ROWS(Personnel[])-Q88,1),0)+Q88,999)),"")</f>
        <v/>
      </c>
      <c r="R89" s="205" t="str">
        <f ca="1">IFERROR(INDEX(Personnel[Category],Q89),"")</f>
        <v/>
      </c>
      <c r="S89" s="205" t="str">
        <f ca="1">IFERROR(INDEX(Personnel[FTE],Q89),"")</f>
        <v/>
      </c>
      <c r="T89" s="205" t="str">
        <f ca="1">IFERROR(INDEX(Personnel[Months],Q89),"")</f>
        <v/>
      </c>
      <c r="U89" s="205" t="str">
        <f ca="1">SUBSTITUTE(IFERROR(INDEX(Personnel[Organisation type],Q89),""),0,"")</f>
        <v/>
      </c>
      <c r="V89" s="206" t="str">
        <f ca="1">SUBSTITUTE(IFERROR(INDEX(Personnel[Name organisation],Q89),""),0,"")</f>
        <v/>
      </c>
      <c r="W89" s="195"/>
      <c r="X89" s="207" t="str">
        <f>IF(ROW(E1626)-ROW($E$1548)&lt;ROWS(inkind[]),IFERROR(IF(INDEX(list_cofunders[private?],MATCH(Budget!#REF!,list_cofunders[list cofunders],0),1)="yes",Budget!#REF!,""),""),"")</f>
        <v/>
      </c>
      <c r="Y89" s="208" t="str">
        <f>IF(ROW(E1729)-ROW($E$1651)&lt;ROWS(incash[]),IFERROR(IF(INDEX(list_cofunders[private?],MATCH(Budget!#REF!,list_cofunders[list cofunders],0),1)="yes",Budget!#REF!,""),""),"")</f>
        <v/>
      </c>
      <c r="Z89" s="205" t="str">
        <f>IFERROR(INDEX(Personnel[FTE],X89),"")</f>
        <v/>
      </c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7"/>
      <c r="DA89" s="27"/>
      <c r="DB89" s="27"/>
      <c r="DC89" s="27"/>
      <c r="DD89" s="27"/>
      <c r="DE89" s="27"/>
      <c r="DF89" s="27"/>
      <c r="DG89" s="27"/>
      <c r="DH89" s="27"/>
    </row>
    <row r="90" spans="2:112" s="26" customFormat="1" ht="11.25" customHeight="1" outlineLevel="1" x14ac:dyDescent="0.35">
      <c r="B90" s="132" t="str">
        <f ca="1">IF(IFERROR(MATCH("*Other*",OFFSET(Budget!$A$20,B89,0,ROWS(Personnel[]),1),0)+B89,999)&lt;ROWS(Personnel[]),IFERROR(MATCH("*Other*",OFFSET(Budget!$A$20,B89,0,ROWS(Personnel[]),1),0)+B89,999),"")</f>
        <v/>
      </c>
      <c r="C90" s="115" t="str">
        <f ca="1">IFERROR(INDEX(Personnel[Amount],B90),"")</f>
        <v/>
      </c>
      <c r="D90" s="29"/>
      <c r="E90" s="132" t="str">
        <f ca="1">IF(MIN(IFERROR(MATCH("*PostDoc*",OFFSET(Budget!$A$20,E89,0,ROWS(Personnel[]),1),0)+E89,999),IFERROR(MATCH("*PhD*",OFFSET(Budget!$A$20,E89,0,ROWS(Personnel[]),1),0)+E89,999),IFERROR(MATCH("*PDEng*",OFFSET(Budget!$A$20,E89,0,ROWS(Personnel[]),1),0)+E89,999))&lt;ROWS(Personnel[]),MIN(IFERROR(MATCH("*PostDoc*",OFFSET(Budget!$A$20,E89,0,ROWS(Personnel[]),1),0)+E89,999),IFERROR(MATCH("*PhD*",OFFSET(Budget!$A$20,E89,0,ROWS(Personnel[]),1),0)+E89,999),IFERROR(MATCH("*PDEng*",OFFSET(Budget!$A$20,E89,0,ROWS(Personnel[]),1),0)+E89,999)),"")</f>
        <v/>
      </c>
      <c r="F90" s="119" t="str">
        <f ca="1">IFERROR(INDEX(Personnel[FTE],E90)*INDEX(Personnel[Months],E90)/12,"")</f>
        <v/>
      </c>
      <c r="G90" s="140"/>
      <c r="H90" s="142" t="e">
        <f ca="1">IF(IFERROR(MATCH("*researcher*",OFFSET(Budget!#REF!,H89,0,ROWS(#REF!),1),0)+H89,999)&lt;ROWS(#REF!),IFERROR(MATCH("*researcher*",OFFSET(Budget!#REF!,H89,0,ROWS(#REF!),1),0)+H89,999),"")</f>
        <v>#REF!</v>
      </c>
      <c r="I90" s="146" t="str">
        <f ca="1">IF(ISERROR(IF(AND(INDEX(#REF!,H90)&gt;=pers_oi_min_months,INDEX(#REF!,H90)/INDEX(#REF!,H90)*12/pers_other_nrhours_year&gt;=pers_oi_minFTE)=TRUE,INDEX(#REF!,H90)/12,0)),"",IF(AND(INDEX(#REF!,H90)&gt;=pers_oi_min_months,INDEX(#REF!,H90)/INDEX(#REF!,H90)*12/pers_other_nrhours_year&gt;=pers_oi_minFTE)=TRUE,INDEX(#REF!,H90)/12,""))</f>
        <v/>
      </c>
      <c r="J90" s="140"/>
      <c r="K90" s="132" t="str">
        <f ca="1">IF(IFERROR(MATCH("*Non-scientific*",OFFSET(Budget!$A$20,K89,0,ROWS(Personnel[]),1),0)+K89,999)&lt;ROWS(Personnel[]),IFERROR(MATCH("*Non-scientific*",OFFSET(Budget!$A$20,K89,0,ROWS(Personnel[]),1),0)+K89,999),"")</f>
        <v/>
      </c>
      <c r="L90" s="115" t="str">
        <f ca="1">IFERROR(INDEX(Personnel[Amount],K90),"")</f>
        <v/>
      </c>
      <c r="M90" s="195"/>
      <c r="N90" s="132" t="str">
        <f ca="1">IF(IFERROR(MATCH("*leave*",OFFSET(Budget!$A$20,N89,0,ROWS(Personnel[]),1),0)+N89,999)&lt;ROWS(Personnel[]),IFERROR(MATCH("*leave*",OFFSET(Budget!$A$20,N89,0,ROWS(Personnel[]),1),0)+N89,999),"")</f>
        <v/>
      </c>
      <c r="O90" s="137" t="str">
        <f ca="1">IFERROR(INDEX(Personnel[Months],N90)*INDEX(Personnel[FTE],N90),"")</f>
        <v/>
      </c>
      <c r="P90" s="195"/>
      <c r="Q90" s="132" t="str">
        <f ca="1">IF(MIN(IFERROR(MATCH("*PostDoc*",OFFSET(Budget!$A$20,Q89,0,ROWS(Personnel[])-Q89,1),0)+Q89,999),IFERROR(MATCH("*PhD*",OFFSET(Budget!$A$20,Q89,0,ROWS(Personnel[])-Q89,1),0)+Q89,999),IFERROR(MATCH("*PDEng*",OFFSET(Budget!$A$20,Q89,0,ROWS(Personnel[])-Q89,1),0)+Q89,999),IFERROR(MATCH("*Doctorate*",OFFSET(Budget!$A$20,Q89,0,ROWS(Personnel[])-Q89,1),0)+Q89,999))&lt;ROWS(Personnel[]),MIN(IFERROR(MATCH("*PostDoc*",OFFSET(Budget!$A$20,Q89,0,ROWS(Personnel[])-Q89,1),0)+Q89,999),IFERROR(MATCH("*PhD*",OFFSET(Budget!$A$20,Q89,0,ROWS(Personnel[])-Q89,1),0)+Q89,999),IFERROR(MATCH("*PDEng*",OFFSET(Budget!$A$20,Q89,0,ROWS(Personnel[])-Q89,1),0)+Q89,999),IFERROR(MATCH("*Doctorate*",OFFSET(Budget!$A$20,Q89,0,ROWS(Personnel[])-Q89,1),0)+Q89,999)),"")</f>
        <v/>
      </c>
      <c r="R90" s="205" t="str">
        <f ca="1">IFERROR(INDEX(Personnel[Category],Q90),"")</f>
        <v/>
      </c>
      <c r="S90" s="205" t="str">
        <f ca="1">IFERROR(INDEX(Personnel[FTE],Q90),"")</f>
        <v/>
      </c>
      <c r="T90" s="205" t="str">
        <f ca="1">IFERROR(INDEX(Personnel[Months],Q90),"")</f>
        <v/>
      </c>
      <c r="U90" s="205" t="str">
        <f ca="1">SUBSTITUTE(IFERROR(INDEX(Personnel[Organisation type],Q90),""),0,"")</f>
        <v/>
      </c>
      <c r="V90" s="206" t="str">
        <f ca="1">SUBSTITUTE(IFERROR(INDEX(Personnel[Name organisation],Q90),""),0,"")</f>
        <v/>
      </c>
      <c r="W90" s="195"/>
      <c r="X90" s="207" t="str">
        <f>IF(ROW(E1627)-ROW($E$1548)&lt;ROWS(inkind[]),IFERROR(IF(INDEX(list_cofunders[private?],MATCH(Budget!#REF!,list_cofunders[list cofunders],0),1)="yes",Budget!#REF!,""),""),"")</f>
        <v/>
      </c>
      <c r="Y90" s="208" t="str">
        <f>IF(ROW(E1730)-ROW($E$1651)&lt;ROWS(incash[]),IFERROR(IF(INDEX(list_cofunders[private?],MATCH(Budget!#REF!,list_cofunders[list cofunders],0),1)="yes",Budget!#REF!,""),""),"")</f>
        <v/>
      </c>
      <c r="Z90" s="205" t="str">
        <f>IFERROR(INDEX(Personnel[FTE],X90),"")</f>
        <v/>
      </c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7"/>
      <c r="DA90" s="27"/>
      <c r="DB90" s="27"/>
      <c r="DC90" s="27"/>
      <c r="DD90" s="27"/>
      <c r="DE90" s="27"/>
      <c r="DF90" s="27"/>
      <c r="DG90" s="27"/>
      <c r="DH90" s="27"/>
    </row>
    <row r="91" spans="2:112" s="26" customFormat="1" ht="11.25" customHeight="1" outlineLevel="1" x14ac:dyDescent="0.35">
      <c r="B91" s="132" t="str">
        <f ca="1">IF(IFERROR(MATCH("*Other*",OFFSET(Budget!$A$20,B90,0,ROWS(Personnel[]),1),0)+B90,999)&lt;ROWS(Personnel[]),IFERROR(MATCH("*Other*",OFFSET(Budget!$A$20,B90,0,ROWS(Personnel[]),1),0)+B90,999),"")</f>
        <v/>
      </c>
      <c r="C91" s="115" t="str">
        <f ca="1">IFERROR(INDEX(Personnel[Amount],B91),"")</f>
        <v/>
      </c>
      <c r="D91" s="29"/>
      <c r="E91" s="132" t="str">
        <f ca="1">IF(MIN(IFERROR(MATCH("*PostDoc*",OFFSET(Budget!$A$20,E90,0,ROWS(Personnel[]),1),0)+E90,999),IFERROR(MATCH("*PhD*",OFFSET(Budget!$A$20,E90,0,ROWS(Personnel[]),1),0)+E90,999),IFERROR(MATCH("*PDEng*",OFFSET(Budget!$A$20,E90,0,ROWS(Personnel[]),1),0)+E90,999))&lt;ROWS(Personnel[]),MIN(IFERROR(MATCH("*PostDoc*",OFFSET(Budget!$A$20,E90,0,ROWS(Personnel[]),1),0)+E90,999),IFERROR(MATCH("*PhD*",OFFSET(Budget!$A$20,E90,0,ROWS(Personnel[]),1),0)+E90,999),IFERROR(MATCH("*PDEng*",OFFSET(Budget!$A$20,E90,0,ROWS(Personnel[]),1),0)+E90,999)),"")</f>
        <v/>
      </c>
      <c r="F91" s="119" t="str">
        <f ca="1">IFERROR(INDEX(Personnel[FTE],E91)*INDEX(Personnel[Months],E91)/12,"")</f>
        <v/>
      </c>
      <c r="G91" s="140"/>
      <c r="H91" s="142" t="e">
        <f ca="1">IF(IFERROR(MATCH("*researcher*",OFFSET(Budget!#REF!,H90,0,ROWS(#REF!),1),0)+H90,999)&lt;ROWS(#REF!),IFERROR(MATCH("*researcher*",OFFSET(Budget!#REF!,H90,0,ROWS(#REF!),1),0)+H90,999),"")</f>
        <v>#REF!</v>
      </c>
      <c r="I91" s="146" t="str">
        <f ca="1">IF(ISERROR(IF(AND(INDEX(#REF!,H91)&gt;=pers_oi_min_months,INDEX(#REF!,H91)/INDEX(#REF!,H91)*12/pers_other_nrhours_year&gt;=pers_oi_minFTE)=TRUE,INDEX(#REF!,H91)/12,0)),"",IF(AND(INDEX(#REF!,H91)&gt;=pers_oi_min_months,INDEX(#REF!,H91)/INDEX(#REF!,H91)*12/pers_other_nrhours_year&gt;=pers_oi_minFTE)=TRUE,INDEX(#REF!,H91)/12,""))</f>
        <v/>
      </c>
      <c r="J91" s="140"/>
      <c r="K91" s="132" t="str">
        <f ca="1">IF(IFERROR(MATCH("*Non-scientific*",OFFSET(Budget!$A$20,K90,0,ROWS(Personnel[]),1),0)+K90,999)&lt;ROWS(Personnel[]),IFERROR(MATCH("*Non-scientific*",OFFSET(Budget!$A$20,K90,0,ROWS(Personnel[]),1),0)+K90,999),"")</f>
        <v/>
      </c>
      <c r="L91" s="115" t="str">
        <f ca="1">IFERROR(INDEX(Personnel[Amount],K91),"")</f>
        <v/>
      </c>
      <c r="M91" s="195"/>
      <c r="N91" s="132" t="str">
        <f ca="1">IF(IFERROR(MATCH("*leave*",OFFSET(Budget!$A$20,N90,0,ROWS(Personnel[]),1),0)+N90,999)&lt;ROWS(Personnel[]),IFERROR(MATCH("*leave*",OFFSET(Budget!$A$20,N90,0,ROWS(Personnel[]),1),0)+N90,999),"")</f>
        <v/>
      </c>
      <c r="O91" s="137" t="str">
        <f ca="1">IFERROR(INDEX(Personnel[Months],N91)*INDEX(Personnel[FTE],N91),"")</f>
        <v/>
      </c>
      <c r="P91" s="195"/>
      <c r="Q91" s="132" t="str">
        <f ca="1">IF(MIN(IFERROR(MATCH("*PostDoc*",OFFSET(Budget!$A$20,Q90,0,ROWS(Personnel[])-Q90,1),0)+Q90,999),IFERROR(MATCH("*PhD*",OFFSET(Budget!$A$20,Q90,0,ROWS(Personnel[])-Q90,1),0)+Q90,999),IFERROR(MATCH("*PDEng*",OFFSET(Budget!$A$20,Q90,0,ROWS(Personnel[])-Q90,1),0)+Q90,999),IFERROR(MATCH("*Doctorate*",OFFSET(Budget!$A$20,Q90,0,ROWS(Personnel[])-Q90,1),0)+Q90,999))&lt;ROWS(Personnel[]),MIN(IFERROR(MATCH("*PostDoc*",OFFSET(Budget!$A$20,Q90,0,ROWS(Personnel[])-Q90,1),0)+Q90,999),IFERROR(MATCH("*PhD*",OFFSET(Budget!$A$20,Q90,0,ROWS(Personnel[])-Q90,1),0)+Q90,999),IFERROR(MATCH("*PDEng*",OFFSET(Budget!$A$20,Q90,0,ROWS(Personnel[])-Q90,1),0)+Q90,999),IFERROR(MATCH("*Doctorate*",OFFSET(Budget!$A$20,Q90,0,ROWS(Personnel[])-Q90,1),0)+Q90,999)),"")</f>
        <v/>
      </c>
      <c r="R91" s="205" t="str">
        <f ca="1">IFERROR(INDEX(Personnel[Category],Q91),"")</f>
        <v/>
      </c>
      <c r="S91" s="205" t="str">
        <f ca="1">IFERROR(INDEX(Personnel[FTE],Q91),"")</f>
        <v/>
      </c>
      <c r="T91" s="205" t="str">
        <f ca="1">IFERROR(INDEX(Personnel[Months],Q91),"")</f>
        <v/>
      </c>
      <c r="U91" s="205" t="str">
        <f ca="1">SUBSTITUTE(IFERROR(INDEX(Personnel[Organisation type],Q91),""),0,"")</f>
        <v/>
      </c>
      <c r="V91" s="206" t="str">
        <f ca="1">SUBSTITUTE(IFERROR(INDEX(Personnel[Name organisation],Q91),""),0,"")</f>
        <v/>
      </c>
      <c r="W91" s="195"/>
      <c r="X91" s="207" t="str">
        <f>IF(ROW(E1628)-ROW($E$1548)&lt;ROWS(inkind[]),IFERROR(IF(INDEX(list_cofunders[private?],MATCH(Budget!#REF!,list_cofunders[list cofunders],0),1)="yes",Budget!#REF!,""),""),"")</f>
        <v/>
      </c>
      <c r="Y91" s="208" t="str">
        <f>IF(ROW(E1731)-ROW($E$1651)&lt;ROWS(incash[]),IFERROR(IF(INDEX(list_cofunders[private?],MATCH(Budget!#REF!,list_cofunders[list cofunders],0),1)="yes",Budget!#REF!,""),""),"")</f>
        <v/>
      </c>
      <c r="Z91" s="205" t="str">
        <f>IFERROR(INDEX(Personnel[FTE],X91),"")</f>
        <v/>
      </c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7"/>
      <c r="DA91" s="27"/>
      <c r="DB91" s="27"/>
      <c r="DC91" s="27"/>
      <c r="DD91" s="27"/>
      <c r="DE91" s="27"/>
      <c r="DF91" s="27"/>
      <c r="DG91" s="27"/>
      <c r="DH91" s="27"/>
    </row>
    <row r="92" spans="2:112" s="26" customFormat="1" ht="11.25" customHeight="1" outlineLevel="1" x14ac:dyDescent="0.35">
      <c r="B92" s="132" t="str">
        <f ca="1">IF(IFERROR(MATCH("*Other*",OFFSET(Budget!$A$20,B91,0,ROWS(Personnel[]),1),0)+B91,999)&lt;ROWS(Personnel[]),IFERROR(MATCH("*Other*",OFFSET(Budget!$A$20,B91,0,ROWS(Personnel[]),1),0)+B91,999),"")</f>
        <v/>
      </c>
      <c r="C92" s="115" t="str">
        <f ca="1">IFERROR(INDEX(Personnel[Amount],B92),"")</f>
        <v/>
      </c>
      <c r="D92" s="29"/>
      <c r="E92" s="132" t="str">
        <f ca="1">IF(MIN(IFERROR(MATCH("*PostDoc*",OFFSET(Budget!$A$20,E91,0,ROWS(Personnel[]),1),0)+E91,999),IFERROR(MATCH("*PhD*",OFFSET(Budget!$A$20,E91,0,ROWS(Personnel[]),1),0)+E91,999),IFERROR(MATCH("*PDEng*",OFFSET(Budget!$A$20,E91,0,ROWS(Personnel[]),1),0)+E91,999))&lt;ROWS(Personnel[]),MIN(IFERROR(MATCH("*PostDoc*",OFFSET(Budget!$A$20,E91,0,ROWS(Personnel[]),1),0)+E91,999),IFERROR(MATCH("*PhD*",OFFSET(Budget!$A$20,E91,0,ROWS(Personnel[]),1),0)+E91,999),IFERROR(MATCH("*PDEng*",OFFSET(Budget!$A$20,E91,0,ROWS(Personnel[]),1),0)+E91,999)),"")</f>
        <v/>
      </c>
      <c r="F92" s="119" t="str">
        <f ca="1">IFERROR(INDEX(Personnel[FTE],E92)*INDEX(Personnel[Months],E92)/12,"")</f>
        <v/>
      </c>
      <c r="G92" s="140"/>
      <c r="H92" s="142" t="e">
        <f ca="1">IF(IFERROR(MATCH("*researcher*",OFFSET(Budget!#REF!,H91,0,ROWS(#REF!),1),0)+H91,999)&lt;ROWS(#REF!),IFERROR(MATCH("*researcher*",OFFSET(Budget!#REF!,H91,0,ROWS(#REF!),1),0)+H91,999),"")</f>
        <v>#REF!</v>
      </c>
      <c r="I92" s="146" t="str">
        <f ca="1">IF(ISERROR(IF(AND(INDEX(#REF!,H92)&gt;=pers_oi_min_months,INDEX(#REF!,H92)/INDEX(#REF!,H92)*12/pers_other_nrhours_year&gt;=pers_oi_minFTE)=TRUE,INDEX(#REF!,H92)/12,0)),"",IF(AND(INDEX(#REF!,H92)&gt;=pers_oi_min_months,INDEX(#REF!,H92)/INDEX(#REF!,H92)*12/pers_other_nrhours_year&gt;=pers_oi_minFTE)=TRUE,INDEX(#REF!,H92)/12,""))</f>
        <v/>
      </c>
      <c r="J92" s="140"/>
      <c r="K92" s="132" t="str">
        <f ca="1">IF(IFERROR(MATCH("*Non-scientific*",OFFSET(Budget!$A$20,K91,0,ROWS(Personnel[]),1),0)+K91,999)&lt;ROWS(Personnel[]),IFERROR(MATCH("*Non-scientific*",OFFSET(Budget!$A$20,K91,0,ROWS(Personnel[]),1),0)+K91,999),"")</f>
        <v/>
      </c>
      <c r="L92" s="115" t="str">
        <f ca="1">IFERROR(INDEX(Personnel[Amount],K92),"")</f>
        <v/>
      </c>
      <c r="M92" s="195"/>
      <c r="N92" s="132" t="str">
        <f ca="1">IF(IFERROR(MATCH("*leave*",OFFSET(Budget!$A$20,N91,0,ROWS(Personnel[]),1),0)+N91,999)&lt;ROWS(Personnel[]),IFERROR(MATCH("*leave*",OFFSET(Budget!$A$20,N91,0,ROWS(Personnel[]),1),0)+N91,999),"")</f>
        <v/>
      </c>
      <c r="O92" s="137" t="str">
        <f ca="1">IFERROR(INDEX(Personnel[Months],N92)*INDEX(Personnel[FTE],N92),"")</f>
        <v/>
      </c>
      <c r="P92" s="195"/>
      <c r="Q92" s="132" t="str">
        <f ca="1">IF(MIN(IFERROR(MATCH("*PostDoc*",OFFSET(Budget!$A$20,Q91,0,ROWS(Personnel[])-Q91,1),0)+Q91,999),IFERROR(MATCH("*PhD*",OFFSET(Budget!$A$20,Q91,0,ROWS(Personnel[])-Q91,1),0)+Q91,999),IFERROR(MATCH("*PDEng*",OFFSET(Budget!$A$20,Q91,0,ROWS(Personnel[])-Q91,1),0)+Q91,999),IFERROR(MATCH("*Doctorate*",OFFSET(Budget!$A$20,Q91,0,ROWS(Personnel[])-Q91,1),0)+Q91,999))&lt;ROWS(Personnel[]),MIN(IFERROR(MATCH("*PostDoc*",OFFSET(Budget!$A$20,Q91,0,ROWS(Personnel[])-Q91,1),0)+Q91,999),IFERROR(MATCH("*PhD*",OFFSET(Budget!$A$20,Q91,0,ROWS(Personnel[])-Q91,1),0)+Q91,999),IFERROR(MATCH("*PDEng*",OFFSET(Budget!$A$20,Q91,0,ROWS(Personnel[])-Q91,1),0)+Q91,999),IFERROR(MATCH("*Doctorate*",OFFSET(Budget!$A$20,Q91,0,ROWS(Personnel[])-Q91,1),0)+Q91,999)),"")</f>
        <v/>
      </c>
      <c r="R92" s="205" t="str">
        <f ca="1">IFERROR(INDEX(Personnel[Category],Q92),"")</f>
        <v/>
      </c>
      <c r="S92" s="205" t="str">
        <f ca="1">IFERROR(INDEX(Personnel[FTE],Q92),"")</f>
        <v/>
      </c>
      <c r="T92" s="205" t="str">
        <f ca="1">IFERROR(INDEX(Personnel[Months],Q92),"")</f>
        <v/>
      </c>
      <c r="U92" s="205" t="str">
        <f ca="1">SUBSTITUTE(IFERROR(INDEX(Personnel[Organisation type],Q92),""),0,"")</f>
        <v/>
      </c>
      <c r="V92" s="206" t="str">
        <f ca="1">SUBSTITUTE(IFERROR(INDEX(Personnel[Name organisation],Q92),""),0,"")</f>
        <v/>
      </c>
      <c r="W92" s="195"/>
      <c r="X92" s="207" t="str">
        <f>IF(ROW(E1629)-ROW($E$1548)&lt;ROWS(inkind[]),IFERROR(IF(INDEX(list_cofunders[private?],MATCH(Budget!#REF!,list_cofunders[list cofunders],0),1)="yes",Budget!#REF!,""),""),"")</f>
        <v/>
      </c>
      <c r="Y92" s="208" t="str">
        <f>IF(ROW(E1732)-ROW($E$1651)&lt;ROWS(incash[]),IFERROR(IF(INDEX(list_cofunders[private?],MATCH(Budget!#REF!,list_cofunders[list cofunders],0),1)="yes",Budget!#REF!,""),""),"")</f>
        <v/>
      </c>
      <c r="Z92" s="205" t="str">
        <f>IFERROR(INDEX(Personnel[FTE],X92),"")</f>
        <v/>
      </c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7"/>
      <c r="DA92" s="27"/>
      <c r="DB92" s="27"/>
      <c r="DC92" s="27"/>
      <c r="DD92" s="27"/>
      <c r="DE92" s="27"/>
      <c r="DF92" s="27"/>
      <c r="DG92" s="27"/>
      <c r="DH92" s="27"/>
    </row>
    <row r="93" spans="2:112" s="26" customFormat="1" ht="11.25" customHeight="1" outlineLevel="1" x14ac:dyDescent="0.35">
      <c r="B93" s="132" t="str">
        <f ca="1">IF(IFERROR(MATCH("*Other*",OFFSET(Budget!$A$20,B92,0,ROWS(Personnel[]),1),0)+B92,999)&lt;ROWS(Personnel[]),IFERROR(MATCH("*Other*",OFFSET(Budget!$A$20,B92,0,ROWS(Personnel[]),1),0)+B92,999),"")</f>
        <v/>
      </c>
      <c r="C93" s="115" t="str">
        <f ca="1">IFERROR(INDEX(Personnel[Amount],B93),"")</f>
        <v/>
      </c>
      <c r="D93" s="29"/>
      <c r="E93" s="132" t="str">
        <f ca="1">IF(MIN(IFERROR(MATCH("*PostDoc*",OFFSET(Budget!$A$20,E92,0,ROWS(Personnel[]),1),0)+E92,999),IFERROR(MATCH("*PhD*",OFFSET(Budget!$A$20,E92,0,ROWS(Personnel[]),1),0)+E92,999),IFERROR(MATCH("*PDEng*",OFFSET(Budget!$A$20,E92,0,ROWS(Personnel[]),1),0)+E92,999))&lt;ROWS(Personnel[]),MIN(IFERROR(MATCH("*PostDoc*",OFFSET(Budget!$A$20,E92,0,ROWS(Personnel[]),1),0)+E92,999),IFERROR(MATCH("*PhD*",OFFSET(Budget!$A$20,E92,0,ROWS(Personnel[]),1),0)+E92,999),IFERROR(MATCH("*PDEng*",OFFSET(Budget!$A$20,E92,0,ROWS(Personnel[]),1),0)+E92,999)),"")</f>
        <v/>
      </c>
      <c r="F93" s="119" t="str">
        <f ca="1">IFERROR(INDEX(Personnel[FTE],E93)*INDEX(Personnel[Months],E93)/12,"")</f>
        <v/>
      </c>
      <c r="G93" s="140"/>
      <c r="H93" s="142" t="e">
        <f ca="1">IF(IFERROR(MATCH("*researcher*",OFFSET(Budget!#REF!,H92,0,ROWS(#REF!),1),0)+H92,999)&lt;ROWS(#REF!),IFERROR(MATCH("*researcher*",OFFSET(Budget!#REF!,H92,0,ROWS(#REF!),1),0)+H92,999),"")</f>
        <v>#REF!</v>
      </c>
      <c r="I93" s="146" t="str">
        <f ca="1">IF(ISERROR(IF(AND(INDEX(#REF!,H93)&gt;=pers_oi_min_months,INDEX(#REF!,H93)/INDEX(#REF!,H93)*12/pers_other_nrhours_year&gt;=pers_oi_minFTE)=TRUE,INDEX(#REF!,H93)/12,0)),"",IF(AND(INDEX(#REF!,H93)&gt;=pers_oi_min_months,INDEX(#REF!,H93)/INDEX(#REF!,H93)*12/pers_other_nrhours_year&gt;=pers_oi_minFTE)=TRUE,INDEX(#REF!,H93)/12,""))</f>
        <v/>
      </c>
      <c r="J93" s="140"/>
      <c r="K93" s="132" t="str">
        <f ca="1">IF(IFERROR(MATCH("*Non-scientific*",OFFSET(Budget!$A$20,K92,0,ROWS(Personnel[]),1),0)+K92,999)&lt;ROWS(Personnel[]),IFERROR(MATCH("*Non-scientific*",OFFSET(Budget!$A$20,K92,0,ROWS(Personnel[]),1),0)+K92,999),"")</f>
        <v/>
      </c>
      <c r="L93" s="115" t="str">
        <f ca="1">IFERROR(INDEX(Personnel[Amount],K93),"")</f>
        <v/>
      </c>
      <c r="M93" s="195"/>
      <c r="N93" s="132" t="str">
        <f ca="1">IF(IFERROR(MATCH("*leave*",OFFSET(Budget!$A$20,N92,0,ROWS(Personnel[]),1),0)+N92,999)&lt;ROWS(Personnel[]),IFERROR(MATCH("*leave*",OFFSET(Budget!$A$20,N92,0,ROWS(Personnel[]),1),0)+N92,999),"")</f>
        <v/>
      </c>
      <c r="O93" s="137" t="str">
        <f ca="1">IFERROR(INDEX(Personnel[Months],N93)*INDEX(Personnel[FTE],N93),"")</f>
        <v/>
      </c>
      <c r="P93" s="195"/>
      <c r="Q93" s="132" t="str">
        <f ca="1">IF(MIN(IFERROR(MATCH("*PostDoc*",OFFSET(Budget!$A$20,Q92,0,ROWS(Personnel[])-Q92,1),0)+Q92,999),IFERROR(MATCH("*PhD*",OFFSET(Budget!$A$20,Q92,0,ROWS(Personnel[])-Q92,1),0)+Q92,999),IFERROR(MATCH("*PDEng*",OFFSET(Budget!$A$20,Q92,0,ROWS(Personnel[])-Q92,1),0)+Q92,999),IFERROR(MATCH("*Doctorate*",OFFSET(Budget!$A$20,Q92,0,ROWS(Personnel[])-Q92,1),0)+Q92,999))&lt;ROWS(Personnel[]),MIN(IFERROR(MATCH("*PostDoc*",OFFSET(Budget!$A$20,Q92,0,ROWS(Personnel[])-Q92,1),0)+Q92,999),IFERROR(MATCH("*PhD*",OFFSET(Budget!$A$20,Q92,0,ROWS(Personnel[])-Q92,1),0)+Q92,999),IFERROR(MATCH("*PDEng*",OFFSET(Budget!$A$20,Q92,0,ROWS(Personnel[])-Q92,1),0)+Q92,999),IFERROR(MATCH("*Doctorate*",OFFSET(Budget!$A$20,Q92,0,ROWS(Personnel[])-Q92,1),0)+Q92,999)),"")</f>
        <v/>
      </c>
      <c r="R93" s="205" t="str">
        <f ca="1">IFERROR(INDEX(Personnel[Category],Q93),"")</f>
        <v/>
      </c>
      <c r="S93" s="205" t="str">
        <f ca="1">IFERROR(INDEX(Personnel[FTE],Q93),"")</f>
        <v/>
      </c>
      <c r="T93" s="205" t="str">
        <f ca="1">IFERROR(INDEX(Personnel[Months],Q93),"")</f>
        <v/>
      </c>
      <c r="U93" s="205" t="str">
        <f ca="1">SUBSTITUTE(IFERROR(INDEX(Personnel[Organisation type],Q93),""),0,"")</f>
        <v/>
      </c>
      <c r="V93" s="206" t="str">
        <f ca="1">SUBSTITUTE(IFERROR(INDEX(Personnel[Name organisation],Q93),""),0,"")</f>
        <v/>
      </c>
      <c r="W93" s="195"/>
      <c r="X93" s="207" t="str">
        <f>IF(ROW(E1630)-ROW($E$1548)&lt;ROWS(inkind[]),IFERROR(IF(INDEX(list_cofunders[private?],MATCH(Budget!#REF!,list_cofunders[list cofunders],0),1)="yes",Budget!#REF!,""),""),"")</f>
        <v/>
      </c>
      <c r="Y93" s="208" t="str">
        <f>IF(ROW(E1733)-ROW($E$1651)&lt;ROWS(incash[]),IFERROR(IF(INDEX(list_cofunders[private?],MATCH(Budget!#REF!,list_cofunders[list cofunders],0),1)="yes",Budget!#REF!,""),""),"")</f>
        <v/>
      </c>
      <c r="Z93" s="205" t="str">
        <f>IFERROR(INDEX(Personnel[FTE],X93),"")</f>
        <v/>
      </c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7"/>
      <c r="DA93" s="27"/>
      <c r="DB93" s="27"/>
      <c r="DC93" s="27"/>
      <c r="DD93" s="27"/>
      <c r="DE93" s="27"/>
      <c r="DF93" s="27"/>
      <c r="DG93" s="27"/>
      <c r="DH93" s="27"/>
    </row>
    <row r="94" spans="2:112" s="26" customFormat="1" ht="11.25" customHeight="1" outlineLevel="1" x14ac:dyDescent="0.35">
      <c r="B94" s="132" t="str">
        <f ca="1">IF(IFERROR(MATCH("*Other*",OFFSET(Budget!$A$20,B93,0,ROWS(Personnel[]),1),0)+B93,999)&lt;ROWS(Personnel[]),IFERROR(MATCH("*Other*",OFFSET(Budget!$A$20,B93,0,ROWS(Personnel[]),1),0)+B93,999),"")</f>
        <v/>
      </c>
      <c r="C94" s="115" t="str">
        <f ca="1">IFERROR(INDEX(Personnel[Amount],B94),"")</f>
        <v/>
      </c>
      <c r="D94" s="29"/>
      <c r="E94" s="132" t="str">
        <f ca="1">IF(MIN(IFERROR(MATCH("*PostDoc*",OFFSET(Budget!$A$20,E93,0,ROWS(Personnel[]),1),0)+E93,999),IFERROR(MATCH("*PhD*",OFFSET(Budget!$A$20,E93,0,ROWS(Personnel[]),1),0)+E93,999),IFERROR(MATCH("*PDEng*",OFFSET(Budget!$A$20,E93,0,ROWS(Personnel[]),1),0)+E93,999))&lt;ROWS(Personnel[]),MIN(IFERROR(MATCH("*PostDoc*",OFFSET(Budget!$A$20,E93,0,ROWS(Personnel[]),1),0)+E93,999),IFERROR(MATCH("*PhD*",OFFSET(Budget!$A$20,E93,0,ROWS(Personnel[]),1),0)+E93,999),IFERROR(MATCH("*PDEng*",OFFSET(Budget!$A$20,E93,0,ROWS(Personnel[]),1),0)+E93,999)),"")</f>
        <v/>
      </c>
      <c r="F94" s="119" t="str">
        <f ca="1">IFERROR(INDEX(Personnel[FTE],E94)*INDEX(Personnel[Months],E94)/12,"")</f>
        <v/>
      </c>
      <c r="G94" s="140"/>
      <c r="H94" s="142" t="e">
        <f ca="1">IF(IFERROR(MATCH("*researcher*",OFFSET(Budget!#REF!,H93,0,ROWS(#REF!),1),0)+H93,999)&lt;ROWS(#REF!),IFERROR(MATCH("*researcher*",OFFSET(Budget!#REF!,H93,0,ROWS(#REF!),1),0)+H93,999),"")</f>
        <v>#REF!</v>
      </c>
      <c r="I94" s="146" t="str">
        <f ca="1">IF(ISERROR(IF(AND(INDEX(#REF!,H94)&gt;=pers_oi_min_months,INDEX(#REF!,H94)/INDEX(#REF!,H94)*12/pers_other_nrhours_year&gt;=pers_oi_minFTE)=TRUE,INDEX(#REF!,H94)/12,0)),"",IF(AND(INDEX(#REF!,H94)&gt;=pers_oi_min_months,INDEX(#REF!,H94)/INDEX(#REF!,H94)*12/pers_other_nrhours_year&gt;=pers_oi_minFTE)=TRUE,INDEX(#REF!,H94)/12,""))</f>
        <v/>
      </c>
      <c r="J94" s="140"/>
      <c r="K94" s="132" t="str">
        <f ca="1">IF(IFERROR(MATCH("*Non-scientific*",OFFSET(Budget!$A$20,K93,0,ROWS(Personnel[]),1),0)+K93,999)&lt;ROWS(Personnel[]),IFERROR(MATCH("*Non-scientific*",OFFSET(Budget!$A$20,K93,0,ROWS(Personnel[]),1),0)+K93,999),"")</f>
        <v/>
      </c>
      <c r="L94" s="115" t="str">
        <f ca="1">IFERROR(INDEX(Personnel[Amount],K94),"")</f>
        <v/>
      </c>
      <c r="M94" s="195"/>
      <c r="N94" s="132" t="str">
        <f ca="1">IF(IFERROR(MATCH("*leave*",OFFSET(Budget!$A$20,N93,0,ROWS(Personnel[]),1),0)+N93,999)&lt;ROWS(Personnel[]),IFERROR(MATCH("*leave*",OFFSET(Budget!$A$20,N93,0,ROWS(Personnel[]),1),0)+N93,999),"")</f>
        <v/>
      </c>
      <c r="O94" s="137" t="str">
        <f ca="1">IFERROR(INDEX(Personnel[Months],N94)*INDEX(Personnel[FTE],N94),"")</f>
        <v/>
      </c>
      <c r="P94" s="195"/>
      <c r="Q94" s="132" t="str">
        <f ca="1">IF(MIN(IFERROR(MATCH("*PostDoc*",OFFSET(Budget!$A$20,Q93,0,ROWS(Personnel[])-Q93,1),0)+Q93,999),IFERROR(MATCH("*PhD*",OFFSET(Budget!$A$20,Q93,0,ROWS(Personnel[])-Q93,1),0)+Q93,999),IFERROR(MATCH("*PDEng*",OFFSET(Budget!$A$20,Q93,0,ROWS(Personnel[])-Q93,1),0)+Q93,999),IFERROR(MATCH("*Doctorate*",OFFSET(Budget!$A$20,Q93,0,ROWS(Personnel[])-Q93,1),0)+Q93,999))&lt;ROWS(Personnel[]),MIN(IFERROR(MATCH("*PostDoc*",OFFSET(Budget!$A$20,Q93,0,ROWS(Personnel[])-Q93,1),0)+Q93,999),IFERROR(MATCH("*PhD*",OFFSET(Budget!$A$20,Q93,0,ROWS(Personnel[])-Q93,1),0)+Q93,999),IFERROR(MATCH("*PDEng*",OFFSET(Budget!$A$20,Q93,0,ROWS(Personnel[])-Q93,1),0)+Q93,999),IFERROR(MATCH("*Doctorate*",OFFSET(Budget!$A$20,Q93,0,ROWS(Personnel[])-Q93,1),0)+Q93,999)),"")</f>
        <v/>
      </c>
      <c r="R94" s="205" t="str">
        <f ca="1">IFERROR(INDEX(Personnel[Category],Q94),"")</f>
        <v/>
      </c>
      <c r="S94" s="205" t="str">
        <f ca="1">IFERROR(INDEX(Personnel[FTE],Q94),"")</f>
        <v/>
      </c>
      <c r="T94" s="205" t="str">
        <f ca="1">IFERROR(INDEX(Personnel[Months],Q94),"")</f>
        <v/>
      </c>
      <c r="U94" s="205" t="str">
        <f ca="1">SUBSTITUTE(IFERROR(INDEX(Personnel[Organisation type],Q94),""),0,"")</f>
        <v/>
      </c>
      <c r="V94" s="206" t="str">
        <f ca="1">SUBSTITUTE(IFERROR(INDEX(Personnel[Name organisation],Q94),""),0,"")</f>
        <v/>
      </c>
      <c r="W94" s="195"/>
      <c r="X94" s="207" t="str">
        <f>IF(ROW(E1631)-ROW($E$1548)&lt;ROWS(inkind[]),IFERROR(IF(INDEX(list_cofunders[private?],MATCH(Budget!#REF!,list_cofunders[list cofunders],0),1)="yes",Budget!#REF!,""),""),"")</f>
        <v/>
      </c>
      <c r="Y94" s="208" t="str">
        <f>IF(ROW(E1734)-ROW($E$1651)&lt;ROWS(incash[]),IFERROR(IF(INDEX(list_cofunders[private?],MATCH(Budget!#REF!,list_cofunders[list cofunders],0),1)="yes",Budget!#REF!,""),""),"")</f>
        <v/>
      </c>
      <c r="Z94" s="205" t="str">
        <f>IFERROR(INDEX(Personnel[FTE],X94),"")</f>
        <v/>
      </c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7"/>
      <c r="DA94" s="27"/>
      <c r="DB94" s="27"/>
      <c r="DC94" s="27"/>
      <c r="DD94" s="27"/>
      <c r="DE94" s="27"/>
      <c r="DF94" s="27"/>
      <c r="DG94" s="27"/>
      <c r="DH94" s="27"/>
    </row>
    <row r="95" spans="2:112" s="26" customFormat="1" ht="11.25" customHeight="1" outlineLevel="1" x14ac:dyDescent="0.35">
      <c r="B95" s="132" t="str">
        <f ca="1">IF(IFERROR(MATCH("*Other*",OFFSET(Budget!$A$20,B94,0,ROWS(Personnel[]),1),0)+B94,999)&lt;ROWS(Personnel[]),IFERROR(MATCH("*Other*",OFFSET(Budget!$A$20,B94,0,ROWS(Personnel[]),1),0)+B94,999),"")</f>
        <v/>
      </c>
      <c r="C95" s="115" t="str">
        <f ca="1">IFERROR(INDEX(Personnel[Amount],B95),"")</f>
        <v/>
      </c>
      <c r="D95" s="29"/>
      <c r="E95" s="132" t="str">
        <f ca="1">IF(MIN(IFERROR(MATCH("*PostDoc*",OFFSET(Budget!$A$20,E94,0,ROWS(Personnel[]),1),0)+E94,999),IFERROR(MATCH("*PhD*",OFFSET(Budget!$A$20,E94,0,ROWS(Personnel[]),1),0)+E94,999),IFERROR(MATCH("*PDEng*",OFFSET(Budget!$A$20,E94,0,ROWS(Personnel[]),1),0)+E94,999))&lt;ROWS(Personnel[]),MIN(IFERROR(MATCH("*PostDoc*",OFFSET(Budget!$A$20,E94,0,ROWS(Personnel[]),1),0)+E94,999),IFERROR(MATCH("*PhD*",OFFSET(Budget!$A$20,E94,0,ROWS(Personnel[]),1),0)+E94,999),IFERROR(MATCH("*PDEng*",OFFSET(Budget!$A$20,E94,0,ROWS(Personnel[]),1),0)+E94,999)),"")</f>
        <v/>
      </c>
      <c r="F95" s="119" t="str">
        <f ca="1">IFERROR(INDEX(Personnel[FTE],E95)*INDEX(Personnel[Months],E95)/12,"")</f>
        <v/>
      </c>
      <c r="G95" s="140"/>
      <c r="H95" s="142" t="e">
        <f ca="1">IF(IFERROR(MATCH("*researcher*",OFFSET(Budget!#REF!,H94,0,ROWS(#REF!),1),0)+H94,999)&lt;ROWS(#REF!),IFERROR(MATCH("*researcher*",OFFSET(Budget!#REF!,H94,0,ROWS(#REF!),1),0)+H94,999),"")</f>
        <v>#REF!</v>
      </c>
      <c r="I95" s="146" t="str">
        <f ca="1">IF(ISERROR(IF(AND(INDEX(#REF!,H95)&gt;=pers_oi_min_months,INDEX(#REF!,H95)/INDEX(#REF!,H95)*12/pers_other_nrhours_year&gt;=pers_oi_minFTE)=TRUE,INDEX(#REF!,H95)/12,0)),"",IF(AND(INDEX(#REF!,H95)&gt;=pers_oi_min_months,INDEX(#REF!,H95)/INDEX(#REF!,H95)*12/pers_other_nrhours_year&gt;=pers_oi_minFTE)=TRUE,INDEX(#REF!,H95)/12,""))</f>
        <v/>
      </c>
      <c r="J95" s="140"/>
      <c r="K95" s="132" t="str">
        <f ca="1">IF(IFERROR(MATCH("*Non-scientific*",OFFSET(Budget!$A$20,K94,0,ROWS(Personnel[]),1),0)+K94,999)&lt;ROWS(Personnel[]),IFERROR(MATCH("*Non-scientific*",OFFSET(Budget!$A$20,K94,0,ROWS(Personnel[]),1),0)+K94,999),"")</f>
        <v/>
      </c>
      <c r="L95" s="115" t="str">
        <f ca="1">IFERROR(INDEX(Personnel[Amount],K95),"")</f>
        <v/>
      </c>
      <c r="M95" s="195"/>
      <c r="N95" s="132" t="str">
        <f ca="1">IF(IFERROR(MATCH("*leave*",OFFSET(Budget!$A$20,N94,0,ROWS(Personnel[]),1),0)+N94,999)&lt;ROWS(Personnel[]),IFERROR(MATCH("*leave*",OFFSET(Budget!$A$20,N94,0,ROWS(Personnel[]),1),0)+N94,999),"")</f>
        <v/>
      </c>
      <c r="O95" s="137" t="str">
        <f ca="1">IFERROR(INDEX(Personnel[Months],N95)*INDEX(Personnel[FTE],N95),"")</f>
        <v/>
      </c>
      <c r="P95" s="195"/>
      <c r="Q95" s="132" t="str">
        <f ca="1">IF(MIN(IFERROR(MATCH("*PostDoc*",OFFSET(Budget!$A$20,Q94,0,ROWS(Personnel[])-Q94,1),0)+Q94,999),IFERROR(MATCH("*PhD*",OFFSET(Budget!$A$20,Q94,0,ROWS(Personnel[])-Q94,1),0)+Q94,999),IFERROR(MATCH("*PDEng*",OFFSET(Budget!$A$20,Q94,0,ROWS(Personnel[])-Q94,1),0)+Q94,999),IFERROR(MATCH("*Doctorate*",OFFSET(Budget!$A$20,Q94,0,ROWS(Personnel[])-Q94,1),0)+Q94,999))&lt;ROWS(Personnel[]),MIN(IFERROR(MATCH("*PostDoc*",OFFSET(Budget!$A$20,Q94,0,ROWS(Personnel[])-Q94,1),0)+Q94,999),IFERROR(MATCH("*PhD*",OFFSET(Budget!$A$20,Q94,0,ROWS(Personnel[])-Q94,1),0)+Q94,999),IFERROR(MATCH("*PDEng*",OFFSET(Budget!$A$20,Q94,0,ROWS(Personnel[])-Q94,1),0)+Q94,999),IFERROR(MATCH("*Doctorate*",OFFSET(Budget!$A$20,Q94,0,ROWS(Personnel[])-Q94,1),0)+Q94,999)),"")</f>
        <v/>
      </c>
      <c r="R95" s="205" t="str">
        <f ca="1">IFERROR(INDEX(Personnel[Category],Q95),"")</f>
        <v/>
      </c>
      <c r="S95" s="205" t="str">
        <f ca="1">IFERROR(INDEX(Personnel[FTE],Q95),"")</f>
        <v/>
      </c>
      <c r="T95" s="205" t="str">
        <f ca="1">IFERROR(INDEX(Personnel[Months],Q95),"")</f>
        <v/>
      </c>
      <c r="U95" s="205" t="str">
        <f ca="1">SUBSTITUTE(IFERROR(INDEX(Personnel[Organisation type],Q95),""),0,"")</f>
        <v/>
      </c>
      <c r="V95" s="206" t="str">
        <f ca="1">SUBSTITUTE(IFERROR(INDEX(Personnel[Name organisation],Q95),""),0,"")</f>
        <v/>
      </c>
      <c r="W95" s="195"/>
      <c r="X95" s="207" t="str">
        <f>IF(ROW(E1632)-ROW($E$1548)&lt;ROWS(inkind[]),IFERROR(IF(INDEX(list_cofunders[private?],MATCH(Budget!#REF!,list_cofunders[list cofunders],0),1)="yes",Budget!#REF!,""),""),"")</f>
        <v/>
      </c>
      <c r="Y95" s="208" t="str">
        <f>IF(ROW(E1735)-ROW($E$1651)&lt;ROWS(incash[]),IFERROR(IF(INDEX(list_cofunders[private?],MATCH(Budget!#REF!,list_cofunders[list cofunders],0),1)="yes",Budget!#REF!,""),""),"")</f>
        <v/>
      </c>
      <c r="Z95" s="205" t="str">
        <f>IFERROR(INDEX(Personnel[FTE],X95),"")</f>
        <v/>
      </c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7"/>
      <c r="DA95" s="27"/>
      <c r="DB95" s="27"/>
      <c r="DC95" s="27"/>
      <c r="DD95" s="27"/>
      <c r="DE95" s="27"/>
      <c r="DF95" s="27"/>
      <c r="DG95" s="27"/>
      <c r="DH95" s="27"/>
    </row>
    <row r="96" spans="2:112" s="26" customFormat="1" ht="11.25" customHeight="1" outlineLevel="1" x14ac:dyDescent="0.35">
      <c r="B96" s="132" t="str">
        <f ca="1">IF(IFERROR(MATCH("*Other*",OFFSET(Budget!$A$20,B95,0,ROWS(Personnel[]),1),0)+B95,999)&lt;ROWS(Personnel[]),IFERROR(MATCH("*Other*",OFFSET(Budget!$A$20,B95,0,ROWS(Personnel[]),1),0)+B95,999),"")</f>
        <v/>
      </c>
      <c r="C96" s="115" t="str">
        <f ca="1">IFERROR(INDEX(Personnel[Amount],B96),"")</f>
        <v/>
      </c>
      <c r="D96" s="29"/>
      <c r="E96" s="132" t="str">
        <f ca="1">IF(MIN(IFERROR(MATCH("*PostDoc*",OFFSET(Budget!$A$20,E95,0,ROWS(Personnel[]),1),0)+E95,999),IFERROR(MATCH("*PhD*",OFFSET(Budget!$A$20,E95,0,ROWS(Personnel[]),1),0)+E95,999),IFERROR(MATCH("*PDEng*",OFFSET(Budget!$A$20,E95,0,ROWS(Personnel[]),1),0)+E95,999))&lt;ROWS(Personnel[]),MIN(IFERROR(MATCH("*PostDoc*",OFFSET(Budget!$A$20,E95,0,ROWS(Personnel[]),1),0)+E95,999),IFERROR(MATCH("*PhD*",OFFSET(Budget!$A$20,E95,0,ROWS(Personnel[]),1),0)+E95,999),IFERROR(MATCH("*PDEng*",OFFSET(Budget!$A$20,E95,0,ROWS(Personnel[]),1),0)+E95,999)),"")</f>
        <v/>
      </c>
      <c r="F96" s="119" t="str">
        <f ca="1">IFERROR(INDEX(Personnel[FTE],E96)*INDEX(Personnel[Months],E96)/12,"")</f>
        <v/>
      </c>
      <c r="G96" s="140"/>
      <c r="H96" s="142" t="e">
        <f ca="1">IF(IFERROR(MATCH("*researcher*",OFFSET(Budget!#REF!,H95,0,ROWS(#REF!),1),0)+H95,999)&lt;ROWS(#REF!),IFERROR(MATCH("*researcher*",OFFSET(Budget!#REF!,H95,0,ROWS(#REF!),1),0)+H95,999),"")</f>
        <v>#REF!</v>
      </c>
      <c r="I96" s="146" t="str">
        <f ca="1">IF(ISERROR(IF(AND(INDEX(#REF!,H96)&gt;=pers_oi_min_months,INDEX(#REF!,H96)/INDEX(#REF!,H96)*12/pers_other_nrhours_year&gt;=pers_oi_minFTE)=TRUE,INDEX(#REF!,H96)/12,0)),"",IF(AND(INDEX(#REF!,H96)&gt;=pers_oi_min_months,INDEX(#REF!,H96)/INDEX(#REF!,H96)*12/pers_other_nrhours_year&gt;=pers_oi_minFTE)=TRUE,INDEX(#REF!,H96)/12,""))</f>
        <v/>
      </c>
      <c r="J96" s="140"/>
      <c r="K96" s="132" t="str">
        <f ca="1">IF(IFERROR(MATCH("*Non-scientific*",OFFSET(Budget!$A$20,K95,0,ROWS(Personnel[]),1),0)+K95,999)&lt;ROWS(Personnel[]),IFERROR(MATCH("*Non-scientific*",OFFSET(Budget!$A$20,K95,0,ROWS(Personnel[]),1),0)+K95,999),"")</f>
        <v/>
      </c>
      <c r="L96" s="115" t="str">
        <f ca="1">IFERROR(INDEX(Personnel[Amount],K96),"")</f>
        <v/>
      </c>
      <c r="M96" s="195"/>
      <c r="N96" s="132" t="str">
        <f ca="1">IF(IFERROR(MATCH("*leave*",OFFSET(Budget!$A$20,N95,0,ROWS(Personnel[]),1),0)+N95,999)&lt;ROWS(Personnel[]),IFERROR(MATCH("*leave*",OFFSET(Budget!$A$20,N95,0,ROWS(Personnel[]),1),0)+N95,999),"")</f>
        <v/>
      </c>
      <c r="O96" s="137" t="str">
        <f ca="1">IFERROR(INDEX(Personnel[Months],N96)*INDEX(Personnel[FTE],N96),"")</f>
        <v/>
      </c>
      <c r="P96" s="195"/>
      <c r="Q96" s="132" t="str">
        <f ca="1">IF(MIN(IFERROR(MATCH("*PostDoc*",OFFSET(Budget!$A$20,Q95,0,ROWS(Personnel[])-Q95,1),0)+Q95,999),IFERROR(MATCH("*PhD*",OFFSET(Budget!$A$20,Q95,0,ROWS(Personnel[])-Q95,1),0)+Q95,999),IFERROR(MATCH("*PDEng*",OFFSET(Budget!$A$20,Q95,0,ROWS(Personnel[])-Q95,1),0)+Q95,999),IFERROR(MATCH("*Doctorate*",OFFSET(Budget!$A$20,Q95,0,ROWS(Personnel[])-Q95,1),0)+Q95,999))&lt;ROWS(Personnel[]),MIN(IFERROR(MATCH("*PostDoc*",OFFSET(Budget!$A$20,Q95,0,ROWS(Personnel[])-Q95,1),0)+Q95,999),IFERROR(MATCH("*PhD*",OFFSET(Budget!$A$20,Q95,0,ROWS(Personnel[])-Q95,1),0)+Q95,999),IFERROR(MATCH("*PDEng*",OFFSET(Budget!$A$20,Q95,0,ROWS(Personnel[])-Q95,1),0)+Q95,999),IFERROR(MATCH("*Doctorate*",OFFSET(Budget!$A$20,Q95,0,ROWS(Personnel[])-Q95,1),0)+Q95,999)),"")</f>
        <v/>
      </c>
      <c r="R96" s="205" t="str">
        <f ca="1">IFERROR(INDEX(Personnel[Category],Q96),"")</f>
        <v/>
      </c>
      <c r="S96" s="205" t="str">
        <f ca="1">IFERROR(INDEX(Personnel[FTE],Q96),"")</f>
        <v/>
      </c>
      <c r="T96" s="205" t="str">
        <f ca="1">IFERROR(INDEX(Personnel[Months],Q96),"")</f>
        <v/>
      </c>
      <c r="U96" s="205" t="str">
        <f ca="1">SUBSTITUTE(IFERROR(INDEX(Personnel[Organisation type],Q96),""),0,"")</f>
        <v/>
      </c>
      <c r="V96" s="206" t="str">
        <f ca="1">SUBSTITUTE(IFERROR(INDEX(Personnel[Name organisation],Q96),""),0,"")</f>
        <v/>
      </c>
      <c r="W96" s="195"/>
      <c r="X96" s="207" t="str">
        <f>IF(ROW(E1633)-ROW($E$1548)&lt;ROWS(inkind[]),IFERROR(IF(INDEX(list_cofunders[private?],MATCH(Budget!#REF!,list_cofunders[list cofunders],0),1)="yes",Budget!#REF!,""),""),"")</f>
        <v/>
      </c>
      <c r="Y96" s="208" t="str">
        <f>IF(ROW(E1736)-ROW($E$1651)&lt;ROWS(incash[]),IFERROR(IF(INDEX(list_cofunders[private?],MATCH(Budget!#REF!,list_cofunders[list cofunders],0),1)="yes",Budget!#REF!,""),""),"")</f>
        <v/>
      </c>
      <c r="Z96" s="205" t="str">
        <f>IFERROR(INDEX(Personnel[FTE],X96),"")</f>
        <v/>
      </c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7"/>
      <c r="DA96" s="27"/>
      <c r="DB96" s="27"/>
      <c r="DC96" s="27"/>
      <c r="DD96" s="27"/>
      <c r="DE96" s="27"/>
      <c r="DF96" s="27"/>
      <c r="DG96" s="27"/>
      <c r="DH96" s="27"/>
    </row>
    <row r="97" spans="2:112" s="26" customFormat="1" ht="11.25" customHeight="1" outlineLevel="1" x14ac:dyDescent="0.35">
      <c r="B97" s="132" t="str">
        <f ca="1">IF(IFERROR(MATCH("*Other*",OFFSET(Budget!$A$20,B96,0,ROWS(Personnel[]),1),0)+B96,999)&lt;ROWS(Personnel[]),IFERROR(MATCH("*Other*",OFFSET(Budget!$A$20,B96,0,ROWS(Personnel[]),1),0)+B96,999),"")</f>
        <v/>
      </c>
      <c r="C97" s="115" t="str">
        <f ca="1">IFERROR(INDEX(Personnel[Amount],B97),"")</f>
        <v/>
      </c>
      <c r="D97" s="29"/>
      <c r="E97" s="132" t="str">
        <f ca="1">IF(MIN(IFERROR(MATCH("*PostDoc*",OFFSET(Budget!$A$20,E96,0,ROWS(Personnel[]),1),0)+E96,999),IFERROR(MATCH("*PhD*",OFFSET(Budget!$A$20,E96,0,ROWS(Personnel[]),1),0)+E96,999),IFERROR(MATCH("*PDEng*",OFFSET(Budget!$A$20,E96,0,ROWS(Personnel[]),1),0)+E96,999))&lt;ROWS(Personnel[]),MIN(IFERROR(MATCH("*PostDoc*",OFFSET(Budget!$A$20,E96,0,ROWS(Personnel[]),1),0)+E96,999),IFERROR(MATCH("*PhD*",OFFSET(Budget!$A$20,E96,0,ROWS(Personnel[]),1),0)+E96,999),IFERROR(MATCH("*PDEng*",OFFSET(Budget!$A$20,E96,0,ROWS(Personnel[]),1),0)+E96,999)),"")</f>
        <v/>
      </c>
      <c r="F97" s="119" t="str">
        <f ca="1">IFERROR(INDEX(Personnel[FTE],E97)*INDEX(Personnel[Months],E97)/12,"")</f>
        <v/>
      </c>
      <c r="G97" s="140"/>
      <c r="H97" s="142" t="e">
        <f ca="1">IF(IFERROR(MATCH("*researcher*",OFFSET(Budget!#REF!,H96,0,ROWS(#REF!),1),0)+H96,999)&lt;ROWS(#REF!),IFERROR(MATCH("*researcher*",OFFSET(Budget!#REF!,H96,0,ROWS(#REF!),1),0)+H96,999),"")</f>
        <v>#REF!</v>
      </c>
      <c r="I97" s="146" t="str">
        <f ca="1">IF(ISERROR(IF(AND(INDEX(#REF!,H97)&gt;=pers_oi_min_months,INDEX(#REF!,H97)/INDEX(#REF!,H97)*12/pers_other_nrhours_year&gt;=pers_oi_minFTE)=TRUE,INDEX(#REF!,H97)/12,0)),"",IF(AND(INDEX(#REF!,H97)&gt;=pers_oi_min_months,INDEX(#REF!,H97)/INDEX(#REF!,H97)*12/pers_other_nrhours_year&gt;=pers_oi_minFTE)=TRUE,INDEX(#REF!,H97)/12,""))</f>
        <v/>
      </c>
      <c r="J97" s="140"/>
      <c r="K97" s="132" t="str">
        <f ca="1">IF(IFERROR(MATCH("*Non-scientific*",OFFSET(Budget!$A$20,K96,0,ROWS(Personnel[]),1),0)+K96,999)&lt;ROWS(Personnel[]),IFERROR(MATCH("*Non-scientific*",OFFSET(Budget!$A$20,K96,0,ROWS(Personnel[]),1),0)+K96,999),"")</f>
        <v/>
      </c>
      <c r="L97" s="115" t="str">
        <f ca="1">IFERROR(INDEX(Personnel[Amount],K97),"")</f>
        <v/>
      </c>
      <c r="M97" s="195"/>
      <c r="N97" s="132" t="str">
        <f ca="1">IF(IFERROR(MATCH("*leave*",OFFSET(Budget!$A$20,N96,0,ROWS(Personnel[]),1),0)+N96,999)&lt;ROWS(Personnel[]),IFERROR(MATCH("*leave*",OFFSET(Budget!$A$20,N96,0,ROWS(Personnel[]),1),0)+N96,999),"")</f>
        <v/>
      </c>
      <c r="O97" s="137" t="str">
        <f ca="1">IFERROR(INDEX(Personnel[Months],N97)*INDEX(Personnel[FTE],N97),"")</f>
        <v/>
      </c>
      <c r="P97" s="195"/>
      <c r="Q97" s="132" t="str">
        <f ca="1">IF(MIN(IFERROR(MATCH("*PostDoc*",OFFSET(Budget!$A$20,Q96,0,ROWS(Personnel[])-Q96,1),0)+Q96,999),IFERROR(MATCH("*PhD*",OFFSET(Budget!$A$20,Q96,0,ROWS(Personnel[])-Q96,1),0)+Q96,999),IFERROR(MATCH("*PDEng*",OFFSET(Budget!$A$20,Q96,0,ROWS(Personnel[])-Q96,1),0)+Q96,999),IFERROR(MATCH("*Doctorate*",OFFSET(Budget!$A$20,Q96,0,ROWS(Personnel[])-Q96,1),0)+Q96,999))&lt;ROWS(Personnel[]),MIN(IFERROR(MATCH("*PostDoc*",OFFSET(Budget!$A$20,Q96,0,ROWS(Personnel[])-Q96,1),0)+Q96,999),IFERROR(MATCH("*PhD*",OFFSET(Budget!$A$20,Q96,0,ROWS(Personnel[])-Q96,1),0)+Q96,999),IFERROR(MATCH("*PDEng*",OFFSET(Budget!$A$20,Q96,0,ROWS(Personnel[])-Q96,1),0)+Q96,999),IFERROR(MATCH("*Doctorate*",OFFSET(Budget!$A$20,Q96,0,ROWS(Personnel[])-Q96,1),0)+Q96,999)),"")</f>
        <v/>
      </c>
      <c r="R97" s="205" t="str">
        <f ca="1">IFERROR(INDEX(Personnel[Category],Q97),"")</f>
        <v/>
      </c>
      <c r="S97" s="205" t="str">
        <f ca="1">IFERROR(INDEX(Personnel[FTE],Q97),"")</f>
        <v/>
      </c>
      <c r="T97" s="205" t="str">
        <f ca="1">IFERROR(INDEX(Personnel[Months],Q97),"")</f>
        <v/>
      </c>
      <c r="U97" s="205" t="str">
        <f ca="1">SUBSTITUTE(IFERROR(INDEX(Personnel[Organisation type],Q97),""),0,"")</f>
        <v/>
      </c>
      <c r="V97" s="206" t="str">
        <f ca="1">SUBSTITUTE(IFERROR(INDEX(Personnel[Name organisation],Q97),""),0,"")</f>
        <v/>
      </c>
      <c r="W97" s="195"/>
      <c r="X97" s="207" t="str">
        <f>IF(ROW(E1634)-ROW($E$1548)&lt;ROWS(inkind[]),IFERROR(IF(INDEX(list_cofunders[private?],MATCH(Budget!#REF!,list_cofunders[list cofunders],0),1)="yes",Budget!#REF!,""),""),"")</f>
        <v/>
      </c>
      <c r="Y97" s="208" t="str">
        <f>IF(ROW(E1737)-ROW($E$1651)&lt;ROWS(incash[]),IFERROR(IF(INDEX(list_cofunders[private?],MATCH(Budget!#REF!,list_cofunders[list cofunders],0),1)="yes",Budget!#REF!,""),""),"")</f>
        <v/>
      </c>
      <c r="Z97" s="205" t="str">
        <f>IFERROR(INDEX(Personnel[FTE],X97),"")</f>
        <v/>
      </c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7"/>
      <c r="DA97" s="27"/>
      <c r="DB97" s="27"/>
      <c r="DC97" s="27"/>
      <c r="DD97" s="27"/>
      <c r="DE97" s="27"/>
      <c r="DF97" s="27"/>
      <c r="DG97" s="27"/>
      <c r="DH97" s="27"/>
    </row>
    <row r="98" spans="2:112" s="26" customFormat="1" ht="11.25" customHeight="1" outlineLevel="1" x14ac:dyDescent="0.35">
      <c r="B98" s="132" t="str">
        <f ca="1">IF(IFERROR(MATCH("*Other*",OFFSET(Budget!$A$20,B97,0,ROWS(Personnel[]),1),0)+B97,999)&lt;ROWS(Personnel[]),IFERROR(MATCH("*Other*",OFFSET(Budget!$A$20,B97,0,ROWS(Personnel[]),1),0)+B97,999),"")</f>
        <v/>
      </c>
      <c r="C98" s="115" t="str">
        <f ca="1">IFERROR(INDEX(Personnel[Amount],B98),"")</f>
        <v/>
      </c>
      <c r="D98" s="29"/>
      <c r="E98" s="132" t="str">
        <f ca="1">IF(MIN(IFERROR(MATCH("*PostDoc*",OFFSET(Budget!$A$20,E97,0,ROWS(Personnel[]),1),0)+E97,999),IFERROR(MATCH("*PhD*",OFFSET(Budget!$A$20,E97,0,ROWS(Personnel[]),1),0)+E97,999),IFERROR(MATCH("*PDEng*",OFFSET(Budget!$A$20,E97,0,ROWS(Personnel[]),1),0)+E97,999))&lt;ROWS(Personnel[]),MIN(IFERROR(MATCH("*PostDoc*",OFFSET(Budget!$A$20,E97,0,ROWS(Personnel[]),1),0)+E97,999),IFERROR(MATCH("*PhD*",OFFSET(Budget!$A$20,E97,0,ROWS(Personnel[]),1),0)+E97,999),IFERROR(MATCH("*PDEng*",OFFSET(Budget!$A$20,E97,0,ROWS(Personnel[]),1),0)+E97,999)),"")</f>
        <v/>
      </c>
      <c r="F98" s="119" t="str">
        <f ca="1">IFERROR(INDEX(Personnel[FTE],E98)*INDEX(Personnel[Months],E98)/12,"")</f>
        <v/>
      </c>
      <c r="G98" s="140"/>
      <c r="H98" s="142" t="e">
        <f ca="1">IF(IFERROR(MATCH("*researcher*",OFFSET(Budget!#REF!,H97,0,ROWS(#REF!),1),0)+H97,999)&lt;ROWS(#REF!),IFERROR(MATCH("*researcher*",OFFSET(Budget!#REF!,H97,0,ROWS(#REF!),1),0)+H97,999),"")</f>
        <v>#REF!</v>
      </c>
      <c r="I98" s="146" t="str">
        <f ca="1">IF(ISERROR(IF(AND(INDEX(#REF!,H98)&gt;=pers_oi_min_months,INDEX(#REF!,H98)/INDEX(#REF!,H98)*12/pers_other_nrhours_year&gt;=pers_oi_minFTE)=TRUE,INDEX(#REF!,H98)/12,0)),"",IF(AND(INDEX(#REF!,H98)&gt;=pers_oi_min_months,INDEX(#REF!,H98)/INDEX(#REF!,H98)*12/pers_other_nrhours_year&gt;=pers_oi_minFTE)=TRUE,INDEX(#REF!,H98)/12,""))</f>
        <v/>
      </c>
      <c r="J98" s="140"/>
      <c r="K98" s="132" t="str">
        <f ca="1">IF(IFERROR(MATCH("*Non-scientific*",OFFSET(Budget!$A$20,K97,0,ROWS(Personnel[]),1),0)+K97,999)&lt;ROWS(Personnel[]),IFERROR(MATCH("*Non-scientific*",OFFSET(Budget!$A$20,K97,0,ROWS(Personnel[]),1),0)+K97,999),"")</f>
        <v/>
      </c>
      <c r="L98" s="115" t="str">
        <f ca="1">IFERROR(INDEX(Personnel[Amount],K98),"")</f>
        <v/>
      </c>
      <c r="M98" s="195"/>
      <c r="N98" s="132" t="str">
        <f ca="1">IF(IFERROR(MATCH("*leave*",OFFSET(Budget!$A$20,N97,0,ROWS(Personnel[]),1),0)+N97,999)&lt;ROWS(Personnel[]),IFERROR(MATCH("*leave*",OFFSET(Budget!$A$20,N97,0,ROWS(Personnel[]),1),0)+N97,999),"")</f>
        <v/>
      </c>
      <c r="O98" s="137" t="str">
        <f ca="1">IFERROR(INDEX(Personnel[Months],N98)*INDEX(Personnel[FTE],N98),"")</f>
        <v/>
      </c>
      <c r="P98" s="195"/>
      <c r="Q98" s="132" t="str">
        <f ca="1">IF(MIN(IFERROR(MATCH("*PostDoc*",OFFSET(Budget!$A$20,Q97,0,ROWS(Personnel[])-Q97,1),0)+Q97,999),IFERROR(MATCH("*PhD*",OFFSET(Budget!$A$20,Q97,0,ROWS(Personnel[])-Q97,1),0)+Q97,999),IFERROR(MATCH("*PDEng*",OFFSET(Budget!$A$20,Q97,0,ROWS(Personnel[])-Q97,1),0)+Q97,999),IFERROR(MATCH("*Doctorate*",OFFSET(Budget!$A$20,Q97,0,ROWS(Personnel[])-Q97,1),0)+Q97,999))&lt;ROWS(Personnel[]),MIN(IFERROR(MATCH("*PostDoc*",OFFSET(Budget!$A$20,Q97,0,ROWS(Personnel[])-Q97,1),0)+Q97,999),IFERROR(MATCH("*PhD*",OFFSET(Budget!$A$20,Q97,0,ROWS(Personnel[])-Q97,1),0)+Q97,999),IFERROR(MATCH("*PDEng*",OFFSET(Budget!$A$20,Q97,0,ROWS(Personnel[])-Q97,1),0)+Q97,999),IFERROR(MATCH("*Doctorate*",OFFSET(Budget!$A$20,Q97,0,ROWS(Personnel[])-Q97,1),0)+Q97,999)),"")</f>
        <v/>
      </c>
      <c r="R98" s="205" t="str">
        <f ca="1">IFERROR(INDEX(Personnel[Category],Q98),"")</f>
        <v/>
      </c>
      <c r="S98" s="205" t="str">
        <f ca="1">IFERROR(INDEX(Personnel[FTE],Q98),"")</f>
        <v/>
      </c>
      <c r="T98" s="205" t="str">
        <f ca="1">IFERROR(INDEX(Personnel[Months],Q98),"")</f>
        <v/>
      </c>
      <c r="U98" s="205" t="str">
        <f ca="1">SUBSTITUTE(IFERROR(INDEX(Personnel[Organisation type],Q98),""),0,"")</f>
        <v/>
      </c>
      <c r="V98" s="206" t="str">
        <f ca="1">SUBSTITUTE(IFERROR(INDEX(Personnel[Name organisation],Q98),""),0,"")</f>
        <v/>
      </c>
      <c r="W98" s="195"/>
      <c r="X98" s="207" t="str">
        <f>IF(ROW(E1635)-ROW($E$1548)&lt;ROWS(inkind[]),IFERROR(IF(INDEX(list_cofunders[private?],MATCH(Budget!#REF!,list_cofunders[list cofunders],0),1)="yes",Budget!#REF!,""),""),"")</f>
        <v/>
      </c>
      <c r="Y98" s="208" t="str">
        <f>IF(ROW(E1738)-ROW($E$1651)&lt;ROWS(incash[]),IFERROR(IF(INDEX(list_cofunders[private?],MATCH(Budget!#REF!,list_cofunders[list cofunders],0),1)="yes",Budget!#REF!,""),""),"")</f>
        <v/>
      </c>
      <c r="Z98" s="205" t="str">
        <f>IFERROR(INDEX(Personnel[FTE],X98),"")</f>
        <v/>
      </c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7"/>
      <c r="DA98" s="27"/>
      <c r="DB98" s="27"/>
      <c r="DC98" s="27"/>
      <c r="DD98" s="27"/>
      <c r="DE98" s="27"/>
      <c r="DF98" s="27"/>
      <c r="DG98" s="27"/>
      <c r="DH98" s="27"/>
    </row>
    <row r="99" spans="2:112" s="26" customFormat="1" ht="11.25" customHeight="1" outlineLevel="1" x14ac:dyDescent="0.35">
      <c r="B99" s="132" t="str">
        <f ca="1">IF(IFERROR(MATCH("*Other*",OFFSET(Budget!$A$20,B98,0,ROWS(Personnel[]),1),0)+B98,999)&lt;ROWS(Personnel[]),IFERROR(MATCH("*Other*",OFFSET(Budget!$A$20,B98,0,ROWS(Personnel[]),1),0)+B98,999),"")</f>
        <v/>
      </c>
      <c r="C99" s="115" t="str">
        <f ca="1">IFERROR(INDEX(Personnel[Amount],B99),"")</f>
        <v/>
      </c>
      <c r="D99" s="29"/>
      <c r="E99" s="132" t="str">
        <f ca="1">IF(MIN(IFERROR(MATCH("*PostDoc*",OFFSET(Budget!$A$20,E98,0,ROWS(Personnel[]),1),0)+E98,999),IFERROR(MATCH("*PhD*",OFFSET(Budget!$A$20,E98,0,ROWS(Personnel[]),1),0)+E98,999),IFERROR(MATCH("*PDEng*",OFFSET(Budget!$A$20,E98,0,ROWS(Personnel[]),1),0)+E98,999))&lt;ROWS(Personnel[]),MIN(IFERROR(MATCH("*PostDoc*",OFFSET(Budget!$A$20,E98,0,ROWS(Personnel[]),1),0)+E98,999),IFERROR(MATCH("*PhD*",OFFSET(Budget!$A$20,E98,0,ROWS(Personnel[]),1),0)+E98,999),IFERROR(MATCH("*PDEng*",OFFSET(Budget!$A$20,E98,0,ROWS(Personnel[]),1),0)+E98,999)),"")</f>
        <v/>
      </c>
      <c r="F99" s="119" t="str">
        <f ca="1">IFERROR(INDEX(Personnel[FTE],E99)*INDEX(Personnel[Months],E99)/12,"")</f>
        <v/>
      </c>
      <c r="G99" s="140"/>
      <c r="H99" s="142" t="e">
        <f ca="1">IF(IFERROR(MATCH("*researcher*",OFFSET(Budget!#REF!,H98,0,ROWS(#REF!),1),0)+H98,999)&lt;ROWS(#REF!),IFERROR(MATCH("*researcher*",OFFSET(Budget!#REF!,H98,0,ROWS(#REF!),1),0)+H98,999),"")</f>
        <v>#REF!</v>
      </c>
      <c r="I99" s="146" t="str">
        <f ca="1">IF(ISERROR(IF(AND(INDEX(#REF!,H99)&gt;=pers_oi_min_months,INDEX(#REF!,H99)/INDEX(#REF!,H99)*12/pers_other_nrhours_year&gt;=pers_oi_minFTE)=TRUE,INDEX(#REF!,H99)/12,0)),"",IF(AND(INDEX(#REF!,H99)&gt;=pers_oi_min_months,INDEX(#REF!,H99)/INDEX(#REF!,H99)*12/pers_other_nrhours_year&gt;=pers_oi_minFTE)=TRUE,INDEX(#REF!,H99)/12,""))</f>
        <v/>
      </c>
      <c r="J99" s="140"/>
      <c r="K99" s="132" t="str">
        <f ca="1">IF(IFERROR(MATCH("*Non-scientific*",OFFSET(Budget!$A$20,K98,0,ROWS(Personnel[]),1),0)+K98,999)&lt;ROWS(Personnel[]),IFERROR(MATCH("*Non-scientific*",OFFSET(Budget!$A$20,K98,0,ROWS(Personnel[]),1),0)+K98,999),"")</f>
        <v/>
      </c>
      <c r="L99" s="115" t="str">
        <f ca="1">IFERROR(INDEX(Personnel[Amount],K99),"")</f>
        <v/>
      </c>
      <c r="M99" s="195"/>
      <c r="N99" s="132" t="str">
        <f ca="1">IF(IFERROR(MATCH("*leave*",OFFSET(Budget!$A$20,N98,0,ROWS(Personnel[]),1),0)+N98,999)&lt;ROWS(Personnel[]),IFERROR(MATCH("*leave*",OFFSET(Budget!$A$20,N98,0,ROWS(Personnel[]),1),0)+N98,999),"")</f>
        <v/>
      </c>
      <c r="O99" s="137" t="str">
        <f ca="1">IFERROR(INDEX(Personnel[Months],N99)*INDEX(Personnel[FTE],N99),"")</f>
        <v/>
      </c>
      <c r="P99" s="195"/>
      <c r="Q99" s="132" t="str">
        <f ca="1">IF(MIN(IFERROR(MATCH("*PostDoc*",OFFSET(Budget!$A$20,Q98,0,ROWS(Personnel[])-Q98,1),0)+Q98,999),IFERROR(MATCH("*PhD*",OFFSET(Budget!$A$20,Q98,0,ROWS(Personnel[])-Q98,1),0)+Q98,999),IFERROR(MATCH("*PDEng*",OFFSET(Budget!$A$20,Q98,0,ROWS(Personnel[])-Q98,1),0)+Q98,999),IFERROR(MATCH("*Doctorate*",OFFSET(Budget!$A$20,Q98,0,ROWS(Personnel[])-Q98,1),0)+Q98,999))&lt;ROWS(Personnel[]),MIN(IFERROR(MATCH("*PostDoc*",OFFSET(Budget!$A$20,Q98,0,ROWS(Personnel[])-Q98,1),0)+Q98,999),IFERROR(MATCH("*PhD*",OFFSET(Budget!$A$20,Q98,0,ROWS(Personnel[])-Q98,1),0)+Q98,999),IFERROR(MATCH("*PDEng*",OFFSET(Budget!$A$20,Q98,0,ROWS(Personnel[])-Q98,1),0)+Q98,999),IFERROR(MATCH("*Doctorate*",OFFSET(Budget!$A$20,Q98,0,ROWS(Personnel[])-Q98,1),0)+Q98,999)),"")</f>
        <v/>
      </c>
      <c r="R99" s="205" t="str">
        <f ca="1">IFERROR(INDEX(Personnel[Category],Q99),"")</f>
        <v/>
      </c>
      <c r="S99" s="205" t="str">
        <f ca="1">IFERROR(INDEX(Personnel[FTE],Q99),"")</f>
        <v/>
      </c>
      <c r="T99" s="205" t="str">
        <f ca="1">IFERROR(INDEX(Personnel[Months],Q99),"")</f>
        <v/>
      </c>
      <c r="U99" s="205" t="str">
        <f ca="1">SUBSTITUTE(IFERROR(INDEX(Personnel[Organisation type],Q99),""),0,"")</f>
        <v/>
      </c>
      <c r="V99" s="206" t="str">
        <f ca="1">SUBSTITUTE(IFERROR(INDEX(Personnel[Name organisation],Q99),""),0,"")</f>
        <v/>
      </c>
      <c r="W99" s="195"/>
      <c r="X99" s="207" t="str">
        <f>IF(ROW(E1636)-ROW($E$1548)&lt;ROWS(inkind[]),IFERROR(IF(INDEX(list_cofunders[private?],MATCH(Budget!#REF!,list_cofunders[list cofunders],0),1)="yes",Budget!#REF!,""),""),"")</f>
        <v/>
      </c>
      <c r="Y99" s="208" t="str">
        <f>IF(ROW(E1739)-ROW($E$1651)&lt;ROWS(incash[]),IFERROR(IF(INDEX(list_cofunders[private?],MATCH(Budget!#REF!,list_cofunders[list cofunders],0),1)="yes",Budget!#REF!,""),""),"")</f>
        <v/>
      </c>
      <c r="Z99" s="205" t="str">
        <f>IFERROR(INDEX(Personnel[FTE],X99),"")</f>
        <v/>
      </c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7"/>
      <c r="DA99" s="27"/>
      <c r="DB99" s="27"/>
      <c r="DC99" s="27"/>
      <c r="DD99" s="27"/>
      <c r="DE99" s="27"/>
      <c r="DF99" s="27"/>
      <c r="DG99" s="27"/>
      <c r="DH99" s="27"/>
    </row>
    <row r="100" spans="2:112" s="26" customFormat="1" ht="11.25" customHeight="1" outlineLevel="1" x14ac:dyDescent="0.35">
      <c r="B100" s="132" t="str">
        <f ca="1">IF(IFERROR(MATCH("*Other*",OFFSET(Budget!$A$20,B99,0,ROWS(Personnel[]),1),0)+B99,999)&lt;ROWS(Personnel[]),IFERROR(MATCH("*Other*",OFFSET(Budget!$A$20,B99,0,ROWS(Personnel[]),1),0)+B99,999),"")</f>
        <v/>
      </c>
      <c r="C100" s="115" t="str">
        <f ca="1">IFERROR(INDEX(Personnel[Amount],B100),"")</f>
        <v/>
      </c>
      <c r="D100" s="29"/>
      <c r="E100" s="132" t="str">
        <f ca="1">IF(MIN(IFERROR(MATCH("*PostDoc*",OFFSET(Budget!$A$20,E99,0,ROWS(Personnel[]),1),0)+E99,999),IFERROR(MATCH("*PhD*",OFFSET(Budget!$A$20,E99,0,ROWS(Personnel[]),1),0)+E99,999),IFERROR(MATCH("*PDEng*",OFFSET(Budget!$A$20,E99,0,ROWS(Personnel[]),1),0)+E99,999))&lt;ROWS(Personnel[]),MIN(IFERROR(MATCH("*PostDoc*",OFFSET(Budget!$A$20,E99,0,ROWS(Personnel[]),1),0)+E99,999),IFERROR(MATCH("*PhD*",OFFSET(Budget!$A$20,E99,0,ROWS(Personnel[]),1),0)+E99,999),IFERROR(MATCH("*PDEng*",OFFSET(Budget!$A$20,E99,0,ROWS(Personnel[]),1),0)+E99,999)),"")</f>
        <v/>
      </c>
      <c r="F100" s="119" t="str">
        <f ca="1">IFERROR(INDEX(Personnel[FTE],E100)*INDEX(Personnel[Months],E100)/12,"")</f>
        <v/>
      </c>
      <c r="G100" s="140"/>
      <c r="H100" s="142" t="e">
        <f ca="1">IF(IFERROR(MATCH("*researcher*",OFFSET(Budget!#REF!,H99,0,ROWS(#REF!),1),0)+H99,999)&lt;ROWS(#REF!),IFERROR(MATCH("*researcher*",OFFSET(Budget!#REF!,H99,0,ROWS(#REF!),1),0)+H99,999),"")</f>
        <v>#REF!</v>
      </c>
      <c r="I100" s="146" t="str">
        <f ca="1">IF(ISERROR(IF(AND(INDEX(#REF!,H100)&gt;=pers_oi_min_months,INDEX(#REF!,H100)/INDEX(#REF!,H100)*12/pers_other_nrhours_year&gt;=pers_oi_minFTE)=TRUE,INDEX(#REF!,H100)/12,0)),"",IF(AND(INDEX(#REF!,H100)&gt;=pers_oi_min_months,INDEX(#REF!,H100)/INDEX(#REF!,H100)*12/pers_other_nrhours_year&gt;=pers_oi_minFTE)=TRUE,INDEX(#REF!,H100)/12,""))</f>
        <v/>
      </c>
      <c r="J100" s="140"/>
      <c r="K100" s="132" t="str">
        <f ca="1">IF(IFERROR(MATCH("*Non-scientific*",OFFSET(Budget!$A$20,K99,0,ROWS(Personnel[]),1),0)+K99,999)&lt;ROWS(Personnel[]),IFERROR(MATCH("*Non-scientific*",OFFSET(Budget!$A$20,K99,0,ROWS(Personnel[]),1),0)+K99,999),"")</f>
        <v/>
      </c>
      <c r="L100" s="115" t="str">
        <f ca="1">IFERROR(INDEX(Personnel[Amount],K100),"")</f>
        <v/>
      </c>
      <c r="M100" s="195"/>
      <c r="N100" s="132" t="str">
        <f ca="1">IF(IFERROR(MATCH("*leave*",OFFSET(Budget!$A$20,N99,0,ROWS(Personnel[]),1),0)+N99,999)&lt;ROWS(Personnel[]),IFERROR(MATCH("*leave*",OFFSET(Budget!$A$20,N99,0,ROWS(Personnel[]),1),0)+N99,999),"")</f>
        <v/>
      </c>
      <c r="O100" s="137" t="str">
        <f ca="1">IFERROR(INDEX(Personnel[Months],N100)*INDEX(Personnel[FTE],N100),"")</f>
        <v/>
      </c>
      <c r="P100" s="195"/>
      <c r="Q100" s="132" t="str">
        <f ca="1">IF(MIN(IFERROR(MATCH("*PostDoc*",OFFSET(Budget!$A$20,Q99,0,ROWS(Personnel[])-Q99,1),0)+Q99,999),IFERROR(MATCH("*PhD*",OFFSET(Budget!$A$20,Q99,0,ROWS(Personnel[])-Q99,1),0)+Q99,999),IFERROR(MATCH("*PDEng*",OFFSET(Budget!$A$20,Q99,0,ROWS(Personnel[])-Q99,1),0)+Q99,999),IFERROR(MATCH("*Doctorate*",OFFSET(Budget!$A$20,Q99,0,ROWS(Personnel[])-Q99,1),0)+Q99,999))&lt;ROWS(Personnel[]),MIN(IFERROR(MATCH("*PostDoc*",OFFSET(Budget!$A$20,Q99,0,ROWS(Personnel[])-Q99,1),0)+Q99,999),IFERROR(MATCH("*PhD*",OFFSET(Budget!$A$20,Q99,0,ROWS(Personnel[])-Q99,1),0)+Q99,999),IFERROR(MATCH("*PDEng*",OFFSET(Budget!$A$20,Q99,0,ROWS(Personnel[])-Q99,1),0)+Q99,999),IFERROR(MATCH("*Doctorate*",OFFSET(Budget!$A$20,Q99,0,ROWS(Personnel[])-Q99,1),0)+Q99,999)),"")</f>
        <v/>
      </c>
      <c r="R100" s="205" t="str">
        <f ca="1">IFERROR(INDEX(Personnel[Category],Q100),"")</f>
        <v/>
      </c>
      <c r="S100" s="205" t="str">
        <f ca="1">IFERROR(INDEX(Personnel[FTE],Q100),"")</f>
        <v/>
      </c>
      <c r="T100" s="205" t="str">
        <f ca="1">IFERROR(INDEX(Personnel[Months],Q100),"")</f>
        <v/>
      </c>
      <c r="U100" s="205" t="str">
        <f ca="1">SUBSTITUTE(IFERROR(INDEX(Personnel[Organisation type],Q100),""),0,"")</f>
        <v/>
      </c>
      <c r="V100" s="206" t="str">
        <f ca="1">SUBSTITUTE(IFERROR(INDEX(Personnel[Name organisation],Q100),""),0,"")</f>
        <v/>
      </c>
      <c r="W100" s="195"/>
      <c r="X100" s="207" t="str">
        <f>IF(ROW(E1637)-ROW($E$1548)&lt;ROWS(inkind[]),IFERROR(IF(INDEX(list_cofunders[private?],MATCH(Budget!#REF!,list_cofunders[list cofunders],0),1)="yes",Budget!#REF!,""),""),"")</f>
        <v/>
      </c>
      <c r="Y100" s="208" t="str">
        <f>IF(ROW(E1740)-ROW($E$1651)&lt;ROWS(incash[]),IFERROR(IF(INDEX(list_cofunders[private?],MATCH(Budget!#REF!,list_cofunders[list cofunders],0),1)="yes",Budget!#REF!,""),""),"")</f>
        <v/>
      </c>
      <c r="Z100" s="205" t="str">
        <f>IFERROR(INDEX(Personnel[FTE],X100),"")</f>
        <v/>
      </c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7"/>
      <c r="DA100" s="27"/>
      <c r="DB100" s="27"/>
      <c r="DC100" s="27"/>
      <c r="DD100" s="27"/>
      <c r="DE100" s="27"/>
      <c r="DF100" s="27"/>
      <c r="DG100" s="27"/>
      <c r="DH100" s="27"/>
    </row>
    <row r="101" spans="2:112" s="26" customFormat="1" ht="11.25" customHeight="1" outlineLevel="1" x14ac:dyDescent="0.35">
      <c r="B101" s="132" t="str">
        <f ca="1">IF(IFERROR(MATCH("*Other*",OFFSET(Budget!$A$20,B100,0,ROWS(Personnel[]),1),0)+B100,999)&lt;ROWS(Personnel[]),IFERROR(MATCH("*Other*",OFFSET(Budget!$A$20,B100,0,ROWS(Personnel[]),1),0)+B100,999),"")</f>
        <v/>
      </c>
      <c r="C101" s="115" t="str">
        <f ca="1">IFERROR(INDEX(Personnel[Amount],B101),"")</f>
        <v/>
      </c>
      <c r="D101" s="29"/>
      <c r="E101" s="132" t="str">
        <f ca="1">IF(MIN(IFERROR(MATCH("*PostDoc*",OFFSET(Budget!$A$20,E100,0,ROWS(Personnel[]),1),0)+E100,999),IFERROR(MATCH("*PhD*",OFFSET(Budget!$A$20,E100,0,ROWS(Personnel[]),1),0)+E100,999),IFERROR(MATCH("*PDEng*",OFFSET(Budget!$A$20,E100,0,ROWS(Personnel[]),1),0)+E100,999))&lt;ROWS(Personnel[]),MIN(IFERROR(MATCH("*PostDoc*",OFFSET(Budget!$A$20,E100,0,ROWS(Personnel[]),1),0)+E100,999),IFERROR(MATCH("*PhD*",OFFSET(Budget!$A$20,E100,0,ROWS(Personnel[]),1),0)+E100,999),IFERROR(MATCH("*PDEng*",OFFSET(Budget!$A$20,E100,0,ROWS(Personnel[]),1),0)+E100,999)),"")</f>
        <v/>
      </c>
      <c r="F101" s="119" t="str">
        <f ca="1">IFERROR(INDEX(Personnel[FTE],E101)*INDEX(Personnel[Months],E101)/12,"")</f>
        <v/>
      </c>
      <c r="G101" s="140"/>
      <c r="H101" s="142" t="e">
        <f ca="1">IF(IFERROR(MATCH("*researcher*",OFFSET(Budget!#REF!,H100,0,ROWS(#REF!),1),0)+H100,999)&lt;ROWS(#REF!),IFERROR(MATCH("*researcher*",OFFSET(Budget!#REF!,H100,0,ROWS(#REF!),1),0)+H100,999),"")</f>
        <v>#REF!</v>
      </c>
      <c r="I101" s="146" t="str">
        <f ca="1">IF(ISERROR(IF(AND(INDEX(#REF!,H101)&gt;=pers_oi_min_months,INDEX(#REF!,H101)/INDEX(#REF!,H101)*12/pers_other_nrhours_year&gt;=pers_oi_minFTE)=TRUE,INDEX(#REF!,H101)/12,0)),"",IF(AND(INDEX(#REF!,H101)&gt;=pers_oi_min_months,INDEX(#REF!,H101)/INDEX(#REF!,H101)*12/pers_other_nrhours_year&gt;=pers_oi_minFTE)=TRUE,INDEX(#REF!,H101)/12,""))</f>
        <v/>
      </c>
      <c r="J101" s="140"/>
      <c r="K101" s="132" t="str">
        <f ca="1">IF(IFERROR(MATCH("*Non-scientific*",OFFSET(Budget!$A$20,K100,0,ROWS(Personnel[]),1),0)+K100,999)&lt;ROWS(Personnel[]),IFERROR(MATCH("*Non-scientific*",OFFSET(Budget!$A$20,K100,0,ROWS(Personnel[]),1),0)+K100,999),"")</f>
        <v/>
      </c>
      <c r="L101" s="115" t="str">
        <f ca="1">IFERROR(INDEX(Personnel[Amount],K101),"")</f>
        <v/>
      </c>
      <c r="M101" s="195"/>
      <c r="N101" s="132" t="str">
        <f ca="1">IF(IFERROR(MATCH("*leave*",OFFSET(Budget!$A$20,N100,0,ROWS(Personnel[]),1),0)+N100,999)&lt;ROWS(Personnel[]),IFERROR(MATCH("*leave*",OFFSET(Budget!$A$20,N100,0,ROWS(Personnel[]),1),0)+N100,999),"")</f>
        <v/>
      </c>
      <c r="O101" s="137" t="str">
        <f ca="1">IFERROR(INDEX(Personnel[Months],N101)*INDEX(Personnel[FTE],N101),"")</f>
        <v/>
      </c>
      <c r="P101" s="195"/>
      <c r="Q101" s="132" t="str">
        <f ca="1">IF(MIN(IFERROR(MATCH("*PostDoc*",OFFSET(Budget!$A$20,Q100,0,ROWS(Personnel[])-Q100,1),0)+Q100,999),IFERROR(MATCH("*PhD*",OFFSET(Budget!$A$20,Q100,0,ROWS(Personnel[])-Q100,1),0)+Q100,999),IFERROR(MATCH("*PDEng*",OFFSET(Budget!$A$20,Q100,0,ROWS(Personnel[])-Q100,1),0)+Q100,999),IFERROR(MATCH("*Doctorate*",OFFSET(Budget!$A$20,Q100,0,ROWS(Personnel[])-Q100,1),0)+Q100,999))&lt;ROWS(Personnel[]),MIN(IFERROR(MATCH("*PostDoc*",OFFSET(Budget!$A$20,Q100,0,ROWS(Personnel[])-Q100,1),0)+Q100,999),IFERROR(MATCH("*PhD*",OFFSET(Budget!$A$20,Q100,0,ROWS(Personnel[])-Q100,1),0)+Q100,999),IFERROR(MATCH("*PDEng*",OFFSET(Budget!$A$20,Q100,0,ROWS(Personnel[])-Q100,1),0)+Q100,999),IFERROR(MATCH("*Doctorate*",OFFSET(Budget!$A$20,Q100,0,ROWS(Personnel[])-Q100,1),0)+Q100,999)),"")</f>
        <v/>
      </c>
      <c r="R101" s="205" t="str">
        <f ca="1">IFERROR(INDEX(Personnel[Category],Q101),"")</f>
        <v/>
      </c>
      <c r="S101" s="205" t="str">
        <f ca="1">IFERROR(INDEX(Personnel[FTE],Q101),"")</f>
        <v/>
      </c>
      <c r="T101" s="205" t="str">
        <f ca="1">IFERROR(INDEX(Personnel[Months],Q101),"")</f>
        <v/>
      </c>
      <c r="U101" s="205" t="str">
        <f ca="1">SUBSTITUTE(IFERROR(INDEX(Personnel[Organisation type],Q101),""),0,"")</f>
        <v/>
      </c>
      <c r="V101" s="206" t="str">
        <f ca="1">SUBSTITUTE(IFERROR(INDEX(Personnel[Name organisation],Q101),""),0,"")</f>
        <v/>
      </c>
      <c r="W101" s="195"/>
      <c r="X101" s="207" t="str">
        <f>IF(ROW(E1638)-ROW($E$1548)&lt;ROWS(inkind[]),IFERROR(IF(INDEX(list_cofunders[private?],MATCH(Budget!#REF!,list_cofunders[list cofunders],0),1)="yes",Budget!#REF!,""),""),"")</f>
        <v/>
      </c>
      <c r="Y101" s="208" t="str">
        <f>IF(ROW(E1741)-ROW($E$1651)&lt;ROWS(incash[]),IFERROR(IF(INDEX(list_cofunders[private?],MATCH(Budget!#REF!,list_cofunders[list cofunders],0),1)="yes",Budget!#REF!,""),""),"")</f>
        <v/>
      </c>
      <c r="Z101" s="205" t="str">
        <f>IFERROR(INDEX(Personnel[FTE],X101),"")</f>
        <v/>
      </c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7"/>
      <c r="DA101" s="27"/>
      <c r="DB101" s="27"/>
      <c r="DC101" s="27"/>
      <c r="DD101" s="27"/>
      <c r="DE101" s="27"/>
      <c r="DF101" s="27"/>
      <c r="DG101" s="27"/>
      <c r="DH101" s="27"/>
    </row>
    <row r="102" spans="2:112" s="26" customFormat="1" ht="11.25" customHeight="1" outlineLevel="1" x14ac:dyDescent="0.35">
      <c r="B102" s="132" t="str">
        <f ca="1">IF(IFERROR(MATCH("*Other*",OFFSET(Budget!$A$20,B101,0,ROWS(Personnel[]),1),0)+B101,999)&lt;ROWS(Personnel[]),IFERROR(MATCH("*Other*",OFFSET(Budget!$A$20,B101,0,ROWS(Personnel[]),1),0)+B101,999),"")</f>
        <v/>
      </c>
      <c r="C102" s="115" t="str">
        <f ca="1">IFERROR(INDEX(Personnel[Amount],B102),"")</f>
        <v/>
      </c>
      <c r="D102" s="29"/>
      <c r="E102" s="132" t="str">
        <f ca="1">IF(MIN(IFERROR(MATCH("*PostDoc*",OFFSET(Budget!$A$20,E101,0,ROWS(Personnel[]),1),0)+E101,999),IFERROR(MATCH("*PhD*",OFFSET(Budget!$A$20,E101,0,ROWS(Personnel[]),1),0)+E101,999),IFERROR(MATCH("*PDEng*",OFFSET(Budget!$A$20,E101,0,ROWS(Personnel[]),1),0)+E101,999))&lt;ROWS(Personnel[]),MIN(IFERROR(MATCH("*PostDoc*",OFFSET(Budget!$A$20,E101,0,ROWS(Personnel[]),1),0)+E101,999),IFERROR(MATCH("*PhD*",OFFSET(Budget!$A$20,E101,0,ROWS(Personnel[]),1),0)+E101,999),IFERROR(MATCH("*PDEng*",OFFSET(Budget!$A$20,E101,0,ROWS(Personnel[]),1),0)+E101,999)),"")</f>
        <v/>
      </c>
      <c r="F102" s="119" t="str">
        <f ca="1">IFERROR(INDEX(Personnel[FTE],E102)*INDEX(Personnel[Months],E102)/12,"")</f>
        <v/>
      </c>
      <c r="G102" s="140"/>
      <c r="H102" s="142" t="e">
        <f ca="1">IF(IFERROR(MATCH("*researcher*",OFFSET(Budget!#REF!,H101,0,ROWS(#REF!),1),0)+H101,999)&lt;ROWS(#REF!),IFERROR(MATCH("*researcher*",OFFSET(Budget!#REF!,H101,0,ROWS(#REF!),1),0)+H101,999),"")</f>
        <v>#REF!</v>
      </c>
      <c r="I102" s="146" t="str">
        <f ca="1">IF(ISERROR(IF(AND(INDEX(#REF!,H102)&gt;=pers_oi_min_months,INDEX(#REF!,H102)/INDEX(#REF!,H102)*12/pers_other_nrhours_year&gt;=pers_oi_minFTE)=TRUE,INDEX(#REF!,H102)/12,0)),"",IF(AND(INDEX(#REF!,H102)&gt;=pers_oi_min_months,INDEX(#REF!,H102)/INDEX(#REF!,H102)*12/pers_other_nrhours_year&gt;=pers_oi_minFTE)=TRUE,INDEX(#REF!,H102)/12,""))</f>
        <v/>
      </c>
      <c r="J102" s="140"/>
      <c r="K102" s="132" t="str">
        <f ca="1">IF(IFERROR(MATCH("*Non-scientific*",OFFSET(Budget!$A$20,K101,0,ROWS(Personnel[]),1),0)+K101,999)&lt;ROWS(Personnel[]),IFERROR(MATCH("*Non-scientific*",OFFSET(Budget!$A$20,K101,0,ROWS(Personnel[]),1),0)+K101,999),"")</f>
        <v/>
      </c>
      <c r="L102" s="115" t="str">
        <f ca="1">IFERROR(INDEX(Personnel[Amount],K102),"")</f>
        <v/>
      </c>
      <c r="M102" s="195"/>
      <c r="N102" s="132" t="str">
        <f ca="1">IF(IFERROR(MATCH("*leave*",OFFSET(Budget!$A$20,N101,0,ROWS(Personnel[]),1),0)+N101,999)&lt;ROWS(Personnel[]),IFERROR(MATCH("*leave*",OFFSET(Budget!$A$20,N101,0,ROWS(Personnel[]),1),0)+N101,999),"")</f>
        <v/>
      </c>
      <c r="O102" s="137" t="str">
        <f ca="1">IFERROR(INDEX(Personnel[Months],N102)*INDEX(Personnel[FTE],N102),"")</f>
        <v/>
      </c>
      <c r="P102" s="195"/>
      <c r="Q102" s="132" t="str">
        <f ca="1">IF(MIN(IFERROR(MATCH("*PostDoc*",OFFSET(Budget!$A$20,Q101,0,ROWS(Personnel[])-Q101,1),0)+Q101,999),IFERROR(MATCH("*PhD*",OFFSET(Budget!$A$20,Q101,0,ROWS(Personnel[])-Q101,1),0)+Q101,999),IFERROR(MATCH("*PDEng*",OFFSET(Budget!$A$20,Q101,0,ROWS(Personnel[])-Q101,1),0)+Q101,999),IFERROR(MATCH("*Doctorate*",OFFSET(Budget!$A$20,Q101,0,ROWS(Personnel[])-Q101,1),0)+Q101,999))&lt;ROWS(Personnel[]),MIN(IFERROR(MATCH("*PostDoc*",OFFSET(Budget!$A$20,Q101,0,ROWS(Personnel[])-Q101,1),0)+Q101,999),IFERROR(MATCH("*PhD*",OFFSET(Budget!$A$20,Q101,0,ROWS(Personnel[])-Q101,1),0)+Q101,999),IFERROR(MATCH("*PDEng*",OFFSET(Budget!$A$20,Q101,0,ROWS(Personnel[])-Q101,1),0)+Q101,999),IFERROR(MATCH("*Doctorate*",OFFSET(Budget!$A$20,Q101,0,ROWS(Personnel[])-Q101,1),0)+Q101,999)),"")</f>
        <v/>
      </c>
      <c r="R102" s="205" t="str">
        <f ca="1">IFERROR(INDEX(Personnel[Category],Q102),"")</f>
        <v/>
      </c>
      <c r="S102" s="205" t="str">
        <f ca="1">IFERROR(INDEX(Personnel[FTE],Q102),"")</f>
        <v/>
      </c>
      <c r="T102" s="205" t="str">
        <f ca="1">IFERROR(INDEX(Personnel[Months],Q102),"")</f>
        <v/>
      </c>
      <c r="U102" s="205" t="str">
        <f ca="1">SUBSTITUTE(IFERROR(INDEX(Personnel[Organisation type],Q102),""),0,"")</f>
        <v/>
      </c>
      <c r="V102" s="206" t="str">
        <f ca="1">SUBSTITUTE(IFERROR(INDEX(Personnel[Name organisation],Q102),""),0,"")</f>
        <v/>
      </c>
      <c r="W102" s="195"/>
      <c r="X102" s="207" t="str">
        <f>IF(ROW(E1639)-ROW($E$1548)&lt;ROWS(inkind[]),IFERROR(IF(INDEX(list_cofunders[private?],MATCH(Budget!#REF!,list_cofunders[list cofunders],0),1)="yes",Budget!#REF!,""),""),"")</f>
        <v/>
      </c>
      <c r="Y102" s="208" t="str">
        <f>IF(ROW(E1742)-ROW($E$1651)&lt;ROWS(incash[]),IFERROR(IF(INDEX(list_cofunders[private?],MATCH(Budget!#REF!,list_cofunders[list cofunders],0),1)="yes",Budget!#REF!,""),""),"")</f>
        <v/>
      </c>
      <c r="Z102" s="205" t="str">
        <f>IFERROR(INDEX(Personnel[FTE],X102),"")</f>
        <v/>
      </c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7"/>
      <c r="DA102" s="27"/>
      <c r="DB102" s="27"/>
      <c r="DC102" s="27"/>
      <c r="DD102" s="27"/>
      <c r="DE102" s="27"/>
      <c r="DF102" s="27"/>
      <c r="DG102" s="27"/>
      <c r="DH102" s="27"/>
    </row>
    <row r="103" spans="2:112" s="26" customFormat="1" ht="11.25" customHeight="1" outlineLevel="1" x14ac:dyDescent="0.35">
      <c r="B103" s="132" t="str">
        <f ca="1">IF(IFERROR(MATCH("*Other*",OFFSET(Budget!$A$20,B102,0,ROWS(Personnel[]),1),0)+B102,999)&lt;ROWS(Personnel[]),IFERROR(MATCH("*Other*",OFFSET(Budget!$A$20,B102,0,ROWS(Personnel[]),1),0)+B102,999),"")</f>
        <v/>
      </c>
      <c r="C103" s="115" t="str">
        <f ca="1">IFERROR(INDEX(Personnel[Amount],B103),"")</f>
        <v/>
      </c>
      <c r="D103" s="29"/>
      <c r="E103" s="132" t="str">
        <f ca="1">IF(MIN(IFERROR(MATCH("*PostDoc*",OFFSET(Budget!$A$20,E102,0,ROWS(Personnel[]),1),0)+E102,999),IFERROR(MATCH("*PhD*",OFFSET(Budget!$A$20,E102,0,ROWS(Personnel[]),1),0)+E102,999),IFERROR(MATCH("*PDEng*",OFFSET(Budget!$A$20,E102,0,ROWS(Personnel[]),1),0)+E102,999))&lt;ROWS(Personnel[]),MIN(IFERROR(MATCH("*PostDoc*",OFFSET(Budget!$A$20,E102,0,ROWS(Personnel[]),1),0)+E102,999),IFERROR(MATCH("*PhD*",OFFSET(Budget!$A$20,E102,0,ROWS(Personnel[]),1),0)+E102,999),IFERROR(MATCH("*PDEng*",OFFSET(Budget!$A$20,E102,0,ROWS(Personnel[]),1),0)+E102,999)),"")</f>
        <v/>
      </c>
      <c r="F103" s="119" t="str">
        <f ca="1">IFERROR(INDEX(Personnel[FTE],E103)*INDEX(Personnel[Months],E103)/12,"")</f>
        <v/>
      </c>
      <c r="G103" s="140"/>
      <c r="H103" s="142" t="e">
        <f ca="1">IF(IFERROR(MATCH("*researcher*",OFFSET(Budget!#REF!,H102,0,ROWS(#REF!),1),0)+H102,999)&lt;ROWS(#REF!),IFERROR(MATCH("*researcher*",OFFSET(Budget!#REF!,H102,0,ROWS(#REF!),1),0)+H102,999),"")</f>
        <v>#REF!</v>
      </c>
      <c r="I103" s="146" t="str">
        <f ca="1">IF(ISERROR(IF(AND(INDEX(#REF!,H103)&gt;=pers_oi_min_months,INDEX(#REF!,H103)/INDEX(#REF!,H103)*12/pers_other_nrhours_year&gt;=pers_oi_minFTE)=TRUE,INDEX(#REF!,H103)/12,0)),"",IF(AND(INDEX(#REF!,H103)&gt;=pers_oi_min_months,INDEX(#REF!,H103)/INDEX(#REF!,H103)*12/pers_other_nrhours_year&gt;=pers_oi_minFTE)=TRUE,INDEX(#REF!,H103)/12,""))</f>
        <v/>
      </c>
      <c r="J103" s="140"/>
      <c r="K103" s="132" t="str">
        <f ca="1">IF(IFERROR(MATCH("*Non-scientific*",OFFSET(Budget!$A$20,K102,0,ROWS(Personnel[]),1),0)+K102,999)&lt;ROWS(Personnel[]),IFERROR(MATCH("*Non-scientific*",OFFSET(Budget!$A$20,K102,0,ROWS(Personnel[]),1),0)+K102,999),"")</f>
        <v/>
      </c>
      <c r="L103" s="115" t="str">
        <f ca="1">IFERROR(INDEX(Personnel[Amount],K103),"")</f>
        <v/>
      </c>
      <c r="M103" s="195"/>
      <c r="N103" s="132" t="str">
        <f ca="1">IF(IFERROR(MATCH("*leave*",OFFSET(Budget!$A$20,N102,0,ROWS(Personnel[]),1),0)+N102,999)&lt;ROWS(Personnel[]),IFERROR(MATCH("*leave*",OFFSET(Budget!$A$20,N102,0,ROWS(Personnel[]),1),0)+N102,999),"")</f>
        <v/>
      </c>
      <c r="O103" s="137" t="str">
        <f ca="1">IFERROR(INDEX(Personnel[Months],N103)*INDEX(Personnel[FTE],N103),"")</f>
        <v/>
      </c>
      <c r="P103" s="195"/>
      <c r="Q103" s="132" t="str">
        <f ca="1">IF(MIN(IFERROR(MATCH("*PostDoc*",OFFSET(Budget!$A$20,Q102,0,ROWS(Personnel[])-Q102,1),0)+Q102,999),IFERROR(MATCH("*PhD*",OFFSET(Budget!$A$20,Q102,0,ROWS(Personnel[])-Q102,1),0)+Q102,999),IFERROR(MATCH("*PDEng*",OFFSET(Budget!$A$20,Q102,0,ROWS(Personnel[])-Q102,1),0)+Q102,999),IFERROR(MATCH("*Doctorate*",OFFSET(Budget!$A$20,Q102,0,ROWS(Personnel[])-Q102,1),0)+Q102,999))&lt;ROWS(Personnel[]),MIN(IFERROR(MATCH("*PostDoc*",OFFSET(Budget!$A$20,Q102,0,ROWS(Personnel[])-Q102,1),0)+Q102,999),IFERROR(MATCH("*PhD*",OFFSET(Budget!$A$20,Q102,0,ROWS(Personnel[])-Q102,1),0)+Q102,999),IFERROR(MATCH("*PDEng*",OFFSET(Budget!$A$20,Q102,0,ROWS(Personnel[])-Q102,1),0)+Q102,999),IFERROR(MATCH("*Doctorate*",OFFSET(Budget!$A$20,Q102,0,ROWS(Personnel[])-Q102,1),0)+Q102,999)),"")</f>
        <v/>
      </c>
      <c r="R103" s="205" t="str">
        <f ca="1">IFERROR(INDEX(Personnel[Category],Q103),"")</f>
        <v/>
      </c>
      <c r="S103" s="205" t="str">
        <f ca="1">IFERROR(INDEX(Personnel[FTE],Q103),"")</f>
        <v/>
      </c>
      <c r="T103" s="205" t="str">
        <f ca="1">IFERROR(INDEX(Personnel[Months],Q103),"")</f>
        <v/>
      </c>
      <c r="U103" s="205" t="str">
        <f ca="1">SUBSTITUTE(IFERROR(INDEX(Personnel[Organisation type],Q103),""),0,"")</f>
        <v/>
      </c>
      <c r="V103" s="206" t="str">
        <f ca="1">SUBSTITUTE(IFERROR(INDEX(Personnel[Name organisation],Q103),""),0,"")</f>
        <v/>
      </c>
      <c r="W103" s="195"/>
      <c r="X103" s="207" t="str">
        <f>IF(ROW(E1640)-ROW($E$1548)&lt;ROWS(inkind[]),IFERROR(IF(INDEX(list_cofunders[private?],MATCH(Budget!#REF!,list_cofunders[list cofunders],0),1)="yes",Budget!#REF!,""),""),"")</f>
        <v/>
      </c>
      <c r="Y103" s="208" t="str">
        <f>IF(ROW(E1743)-ROW($E$1651)&lt;ROWS(incash[]),IFERROR(IF(INDEX(list_cofunders[private?],MATCH(Budget!#REF!,list_cofunders[list cofunders],0),1)="yes",Budget!#REF!,""),""),"")</f>
        <v/>
      </c>
      <c r="Z103" s="205" t="str">
        <f>IFERROR(INDEX(Personnel[FTE],X103),"")</f>
        <v/>
      </c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7"/>
      <c r="DA103" s="27"/>
      <c r="DB103" s="27"/>
      <c r="DC103" s="27"/>
      <c r="DD103" s="27"/>
      <c r="DE103" s="27"/>
      <c r="DF103" s="27"/>
      <c r="DG103" s="27"/>
      <c r="DH103" s="27"/>
    </row>
    <row r="104" spans="2:112" s="26" customFormat="1" ht="11.25" customHeight="1" outlineLevel="1" x14ac:dyDescent="0.35">
      <c r="B104" s="132" t="str">
        <f ca="1">IF(IFERROR(MATCH("*Other*",OFFSET(Budget!$A$20,B103,0,ROWS(Personnel[]),1),0)+B103,999)&lt;ROWS(Personnel[]),IFERROR(MATCH("*Other*",OFFSET(Budget!$A$20,B103,0,ROWS(Personnel[]),1),0)+B103,999),"")</f>
        <v/>
      </c>
      <c r="C104" s="115" t="str">
        <f ca="1">IFERROR(INDEX(Personnel[Amount],B104),"")</f>
        <v/>
      </c>
      <c r="D104" s="29"/>
      <c r="E104" s="132" t="str">
        <f ca="1">IF(MIN(IFERROR(MATCH("*PostDoc*",OFFSET(Budget!$A$20,E103,0,ROWS(Personnel[]),1),0)+E103,999),IFERROR(MATCH("*PhD*",OFFSET(Budget!$A$20,E103,0,ROWS(Personnel[]),1),0)+E103,999),IFERROR(MATCH("*PDEng*",OFFSET(Budget!$A$20,E103,0,ROWS(Personnel[]),1),0)+E103,999))&lt;ROWS(Personnel[]),MIN(IFERROR(MATCH("*PostDoc*",OFFSET(Budget!$A$20,E103,0,ROWS(Personnel[]),1),0)+E103,999),IFERROR(MATCH("*PhD*",OFFSET(Budget!$A$20,E103,0,ROWS(Personnel[]),1),0)+E103,999),IFERROR(MATCH("*PDEng*",OFFSET(Budget!$A$20,E103,0,ROWS(Personnel[]),1),0)+E103,999)),"")</f>
        <v/>
      </c>
      <c r="F104" s="119" t="str">
        <f ca="1">IFERROR(INDEX(Personnel[FTE],E104)*INDEX(Personnel[Months],E104)/12,"")</f>
        <v/>
      </c>
      <c r="G104" s="140"/>
      <c r="H104" s="142" t="e">
        <f ca="1">IF(IFERROR(MATCH("*researcher*",OFFSET(Budget!#REF!,H103,0,ROWS(#REF!),1),0)+H103,999)&lt;ROWS(#REF!),IFERROR(MATCH("*researcher*",OFFSET(Budget!#REF!,H103,0,ROWS(#REF!),1),0)+H103,999),"")</f>
        <v>#REF!</v>
      </c>
      <c r="I104" s="146" t="str">
        <f ca="1">IF(ISERROR(IF(AND(INDEX(#REF!,H104)&gt;=pers_oi_min_months,INDEX(#REF!,H104)/INDEX(#REF!,H104)*12/pers_other_nrhours_year&gt;=pers_oi_minFTE)=TRUE,INDEX(#REF!,H104)/12,0)),"",IF(AND(INDEX(#REF!,H104)&gt;=pers_oi_min_months,INDEX(#REF!,H104)/INDEX(#REF!,H104)*12/pers_other_nrhours_year&gt;=pers_oi_minFTE)=TRUE,INDEX(#REF!,H104)/12,""))</f>
        <v/>
      </c>
      <c r="J104" s="140"/>
      <c r="K104" s="132" t="str">
        <f ca="1">IF(IFERROR(MATCH("*Non-scientific*",OFFSET(Budget!$A$20,K103,0,ROWS(Personnel[]),1),0)+K103,999)&lt;ROWS(Personnel[]),IFERROR(MATCH("*Non-scientific*",OFFSET(Budget!$A$20,K103,0,ROWS(Personnel[]),1),0)+K103,999),"")</f>
        <v/>
      </c>
      <c r="L104" s="115" t="str">
        <f ca="1">IFERROR(INDEX(Personnel[Amount],K104),"")</f>
        <v/>
      </c>
      <c r="M104" s="195"/>
      <c r="N104" s="132" t="str">
        <f ca="1">IF(IFERROR(MATCH("*leave*",OFFSET(Budget!$A$20,N103,0,ROWS(Personnel[]),1),0)+N103,999)&lt;ROWS(Personnel[]),IFERROR(MATCH("*leave*",OFFSET(Budget!$A$20,N103,0,ROWS(Personnel[]),1),0)+N103,999),"")</f>
        <v/>
      </c>
      <c r="O104" s="137" t="str">
        <f ca="1">IFERROR(INDEX(Personnel[Months],N104)*INDEX(Personnel[FTE],N104),"")</f>
        <v/>
      </c>
      <c r="P104" s="195"/>
      <c r="Q104" s="132" t="str">
        <f ca="1">IF(MIN(IFERROR(MATCH("*PostDoc*",OFFSET(Budget!$A$20,Q103,0,ROWS(Personnel[])-Q103,1),0)+Q103,999),IFERROR(MATCH("*PhD*",OFFSET(Budget!$A$20,Q103,0,ROWS(Personnel[])-Q103,1),0)+Q103,999),IFERROR(MATCH("*PDEng*",OFFSET(Budget!$A$20,Q103,0,ROWS(Personnel[])-Q103,1),0)+Q103,999),IFERROR(MATCH("*Doctorate*",OFFSET(Budget!$A$20,Q103,0,ROWS(Personnel[])-Q103,1),0)+Q103,999))&lt;ROWS(Personnel[]),MIN(IFERROR(MATCH("*PostDoc*",OFFSET(Budget!$A$20,Q103,0,ROWS(Personnel[])-Q103,1),0)+Q103,999),IFERROR(MATCH("*PhD*",OFFSET(Budget!$A$20,Q103,0,ROWS(Personnel[])-Q103,1),0)+Q103,999),IFERROR(MATCH("*PDEng*",OFFSET(Budget!$A$20,Q103,0,ROWS(Personnel[])-Q103,1),0)+Q103,999),IFERROR(MATCH("*Doctorate*",OFFSET(Budget!$A$20,Q103,0,ROWS(Personnel[])-Q103,1),0)+Q103,999)),"")</f>
        <v/>
      </c>
      <c r="R104" s="205" t="str">
        <f ca="1">IFERROR(INDEX(Personnel[Category],Q104),"")</f>
        <v/>
      </c>
      <c r="S104" s="205" t="str">
        <f ca="1">IFERROR(INDEX(Personnel[FTE],Q104),"")</f>
        <v/>
      </c>
      <c r="T104" s="205" t="str">
        <f ca="1">IFERROR(INDEX(Personnel[Months],Q104),"")</f>
        <v/>
      </c>
      <c r="U104" s="205" t="str">
        <f ca="1">SUBSTITUTE(IFERROR(INDEX(Personnel[Organisation type],Q104),""),0,"")</f>
        <v/>
      </c>
      <c r="V104" s="206" t="str">
        <f ca="1">SUBSTITUTE(IFERROR(INDEX(Personnel[Name organisation],Q104),""),0,"")</f>
        <v/>
      </c>
      <c r="W104" s="195"/>
      <c r="X104" s="207" t="str">
        <f>IF(ROW(E1641)-ROW($E$1548)&lt;ROWS(inkind[]),IFERROR(IF(INDEX(list_cofunders[private?],MATCH(Budget!#REF!,list_cofunders[list cofunders],0),1)="yes",Budget!#REF!,""),""),"")</f>
        <v/>
      </c>
      <c r="Y104" s="208" t="str">
        <f>IF(ROW(E1744)-ROW($E$1651)&lt;ROWS(incash[]),IFERROR(IF(INDEX(list_cofunders[private?],MATCH(Budget!#REF!,list_cofunders[list cofunders],0),1)="yes",Budget!#REF!,""),""),"")</f>
        <v/>
      </c>
      <c r="Z104" s="205" t="str">
        <f>IFERROR(INDEX(Personnel[FTE],X104),"")</f>
        <v/>
      </c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7"/>
      <c r="DA104" s="27"/>
      <c r="DB104" s="27"/>
      <c r="DC104" s="27"/>
      <c r="DD104" s="27"/>
      <c r="DE104" s="27"/>
      <c r="DF104" s="27"/>
      <c r="DG104" s="27"/>
      <c r="DH104" s="27"/>
    </row>
    <row r="105" spans="2:112" s="26" customFormat="1" ht="11.25" customHeight="1" outlineLevel="1" x14ac:dyDescent="0.35">
      <c r="B105" s="132" t="str">
        <f ca="1">IF(IFERROR(MATCH("*Other*",OFFSET(Budget!$A$20,B104,0,ROWS(Personnel[]),1),0)+B104,999)&lt;ROWS(Personnel[]),IFERROR(MATCH("*Other*",OFFSET(Budget!$A$20,B104,0,ROWS(Personnel[]),1),0)+B104,999),"")</f>
        <v/>
      </c>
      <c r="C105" s="115" t="str">
        <f ca="1">IFERROR(INDEX(Personnel[Amount],B105),"")</f>
        <v/>
      </c>
      <c r="D105" s="29"/>
      <c r="E105" s="132" t="str">
        <f ca="1">IF(MIN(IFERROR(MATCH("*PostDoc*",OFFSET(Budget!$A$20,E104,0,ROWS(Personnel[]),1),0)+E104,999),IFERROR(MATCH("*PhD*",OFFSET(Budget!$A$20,E104,0,ROWS(Personnel[]),1),0)+E104,999),IFERROR(MATCH("*PDEng*",OFFSET(Budget!$A$20,E104,0,ROWS(Personnel[]),1),0)+E104,999))&lt;ROWS(Personnel[]),MIN(IFERROR(MATCH("*PostDoc*",OFFSET(Budget!$A$20,E104,0,ROWS(Personnel[]),1),0)+E104,999),IFERROR(MATCH("*PhD*",OFFSET(Budget!$A$20,E104,0,ROWS(Personnel[]),1),0)+E104,999),IFERROR(MATCH("*PDEng*",OFFSET(Budget!$A$20,E104,0,ROWS(Personnel[]),1),0)+E104,999)),"")</f>
        <v/>
      </c>
      <c r="F105" s="119" t="str">
        <f ca="1">IFERROR(INDEX(Personnel[FTE],E105)*INDEX(Personnel[Months],E105)/12,"")</f>
        <v/>
      </c>
      <c r="G105" s="140"/>
      <c r="H105" s="142" t="e">
        <f ca="1">IF(IFERROR(MATCH("*researcher*",OFFSET(Budget!#REF!,H104,0,ROWS(#REF!),1),0)+H104,999)&lt;ROWS(#REF!),IFERROR(MATCH("*researcher*",OFFSET(Budget!#REF!,H104,0,ROWS(#REF!),1),0)+H104,999),"")</f>
        <v>#REF!</v>
      </c>
      <c r="I105" s="146" t="str">
        <f ca="1">IF(ISERROR(IF(AND(INDEX(#REF!,H105)&gt;=pers_oi_min_months,INDEX(#REF!,H105)/INDEX(#REF!,H105)*12/pers_other_nrhours_year&gt;=pers_oi_minFTE)=TRUE,INDEX(#REF!,H105)/12,0)),"",IF(AND(INDEX(#REF!,H105)&gt;=pers_oi_min_months,INDEX(#REF!,H105)/INDEX(#REF!,H105)*12/pers_other_nrhours_year&gt;=pers_oi_minFTE)=TRUE,INDEX(#REF!,H105)/12,""))</f>
        <v/>
      </c>
      <c r="J105" s="140"/>
      <c r="K105" s="132" t="str">
        <f ca="1">IF(IFERROR(MATCH("*Non-scientific*",OFFSET(Budget!$A$20,K104,0,ROWS(Personnel[]),1),0)+K104,999)&lt;ROWS(Personnel[]),IFERROR(MATCH("*Non-scientific*",OFFSET(Budget!$A$20,K104,0,ROWS(Personnel[]),1),0)+K104,999),"")</f>
        <v/>
      </c>
      <c r="L105" s="115" t="str">
        <f ca="1">IFERROR(INDEX(Personnel[Amount],K105),"")</f>
        <v/>
      </c>
      <c r="M105" s="195"/>
      <c r="N105" s="132" t="str">
        <f ca="1">IF(IFERROR(MATCH("*leave*",OFFSET(Budget!$A$20,N104,0,ROWS(Personnel[]),1),0)+N104,999)&lt;ROWS(Personnel[]),IFERROR(MATCH("*leave*",OFFSET(Budget!$A$20,N104,0,ROWS(Personnel[]),1),0)+N104,999),"")</f>
        <v/>
      </c>
      <c r="O105" s="137" t="str">
        <f ca="1">IFERROR(INDEX(Personnel[Months],N105)*INDEX(Personnel[FTE],N105),"")</f>
        <v/>
      </c>
      <c r="P105" s="195"/>
      <c r="Q105" s="132" t="str">
        <f ca="1">IF(MIN(IFERROR(MATCH("*PostDoc*",OFFSET(Budget!$A$20,Q104,0,ROWS(Personnel[])-Q104,1),0)+Q104,999),IFERROR(MATCH("*PhD*",OFFSET(Budget!$A$20,Q104,0,ROWS(Personnel[])-Q104,1),0)+Q104,999),IFERROR(MATCH("*PDEng*",OFFSET(Budget!$A$20,Q104,0,ROWS(Personnel[])-Q104,1),0)+Q104,999),IFERROR(MATCH("*Doctorate*",OFFSET(Budget!$A$20,Q104,0,ROWS(Personnel[])-Q104,1),0)+Q104,999))&lt;ROWS(Personnel[]),MIN(IFERROR(MATCH("*PostDoc*",OFFSET(Budget!$A$20,Q104,0,ROWS(Personnel[])-Q104,1),0)+Q104,999),IFERROR(MATCH("*PhD*",OFFSET(Budget!$A$20,Q104,0,ROWS(Personnel[])-Q104,1),0)+Q104,999),IFERROR(MATCH("*PDEng*",OFFSET(Budget!$A$20,Q104,0,ROWS(Personnel[])-Q104,1),0)+Q104,999),IFERROR(MATCH("*Doctorate*",OFFSET(Budget!$A$20,Q104,0,ROWS(Personnel[])-Q104,1),0)+Q104,999)),"")</f>
        <v/>
      </c>
      <c r="R105" s="205" t="str">
        <f ca="1">IFERROR(INDEX(Personnel[Category],Q105),"")</f>
        <v/>
      </c>
      <c r="S105" s="205" t="str">
        <f ca="1">IFERROR(INDEX(Personnel[FTE],Q105),"")</f>
        <v/>
      </c>
      <c r="T105" s="205" t="str">
        <f ca="1">IFERROR(INDEX(Personnel[Months],Q105),"")</f>
        <v/>
      </c>
      <c r="U105" s="205" t="str">
        <f ca="1">SUBSTITUTE(IFERROR(INDEX(Personnel[Organisation type],Q105),""),0,"")</f>
        <v/>
      </c>
      <c r="V105" s="206" t="str">
        <f ca="1">SUBSTITUTE(IFERROR(INDEX(Personnel[Name organisation],Q105),""),0,"")</f>
        <v/>
      </c>
      <c r="W105" s="195"/>
      <c r="X105" s="207" t="str">
        <f>IF(ROW(E1642)-ROW($E$1548)&lt;ROWS(inkind[]),IFERROR(IF(INDEX(list_cofunders[private?],MATCH(Budget!#REF!,list_cofunders[list cofunders],0),1)="yes",Budget!#REF!,""),""),"")</f>
        <v/>
      </c>
      <c r="Y105" s="208" t="str">
        <f>IF(ROW(E1745)-ROW($E$1651)&lt;ROWS(incash[]),IFERROR(IF(INDEX(list_cofunders[private?],MATCH(Budget!#REF!,list_cofunders[list cofunders],0),1)="yes",Budget!#REF!,""),""),"")</f>
        <v/>
      </c>
      <c r="Z105" s="205" t="str">
        <f>IFERROR(INDEX(Personnel[FTE],X105),"")</f>
        <v/>
      </c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7"/>
      <c r="DA105" s="27"/>
      <c r="DB105" s="27"/>
      <c r="DC105" s="27"/>
      <c r="DD105" s="27"/>
      <c r="DE105" s="27"/>
      <c r="DF105" s="27"/>
      <c r="DG105" s="27"/>
      <c r="DH105" s="27"/>
    </row>
    <row r="106" spans="2:112" s="26" customFormat="1" ht="11.25" customHeight="1" outlineLevel="1" x14ac:dyDescent="0.35">
      <c r="B106" s="132" t="str">
        <f ca="1">IF(IFERROR(MATCH("*Other*",OFFSET(Budget!$A$20,B105,0,ROWS(Personnel[]),1),0)+B105,999)&lt;ROWS(Personnel[]),IFERROR(MATCH("*Other*",OFFSET(Budget!$A$20,B105,0,ROWS(Personnel[]),1),0)+B105,999),"")</f>
        <v/>
      </c>
      <c r="C106" s="115" t="str">
        <f ca="1">IFERROR(INDEX(Personnel[Amount],B106),"")</f>
        <v/>
      </c>
      <c r="D106" s="29"/>
      <c r="E106" s="132" t="str">
        <f ca="1">IF(MIN(IFERROR(MATCH("*PostDoc*",OFFSET(Budget!$A$20,E105,0,ROWS(Personnel[]),1),0)+E105,999),IFERROR(MATCH("*PhD*",OFFSET(Budget!$A$20,E105,0,ROWS(Personnel[]),1),0)+E105,999),IFERROR(MATCH("*PDEng*",OFFSET(Budget!$A$20,E105,0,ROWS(Personnel[]),1),0)+E105,999))&lt;ROWS(Personnel[]),MIN(IFERROR(MATCH("*PostDoc*",OFFSET(Budget!$A$20,E105,0,ROWS(Personnel[]),1),0)+E105,999),IFERROR(MATCH("*PhD*",OFFSET(Budget!$A$20,E105,0,ROWS(Personnel[]),1),0)+E105,999),IFERROR(MATCH("*PDEng*",OFFSET(Budget!$A$20,E105,0,ROWS(Personnel[]),1),0)+E105,999)),"")</f>
        <v/>
      </c>
      <c r="F106" s="119" t="str">
        <f ca="1">IFERROR(INDEX(Personnel[FTE],E106)*INDEX(Personnel[Months],E106)/12,"")</f>
        <v/>
      </c>
      <c r="G106" s="140"/>
      <c r="H106" s="142" t="e">
        <f ca="1">IF(IFERROR(MATCH("*researcher*",OFFSET(Budget!#REF!,H105,0,ROWS(#REF!),1),0)+H105,999)&lt;ROWS(#REF!),IFERROR(MATCH("*researcher*",OFFSET(Budget!#REF!,H105,0,ROWS(#REF!),1),0)+H105,999),"")</f>
        <v>#REF!</v>
      </c>
      <c r="I106" s="146" t="str">
        <f ca="1">IF(ISERROR(IF(AND(INDEX(#REF!,H106)&gt;=pers_oi_min_months,INDEX(#REF!,H106)/INDEX(#REF!,H106)*12/pers_other_nrhours_year&gt;=pers_oi_minFTE)=TRUE,INDEX(#REF!,H106)/12,0)),"",IF(AND(INDEX(#REF!,H106)&gt;=pers_oi_min_months,INDEX(#REF!,H106)/INDEX(#REF!,H106)*12/pers_other_nrhours_year&gt;=pers_oi_minFTE)=TRUE,INDEX(#REF!,H106)/12,""))</f>
        <v/>
      </c>
      <c r="J106" s="140"/>
      <c r="K106" s="132" t="str">
        <f ca="1">IF(IFERROR(MATCH("*Non-scientific*",OFFSET(Budget!$A$20,K105,0,ROWS(Personnel[]),1),0)+K105,999)&lt;ROWS(Personnel[]),IFERROR(MATCH("*Non-scientific*",OFFSET(Budget!$A$20,K105,0,ROWS(Personnel[]),1),0)+K105,999),"")</f>
        <v/>
      </c>
      <c r="L106" s="115" t="str">
        <f ca="1">IFERROR(INDEX(Personnel[Amount],K106),"")</f>
        <v/>
      </c>
      <c r="M106" s="195"/>
      <c r="N106" s="132" t="str">
        <f ca="1">IF(IFERROR(MATCH("*leave*",OFFSET(Budget!$A$20,N105,0,ROWS(Personnel[]),1),0)+N105,999)&lt;ROWS(Personnel[]),IFERROR(MATCH("*leave*",OFFSET(Budget!$A$20,N105,0,ROWS(Personnel[]),1),0)+N105,999),"")</f>
        <v/>
      </c>
      <c r="O106" s="137" t="str">
        <f ca="1">IFERROR(INDEX(Personnel[Months],N106)*INDEX(Personnel[FTE],N106),"")</f>
        <v/>
      </c>
      <c r="P106" s="195"/>
      <c r="Q106" s="132" t="str">
        <f ca="1">IF(MIN(IFERROR(MATCH("*PostDoc*",OFFSET(Budget!$A$20,Q105,0,ROWS(Personnel[])-Q105,1),0)+Q105,999),IFERROR(MATCH("*PhD*",OFFSET(Budget!$A$20,Q105,0,ROWS(Personnel[])-Q105,1),0)+Q105,999),IFERROR(MATCH("*PDEng*",OFFSET(Budget!$A$20,Q105,0,ROWS(Personnel[])-Q105,1),0)+Q105,999),IFERROR(MATCH("*Doctorate*",OFFSET(Budget!$A$20,Q105,0,ROWS(Personnel[])-Q105,1),0)+Q105,999))&lt;ROWS(Personnel[]),MIN(IFERROR(MATCH("*PostDoc*",OFFSET(Budget!$A$20,Q105,0,ROWS(Personnel[])-Q105,1),0)+Q105,999),IFERROR(MATCH("*PhD*",OFFSET(Budget!$A$20,Q105,0,ROWS(Personnel[])-Q105,1),0)+Q105,999),IFERROR(MATCH("*PDEng*",OFFSET(Budget!$A$20,Q105,0,ROWS(Personnel[])-Q105,1),0)+Q105,999),IFERROR(MATCH("*Doctorate*",OFFSET(Budget!$A$20,Q105,0,ROWS(Personnel[])-Q105,1),0)+Q105,999)),"")</f>
        <v/>
      </c>
      <c r="R106" s="205" t="str">
        <f ca="1">IFERROR(INDEX(Personnel[Category],Q106),"")</f>
        <v/>
      </c>
      <c r="S106" s="205" t="str">
        <f ca="1">IFERROR(INDEX(Personnel[FTE],Q106),"")</f>
        <v/>
      </c>
      <c r="T106" s="205" t="str">
        <f ca="1">IFERROR(INDEX(Personnel[Months],Q106),"")</f>
        <v/>
      </c>
      <c r="U106" s="205" t="str">
        <f ca="1">SUBSTITUTE(IFERROR(INDEX(Personnel[Organisation type],Q106),""),0,"")</f>
        <v/>
      </c>
      <c r="V106" s="206" t="str">
        <f ca="1">SUBSTITUTE(IFERROR(INDEX(Personnel[Name organisation],Q106),""),0,"")</f>
        <v/>
      </c>
      <c r="W106" s="195"/>
      <c r="X106" s="207" t="str">
        <f>IF(ROW(E1643)-ROW($E$1548)&lt;ROWS(inkind[]),IFERROR(IF(INDEX(list_cofunders[private?],MATCH(Budget!#REF!,list_cofunders[list cofunders],0),1)="yes",Budget!#REF!,""),""),"")</f>
        <v/>
      </c>
      <c r="Y106" s="208" t="str">
        <f>IF(ROW(E1746)-ROW($E$1651)&lt;ROWS(incash[]),IFERROR(IF(INDEX(list_cofunders[private?],MATCH(Budget!#REF!,list_cofunders[list cofunders],0),1)="yes",Budget!#REF!,""),""),"")</f>
        <v/>
      </c>
      <c r="Z106" s="205" t="str">
        <f>IFERROR(INDEX(Personnel[FTE],X106),"")</f>
        <v/>
      </c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7"/>
      <c r="DA106" s="27"/>
      <c r="DB106" s="27"/>
      <c r="DC106" s="27"/>
      <c r="DD106" s="27"/>
      <c r="DE106" s="27"/>
      <c r="DF106" s="27"/>
      <c r="DG106" s="27"/>
      <c r="DH106" s="27"/>
    </row>
    <row r="107" spans="2:112" s="26" customFormat="1" ht="11.25" customHeight="1" outlineLevel="1" x14ac:dyDescent="0.35">
      <c r="B107" s="132" t="str">
        <f ca="1">IF(IFERROR(MATCH("*Other*",OFFSET(Budget!$A$20,B106,0,ROWS(Personnel[]),1),0)+B106,999)&lt;ROWS(Personnel[]),IFERROR(MATCH("*Other*",OFFSET(Budget!$A$20,B106,0,ROWS(Personnel[]),1),0)+B106,999),"")</f>
        <v/>
      </c>
      <c r="C107" s="115" t="str">
        <f ca="1">IFERROR(INDEX(Personnel[Amount],B107),"")</f>
        <v/>
      </c>
      <c r="D107" s="29"/>
      <c r="E107" s="132" t="str">
        <f ca="1">IF(MIN(IFERROR(MATCH("*PostDoc*",OFFSET(Budget!$A$20,E106,0,ROWS(Personnel[]),1),0)+E106,999),IFERROR(MATCH("*PhD*",OFFSET(Budget!$A$20,E106,0,ROWS(Personnel[]),1),0)+E106,999),IFERROR(MATCH("*PDEng*",OFFSET(Budget!$A$20,E106,0,ROWS(Personnel[]),1),0)+E106,999))&lt;ROWS(Personnel[]),MIN(IFERROR(MATCH("*PostDoc*",OFFSET(Budget!$A$20,E106,0,ROWS(Personnel[]),1),0)+E106,999),IFERROR(MATCH("*PhD*",OFFSET(Budget!$A$20,E106,0,ROWS(Personnel[]),1),0)+E106,999),IFERROR(MATCH("*PDEng*",OFFSET(Budget!$A$20,E106,0,ROWS(Personnel[]),1),0)+E106,999)),"")</f>
        <v/>
      </c>
      <c r="F107" s="119" t="str">
        <f ca="1">IFERROR(INDEX(Personnel[FTE],E107)*INDEX(Personnel[Months],E107)/12,"")</f>
        <v/>
      </c>
      <c r="G107" s="140"/>
      <c r="H107" s="142" t="e">
        <f ca="1">IF(IFERROR(MATCH("*researcher*",OFFSET(Budget!#REF!,H106,0,ROWS(#REF!),1),0)+H106,999)&lt;ROWS(#REF!),IFERROR(MATCH("*researcher*",OFFSET(Budget!#REF!,H106,0,ROWS(#REF!),1),0)+H106,999),"")</f>
        <v>#REF!</v>
      </c>
      <c r="I107" s="146" t="str">
        <f ca="1">IF(ISERROR(IF(AND(INDEX(#REF!,H107)&gt;=pers_oi_min_months,INDEX(#REF!,H107)/INDEX(#REF!,H107)*12/pers_other_nrhours_year&gt;=pers_oi_minFTE)=TRUE,INDEX(#REF!,H107)/12,0)),"",IF(AND(INDEX(#REF!,H107)&gt;=pers_oi_min_months,INDEX(#REF!,H107)/INDEX(#REF!,H107)*12/pers_other_nrhours_year&gt;=pers_oi_minFTE)=TRUE,INDEX(#REF!,H107)/12,""))</f>
        <v/>
      </c>
      <c r="J107" s="140"/>
      <c r="K107" s="132" t="str">
        <f ca="1">IF(IFERROR(MATCH("*Non-scientific*",OFFSET(Budget!$A$20,K106,0,ROWS(Personnel[]),1),0)+K106,999)&lt;ROWS(Personnel[]),IFERROR(MATCH("*Non-scientific*",OFFSET(Budget!$A$20,K106,0,ROWS(Personnel[]),1),0)+K106,999),"")</f>
        <v/>
      </c>
      <c r="L107" s="115" t="str">
        <f ca="1">IFERROR(INDEX(Personnel[Amount],K107),"")</f>
        <v/>
      </c>
      <c r="M107" s="195"/>
      <c r="N107" s="132" t="str">
        <f ca="1">IF(IFERROR(MATCH("*leave*",OFFSET(Budget!$A$20,N106,0,ROWS(Personnel[]),1),0)+N106,999)&lt;ROWS(Personnel[]),IFERROR(MATCH("*leave*",OFFSET(Budget!$A$20,N106,0,ROWS(Personnel[]),1),0)+N106,999),"")</f>
        <v/>
      </c>
      <c r="O107" s="137" t="str">
        <f ca="1">IFERROR(INDEX(Personnel[Months],N107)*INDEX(Personnel[FTE],N107),"")</f>
        <v/>
      </c>
      <c r="P107" s="195"/>
      <c r="Q107" s="132" t="str">
        <f ca="1">IF(MIN(IFERROR(MATCH("*PostDoc*",OFFSET(Budget!$A$20,Q106,0,ROWS(Personnel[])-Q106,1),0)+Q106,999),IFERROR(MATCH("*PhD*",OFFSET(Budget!$A$20,Q106,0,ROWS(Personnel[])-Q106,1),0)+Q106,999),IFERROR(MATCH("*PDEng*",OFFSET(Budget!$A$20,Q106,0,ROWS(Personnel[])-Q106,1),0)+Q106,999),IFERROR(MATCH("*Doctorate*",OFFSET(Budget!$A$20,Q106,0,ROWS(Personnel[])-Q106,1),0)+Q106,999))&lt;ROWS(Personnel[]),MIN(IFERROR(MATCH("*PostDoc*",OFFSET(Budget!$A$20,Q106,0,ROWS(Personnel[])-Q106,1),0)+Q106,999),IFERROR(MATCH("*PhD*",OFFSET(Budget!$A$20,Q106,0,ROWS(Personnel[])-Q106,1),0)+Q106,999),IFERROR(MATCH("*PDEng*",OFFSET(Budget!$A$20,Q106,0,ROWS(Personnel[])-Q106,1),0)+Q106,999),IFERROR(MATCH("*Doctorate*",OFFSET(Budget!$A$20,Q106,0,ROWS(Personnel[])-Q106,1),0)+Q106,999)),"")</f>
        <v/>
      </c>
      <c r="R107" s="205" t="str">
        <f ca="1">IFERROR(INDEX(Personnel[Category],Q107),"")</f>
        <v/>
      </c>
      <c r="S107" s="205" t="str">
        <f ca="1">IFERROR(INDEX(Personnel[FTE],Q107),"")</f>
        <v/>
      </c>
      <c r="T107" s="205" t="str">
        <f ca="1">IFERROR(INDEX(Personnel[Months],Q107),"")</f>
        <v/>
      </c>
      <c r="U107" s="205" t="str">
        <f ca="1">SUBSTITUTE(IFERROR(INDEX(Personnel[Organisation type],Q107),""),0,"")</f>
        <v/>
      </c>
      <c r="V107" s="206" t="str">
        <f ca="1">SUBSTITUTE(IFERROR(INDEX(Personnel[Name organisation],Q107),""),0,"")</f>
        <v/>
      </c>
      <c r="W107" s="195"/>
      <c r="X107" s="207" t="str">
        <f>IF(ROW(E1644)-ROW($E$1548)&lt;ROWS(inkind[]),IFERROR(IF(INDEX(list_cofunders[private?],MATCH(Budget!#REF!,list_cofunders[list cofunders],0),1)="yes",Budget!#REF!,""),""),"")</f>
        <v/>
      </c>
      <c r="Y107" s="208" t="str">
        <f>IF(ROW(E1747)-ROW($E$1651)&lt;ROWS(incash[]),IFERROR(IF(INDEX(list_cofunders[private?],MATCH(Budget!#REF!,list_cofunders[list cofunders],0),1)="yes",Budget!#REF!,""),""),"")</f>
        <v/>
      </c>
      <c r="Z107" s="205" t="str">
        <f>IFERROR(INDEX(Personnel[FTE],X107),"")</f>
        <v/>
      </c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7"/>
      <c r="DA107" s="27"/>
      <c r="DB107" s="27"/>
      <c r="DC107" s="27"/>
      <c r="DD107" s="27"/>
      <c r="DE107" s="27"/>
      <c r="DF107" s="27"/>
      <c r="DG107" s="27"/>
      <c r="DH107" s="27"/>
    </row>
    <row r="108" spans="2:112" s="26" customFormat="1" ht="11.25" customHeight="1" outlineLevel="1" x14ac:dyDescent="0.35">
      <c r="B108" s="132" t="str">
        <f ca="1">IF(IFERROR(MATCH("*Other*",OFFSET(Budget!$A$20,B107,0,ROWS(Personnel[]),1),0)+B107,999)&lt;ROWS(Personnel[]),IFERROR(MATCH("*Other*",OFFSET(Budget!$A$20,B107,0,ROWS(Personnel[]),1),0)+B107,999),"")</f>
        <v/>
      </c>
      <c r="C108" s="115" t="str">
        <f ca="1">IFERROR(INDEX(Personnel[Amount],B108),"")</f>
        <v/>
      </c>
      <c r="D108" s="29"/>
      <c r="E108" s="132" t="str">
        <f ca="1">IF(MIN(IFERROR(MATCH("*PostDoc*",OFFSET(Budget!$A$20,E107,0,ROWS(Personnel[]),1),0)+E107,999),IFERROR(MATCH("*PhD*",OFFSET(Budget!$A$20,E107,0,ROWS(Personnel[]),1),0)+E107,999),IFERROR(MATCH("*PDEng*",OFFSET(Budget!$A$20,E107,0,ROWS(Personnel[]),1),0)+E107,999))&lt;ROWS(Personnel[]),MIN(IFERROR(MATCH("*PostDoc*",OFFSET(Budget!$A$20,E107,0,ROWS(Personnel[]),1),0)+E107,999),IFERROR(MATCH("*PhD*",OFFSET(Budget!$A$20,E107,0,ROWS(Personnel[]),1),0)+E107,999),IFERROR(MATCH("*PDEng*",OFFSET(Budget!$A$20,E107,0,ROWS(Personnel[]),1),0)+E107,999)),"")</f>
        <v/>
      </c>
      <c r="F108" s="119" t="str">
        <f ca="1">IFERROR(INDEX(Personnel[FTE],E108)*INDEX(Personnel[Months],E108)/12,"")</f>
        <v/>
      </c>
      <c r="G108" s="140"/>
      <c r="H108" s="142" t="e">
        <f ca="1">IF(IFERROR(MATCH("*researcher*",OFFSET(Budget!#REF!,H107,0,ROWS(#REF!),1),0)+H107,999)&lt;ROWS(#REF!),IFERROR(MATCH("*researcher*",OFFSET(Budget!#REF!,H107,0,ROWS(#REF!),1),0)+H107,999),"")</f>
        <v>#REF!</v>
      </c>
      <c r="I108" s="146" t="str">
        <f ca="1">IF(ISERROR(IF(AND(INDEX(#REF!,H108)&gt;=pers_oi_min_months,INDEX(#REF!,H108)/INDEX(#REF!,H108)*12/pers_other_nrhours_year&gt;=pers_oi_minFTE)=TRUE,INDEX(#REF!,H108)/12,0)),"",IF(AND(INDEX(#REF!,H108)&gt;=pers_oi_min_months,INDEX(#REF!,H108)/INDEX(#REF!,H108)*12/pers_other_nrhours_year&gt;=pers_oi_minFTE)=TRUE,INDEX(#REF!,H108)/12,""))</f>
        <v/>
      </c>
      <c r="J108" s="140"/>
      <c r="K108" s="132" t="str">
        <f ca="1">IF(IFERROR(MATCH("*Non-scientific*",OFFSET(Budget!$A$20,K107,0,ROWS(Personnel[]),1),0)+K107,999)&lt;ROWS(Personnel[]),IFERROR(MATCH("*Non-scientific*",OFFSET(Budget!$A$20,K107,0,ROWS(Personnel[]),1),0)+K107,999),"")</f>
        <v/>
      </c>
      <c r="L108" s="115" t="str">
        <f ca="1">IFERROR(INDEX(Personnel[Amount],K108),"")</f>
        <v/>
      </c>
      <c r="M108" s="195"/>
      <c r="N108" s="132" t="str">
        <f ca="1">IF(IFERROR(MATCH("*leave*",OFFSET(Budget!$A$20,N107,0,ROWS(Personnel[]),1),0)+N107,999)&lt;ROWS(Personnel[]),IFERROR(MATCH("*leave*",OFFSET(Budget!$A$20,N107,0,ROWS(Personnel[]),1),0)+N107,999),"")</f>
        <v/>
      </c>
      <c r="O108" s="137" t="str">
        <f ca="1">IFERROR(INDEX(Personnel[Months],N108)*INDEX(Personnel[FTE],N108),"")</f>
        <v/>
      </c>
      <c r="P108" s="195"/>
      <c r="Q108" s="132" t="str">
        <f ca="1">IF(MIN(IFERROR(MATCH("*PostDoc*",OFFSET(Budget!$A$20,Q107,0,ROWS(Personnel[])-Q107,1),0)+Q107,999),IFERROR(MATCH("*PhD*",OFFSET(Budget!$A$20,Q107,0,ROWS(Personnel[])-Q107,1),0)+Q107,999),IFERROR(MATCH("*PDEng*",OFFSET(Budget!$A$20,Q107,0,ROWS(Personnel[])-Q107,1),0)+Q107,999),IFERROR(MATCH("*Doctorate*",OFFSET(Budget!$A$20,Q107,0,ROWS(Personnel[])-Q107,1),0)+Q107,999))&lt;ROWS(Personnel[]),MIN(IFERROR(MATCH("*PostDoc*",OFFSET(Budget!$A$20,Q107,0,ROWS(Personnel[])-Q107,1),0)+Q107,999),IFERROR(MATCH("*PhD*",OFFSET(Budget!$A$20,Q107,0,ROWS(Personnel[])-Q107,1),0)+Q107,999),IFERROR(MATCH("*PDEng*",OFFSET(Budget!$A$20,Q107,0,ROWS(Personnel[])-Q107,1),0)+Q107,999),IFERROR(MATCH("*Doctorate*",OFFSET(Budget!$A$20,Q107,0,ROWS(Personnel[])-Q107,1),0)+Q107,999)),"")</f>
        <v/>
      </c>
      <c r="R108" s="205" t="str">
        <f ca="1">IFERROR(INDEX(Personnel[Category],Q108),"")</f>
        <v/>
      </c>
      <c r="S108" s="205" t="str">
        <f ca="1">IFERROR(INDEX(Personnel[FTE],Q108),"")</f>
        <v/>
      </c>
      <c r="T108" s="205" t="str">
        <f ca="1">IFERROR(INDEX(Personnel[Months],Q108),"")</f>
        <v/>
      </c>
      <c r="U108" s="205" t="str">
        <f ca="1">SUBSTITUTE(IFERROR(INDEX(Personnel[Organisation type],Q108),""),0,"")</f>
        <v/>
      </c>
      <c r="V108" s="206" t="str">
        <f ca="1">SUBSTITUTE(IFERROR(INDEX(Personnel[Name organisation],Q108),""),0,"")</f>
        <v/>
      </c>
      <c r="W108" s="195"/>
      <c r="X108" s="207" t="str">
        <f>IF(ROW(E1645)-ROW($E$1548)&lt;ROWS(inkind[]),IFERROR(IF(INDEX(list_cofunders[private?],MATCH(Budget!#REF!,list_cofunders[list cofunders],0),1)="yes",Budget!#REF!,""),""),"")</f>
        <v/>
      </c>
      <c r="Y108" s="208" t="str">
        <f>IF(ROW(E1748)-ROW($E$1651)&lt;ROWS(incash[]),IFERROR(IF(INDEX(list_cofunders[private?],MATCH(Budget!#REF!,list_cofunders[list cofunders],0),1)="yes",Budget!#REF!,""),""),"")</f>
        <v/>
      </c>
      <c r="Z108" s="205" t="str">
        <f>IFERROR(INDEX(Personnel[FTE],X108),"")</f>
        <v/>
      </c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7"/>
      <c r="DA108" s="27"/>
      <c r="DB108" s="27"/>
      <c r="DC108" s="27"/>
      <c r="DD108" s="27"/>
      <c r="DE108" s="27"/>
      <c r="DF108" s="27"/>
      <c r="DG108" s="27"/>
      <c r="DH108" s="27"/>
    </row>
    <row r="109" spans="2:112" s="26" customFormat="1" ht="11.25" customHeight="1" outlineLevel="1" x14ac:dyDescent="0.35">
      <c r="B109" s="132" t="str">
        <f ca="1">IF(IFERROR(MATCH("*Other*",OFFSET(Budget!$A$20,B108,0,ROWS(Personnel[]),1),0)+B108,999)&lt;ROWS(Personnel[]),IFERROR(MATCH("*Other*",OFFSET(Budget!$A$20,B108,0,ROWS(Personnel[]),1),0)+B108,999),"")</f>
        <v/>
      </c>
      <c r="C109" s="115" t="str">
        <f ca="1">IFERROR(INDEX(Personnel[Amount],B109),"")</f>
        <v/>
      </c>
      <c r="D109" s="29"/>
      <c r="E109" s="132" t="str">
        <f ca="1">IF(MIN(IFERROR(MATCH("*PostDoc*",OFFSET(Budget!$A$20,E108,0,ROWS(Personnel[]),1),0)+E108,999),IFERROR(MATCH("*PhD*",OFFSET(Budget!$A$20,E108,0,ROWS(Personnel[]),1),0)+E108,999),IFERROR(MATCH("*PDEng*",OFFSET(Budget!$A$20,E108,0,ROWS(Personnel[]),1),0)+E108,999))&lt;ROWS(Personnel[]),MIN(IFERROR(MATCH("*PostDoc*",OFFSET(Budget!$A$20,E108,0,ROWS(Personnel[]),1),0)+E108,999),IFERROR(MATCH("*PhD*",OFFSET(Budget!$A$20,E108,0,ROWS(Personnel[]),1),0)+E108,999),IFERROR(MATCH("*PDEng*",OFFSET(Budget!$A$20,E108,0,ROWS(Personnel[]),1),0)+E108,999)),"")</f>
        <v/>
      </c>
      <c r="F109" s="119" t="str">
        <f ca="1">IFERROR(INDEX(Personnel[FTE],E109)*INDEX(Personnel[Months],E109)/12,"")</f>
        <v/>
      </c>
      <c r="G109" s="140"/>
      <c r="H109" s="142" t="e">
        <f ca="1">IF(IFERROR(MATCH("*researcher*",OFFSET(Budget!#REF!,H108,0,ROWS(#REF!),1),0)+H108,999)&lt;ROWS(#REF!),IFERROR(MATCH("*researcher*",OFFSET(Budget!#REF!,H108,0,ROWS(#REF!),1),0)+H108,999),"")</f>
        <v>#REF!</v>
      </c>
      <c r="I109" s="146" t="str">
        <f ca="1">IF(ISERROR(IF(AND(INDEX(#REF!,H109)&gt;=pers_oi_min_months,INDEX(#REF!,H109)/INDEX(#REF!,H109)*12/pers_other_nrhours_year&gt;=pers_oi_minFTE)=TRUE,INDEX(#REF!,H109)/12,0)),"",IF(AND(INDEX(#REF!,H109)&gt;=pers_oi_min_months,INDEX(#REF!,H109)/INDEX(#REF!,H109)*12/pers_other_nrhours_year&gt;=pers_oi_minFTE)=TRUE,INDEX(#REF!,H109)/12,""))</f>
        <v/>
      </c>
      <c r="J109" s="140"/>
      <c r="K109" s="132" t="str">
        <f ca="1">IF(IFERROR(MATCH("*Non-scientific*",OFFSET(Budget!$A$20,K108,0,ROWS(Personnel[]),1),0)+K108,999)&lt;ROWS(Personnel[]),IFERROR(MATCH("*Non-scientific*",OFFSET(Budget!$A$20,K108,0,ROWS(Personnel[]),1),0)+K108,999),"")</f>
        <v/>
      </c>
      <c r="L109" s="115" t="str">
        <f ca="1">IFERROR(INDEX(Personnel[Amount],K109),"")</f>
        <v/>
      </c>
      <c r="M109" s="195"/>
      <c r="N109" s="132" t="str">
        <f ca="1">IF(IFERROR(MATCH("*leave*",OFFSET(Budget!$A$20,N108,0,ROWS(Personnel[]),1),0)+N108,999)&lt;ROWS(Personnel[]),IFERROR(MATCH("*leave*",OFFSET(Budget!$A$20,N108,0,ROWS(Personnel[]),1),0)+N108,999),"")</f>
        <v/>
      </c>
      <c r="O109" s="137" t="str">
        <f ca="1">IFERROR(INDEX(Personnel[Months],N109)*INDEX(Personnel[FTE],N109),"")</f>
        <v/>
      </c>
      <c r="P109" s="195"/>
      <c r="Q109" s="132" t="str">
        <f ca="1">IF(MIN(IFERROR(MATCH("*PostDoc*",OFFSET(Budget!$A$20,Q108,0,ROWS(Personnel[])-Q108,1),0)+Q108,999),IFERROR(MATCH("*PhD*",OFFSET(Budget!$A$20,Q108,0,ROWS(Personnel[])-Q108,1),0)+Q108,999),IFERROR(MATCH("*PDEng*",OFFSET(Budget!$A$20,Q108,0,ROWS(Personnel[])-Q108,1),0)+Q108,999),IFERROR(MATCH("*Doctorate*",OFFSET(Budget!$A$20,Q108,0,ROWS(Personnel[])-Q108,1),0)+Q108,999))&lt;ROWS(Personnel[]),MIN(IFERROR(MATCH("*PostDoc*",OFFSET(Budget!$A$20,Q108,0,ROWS(Personnel[])-Q108,1),0)+Q108,999),IFERROR(MATCH("*PhD*",OFFSET(Budget!$A$20,Q108,0,ROWS(Personnel[])-Q108,1),0)+Q108,999),IFERROR(MATCH("*PDEng*",OFFSET(Budget!$A$20,Q108,0,ROWS(Personnel[])-Q108,1),0)+Q108,999),IFERROR(MATCH("*Doctorate*",OFFSET(Budget!$A$20,Q108,0,ROWS(Personnel[])-Q108,1),0)+Q108,999)),"")</f>
        <v/>
      </c>
      <c r="R109" s="205" t="str">
        <f ca="1">IFERROR(INDEX(Personnel[Category],Q109),"")</f>
        <v/>
      </c>
      <c r="S109" s="205" t="str">
        <f ca="1">IFERROR(INDEX(Personnel[FTE],Q109),"")</f>
        <v/>
      </c>
      <c r="T109" s="205" t="str">
        <f ca="1">IFERROR(INDEX(Personnel[Months],Q109),"")</f>
        <v/>
      </c>
      <c r="U109" s="205" t="str">
        <f ca="1">SUBSTITUTE(IFERROR(INDEX(Personnel[Organisation type],Q109),""),0,"")</f>
        <v/>
      </c>
      <c r="V109" s="206" t="str">
        <f ca="1">SUBSTITUTE(IFERROR(INDEX(Personnel[Name organisation],Q109),""),0,"")</f>
        <v/>
      </c>
      <c r="W109" s="195"/>
      <c r="X109" s="207" t="str">
        <f>IF(ROW(E1646)-ROW($E$1548)&lt;ROWS(inkind[]),IFERROR(IF(INDEX(list_cofunders[private?],MATCH(Budget!#REF!,list_cofunders[list cofunders],0),1)="yes",Budget!#REF!,""),""),"")</f>
        <v/>
      </c>
      <c r="Y109" s="208" t="str">
        <f>IF(ROW(E1749)-ROW($E$1651)&lt;ROWS(incash[]),IFERROR(IF(INDEX(list_cofunders[private?],MATCH(Budget!#REF!,list_cofunders[list cofunders],0),1)="yes",Budget!#REF!,""),""),"")</f>
        <v/>
      </c>
      <c r="Z109" s="205" t="str">
        <f>IFERROR(INDEX(Personnel[FTE],X109),"")</f>
        <v/>
      </c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7"/>
      <c r="DA109" s="27"/>
      <c r="DB109" s="27"/>
      <c r="DC109" s="27"/>
      <c r="DD109" s="27"/>
      <c r="DE109" s="27"/>
      <c r="DF109" s="27"/>
      <c r="DG109" s="27"/>
      <c r="DH109" s="27"/>
    </row>
    <row r="110" spans="2:112" s="26" customFormat="1" ht="11.25" customHeight="1" outlineLevel="1" thickBot="1" x14ac:dyDescent="0.4">
      <c r="B110" s="133" t="str">
        <f ca="1">IF(IFERROR(MATCH("*Other*",OFFSET(Budget!$A$20,B109,0,ROWS(Personnel[]),1),0)+B109,999)&lt;ROWS(Personnel[]),IFERROR(MATCH("*Other*",OFFSET(Budget!$A$20,B109,0,ROWS(Personnel[]),1),0)+B109,999),"")</f>
        <v/>
      </c>
      <c r="C110" s="116" t="str">
        <f ca="1">IFERROR(INDEX(Personnel[Amount],B110),"")</f>
        <v/>
      </c>
      <c r="D110" s="29"/>
      <c r="E110" s="132" t="str">
        <f ca="1">IF(MIN(IFERROR(MATCH("*PostDoc*",OFFSET(Budget!$A$20,E109,0,ROWS(Personnel[]),1),0)+E109,999),IFERROR(MATCH("*PhD*",OFFSET(Budget!$A$20,E109,0,ROWS(Personnel[]),1),0)+E109,999),IFERROR(MATCH("*PDEng*",OFFSET(Budget!$A$20,E109,0,ROWS(Personnel[]),1),0)+E109,999))&lt;ROWS(Personnel[]),MIN(IFERROR(MATCH("*PostDoc*",OFFSET(Budget!$A$20,E109,0,ROWS(Personnel[]),1),0)+E109,999),IFERROR(MATCH("*PhD*",OFFSET(Budget!$A$20,E109,0,ROWS(Personnel[]),1),0)+E109,999),IFERROR(MATCH("*PDEng*",OFFSET(Budget!$A$20,E109,0,ROWS(Personnel[]),1),0)+E109,999)),"")</f>
        <v/>
      </c>
      <c r="F110" s="120" t="str">
        <f ca="1">IFERROR(INDEX(Personnel[FTE],E110)*INDEX(Personnel[Months],E110)/12,"")</f>
        <v/>
      </c>
      <c r="G110" s="140"/>
      <c r="H110" s="147" t="e">
        <f ca="1">IF(IFERROR(MATCH("*researcher*",OFFSET(Budget!#REF!,H109,0,ROWS(#REF!),1),0)+H109,999)&lt;ROWS(#REF!),IFERROR(MATCH("*researcher*",OFFSET(Budget!#REF!,H109,0,ROWS(#REF!),1),0)+H109,999),"")</f>
        <v>#REF!</v>
      </c>
      <c r="I110" s="148" t="str">
        <f ca="1">IF(ISERROR(IF(AND(INDEX(#REF!,H110)&gt;=pers_oi_min_months,INDEX(#REF!,H110)/INDEX(#REF!,H110)*12/pers_other_nrhours_year&gt;=pers_oi_minFTE)=TRUE,INDEX(#REF!,H110)/12,0)),"",IF(AND(INDEX(#REF!,H110)&gt;=pers_oi_min_months,INDEX(#REF!,H110)/INDEX(#REF!,H110)*12/pers_other_nrhours_year&gt;=pers_oi_minFTE)=TRUE,INDEX(#REF!,H110)/12,""))</f>
        <v/>
      </c>
      <c r="J110" s="140"/>
      <c r="K110" s="133" t="str">
        <f ca="1">IF(IFERROR(MATCH("*Non-scientific*",OFFSET(Budget!$A$20,K109,0,ROWS(Personnel[]),1),0)+K109,999)&lt;ROWS(Personnel[]),IFERROR(MATCH("*Non-scientific*",OFFSET(Budget!$A$20,K109,0,ROWS(Personnel[]),1),0)+K109,999),"")</f>
        <v/>
      </c>
      <c r="L110" s="116" t="str">
        <f ca="1">IFERROR(INDEX(Personnel[Amount],K110),"")</f>
        <v/>
      </c>
      <c r="M110" s="195"/>
      <c r="N110" s="133" t="str">
        <f ca="1">IF(IFERROR(MATCH("*leave*",OFFSET(Budget!$A$20,N109,0,ROWS(Personnel[]),1),0)+N109,999)&lt;ROWS(Personnel[]),IFERROR(MATCH("*leave*",OFFSET(Budget!$A$20,N109,0,ROWS(Personnel[]),1),0)+N109,999),"")</f>
        <v/>
      </c>
      <c r="O110" s="138" t="str">
        <f ca="1">IFERROR(INDEX(Personnel[Months],N110)*INDEX(Personnel[FTE],N110),"")</f>
        <v/>
      </c>
      <c r="P110" s="195"/>
      <c r="Q110" s="133" t="str">
        <f ca="1">IF(MIN(IFERROR(MATCH("*PostDoc*",OFFSET(Budget!$A$20,Q109,0,ROWS(Personnel[])-Q109,1),0)+Q109,999),IFERROR(MATCH("*PhD*",OFFSET(Budget!$A$20,Q109,0,ROWS(Personnel[])-Q109,1),0)+Q109,999),IFERROR(MATCH("*PDEng*",OFFSET(Budget!$A$20,Q109,0,ROWS(Personnel[])-Q109,1),0)+Q109,999),IFERROR(MATCH("*Doctorate*",OFFSET(Budget!$A$20,Q109,0,ROWS(Personnel[])-Q109,1),0)+Q109,999))&lt;ROWS(Personnel[]),MIN(IFERROR(MATCH("*PostDoc*",OFFSET(Budget!$A$20,Q109,0,ROWS(Personnel[])-Q109,1),0)+Q109,999),IFERROR(MATCH("*PhD*",OFFSET(Budget!$A$20,Q109,0,ROWS(Personnel[])-Q109,1),0)+Q109,999),IFERROR(MATCH("*PDEng*",OFFSET(Budget!$A$20,Q109,0,ROWS(Personnel[])-Q109,1),0)+Q109,999),IFERROR(MATCH("*Doctorate*",OFFSET(Budget!$A$20,Q109,0,ROWS(Personnel[])-Q109,1),0)+Q109,999)),"")</f>
        <v/>
      </c>
      <c r="R110" s="209" t="str">
        <f ca="1">IFERROR(INDEX(Personnel[Category],Q110),"")</f>
        <v/>
      </c>
      <c r="S110" s="209" t="str">
        <f ca="1">IFERROR(INDEX(Personnel[FTE],Q110),"")</f>
        <v/>
      </c>
      <c r="T110" s="209" t="str">
        <f ca="1">IFERROR(INDEX(Personnel[Months],Q110),"")</f>
        <v/>
      </c>
      <c r="U110" s="209" t="str">
        <f ca="1">SUBSTITUTE(IFERROR(INDEX(Personnel[Organisation type],Q110),""),0,"")</f>
        <v/>
      </c>
      <c r="V110" s="206" t="str">
        <f ca="1">SUBSTITUTE(IFERROR(INDEX(Personnel[Name organisation],Q110),""),0,"")</f>
        <v/>
      </c>
      <c r="W110" s="195"/>
      <c r="X110" s="210" t="str">
        <f>IF(ROW(E1647)-ROW($E$1548)&lt;ROWS(inkind[]),IFERROR(IF(INDEX(list_cofunders[private?],MATCH(Budget!#REF!,list_cofunders[list cofunders],0),1)="yes",Budget!#REF!,""),""),"")</f>
        <v/>
      </c>
      <c r="Y110" s="211" t="str">
        <f>IF(ROW(E1750)-ROW($E$1651)&lt;ROWS(incash[]),IFERROR(IF(INDEX(list_cofunders[private?],MATCH(Budget!#REF!,list_cofunders[list cofunders],0),1)="yes",Budget!#REF!,""),""),"")</f>
        <v/>
      </c>
      <c r="Z110" s="205" t="str">
        <f>IFERROR(INDEX(Personnel[FTE],X110),"")</f>
        <v/>
      </c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7"/>
      <c r="DA110" s="27"/>
      <c r="DB110" s="27"/>
      <c r="DC110" s="27"/>
      <c r="DD110" s="27"/>
      <c r="DE110" s="27"/>
      <c r="DF110" s="27"/>
      <c r="DG110" s="27"/>
      <c r="DH110" s="27"/>
    </row>
    <row r="111" spans="2:112" s="26" customFormat="1" ht="11.25" customHeight="1" collapsed="1" x14ac:dyDescent="0.35">
      <c r="B111" s="28"/>
      <c r="C111" s="29"/>
      <c r="D111" s="29"/>
      <c r="E111" s="29"/>
      <c r="F111" s="29"/>
      <c r="G111" s="29"/>
      <c r="H111" s="29"/>
      <c r="I111" s="29"/>
      <c r="J111" s="29"/>
      <c r="K111" s="28"/>
      <c r="L111" s="29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20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7"/>
      <c r="DA111" s="27"/>
      <c r="DB111" s="27"/>
      <c r="DC111" s="27"/>
      <c r="DD111" s="27"/>
      <c r="DE111" s="27"/>
      <c r="DF111" s="27"/>
      <c r="DG111" s="27"/>
      <c r="DH111" s="27"/>
    </row>
    <row r="112" spans="2:112" s="26" customFormat="1" ht="11.25" customHeight="1" x14ac:dyDescent="0.35">
      <c r="B112" s="117" t="s">
        <v>208</v>
      </c>
      <c r="C112" s="135">
        <f ca="1">SUM(C11:C110)</f>
        <v>0</v>
      </c>
      <c r="D112" s="29"/>
      <c r="E112" s="117" t="s">
        <v>208</v>
      </c>
      <c r="F112" s="134">
        <f ca="1">SUM(F11:F110)</f>
        <v>0</v>
      </c>
      <c r="G112" s="134"/>
      <c r="H112" s="134" t="s">
        <v>208</v>
      </c>
      <c r="I112" s="134">
        <f ca="1">SUM(I11:I110)</f>
        <v>0</v>
      </c>
      <c r="J112" s="134"/>
      <c r="K112" s="117" t="s">
        <v>208</v>
      </c>
      <c r="L112" s="135">
        <f ca="1">SUM(L11:L110)</f>
        <v>0</v>
      </c>
      <c r="M112" s="195"/>
      <c r="N112" s="186" t="s">
        <v>208</v>
      </c>
      <c r="O112" s="212">
        <f ca="1">SUM(O11:O110)</f>
        <v>0</v>
      </c>
      <c r="P112" s="195"/>
      <c r="Q112" s="195"/>
      <c r="R112" s="195"/>
      <c r="S112" s="195"/>
      <c r="T112" s="195"/>
      <c r="U112" s="195"/>
      <c r="V112" s="195"/>
      <c r="W112" s="213" t="s">
        <v>214</v>
      </c>
      <c r="X112" s="214">
        <f>SUM(X11:X110)</f>
        <v>0</v>
      </c>
      <c r="Y112" s="214">
        <f>SUM(Y11:Y110)</f>
        <v>0</v>
      </c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7"/>
      <c r="DA112" s="27"/>
      <c r="DB112" s="27"/>
      <c r="DC112" s="27"/>
      <c r="DD112" s="27"/>
      <c r="DE112" s="27"/>
      <c r="DF112" s="27"/>
      <c r="DG112" s="27"/>
      <c r="DH112" s="27"/>
    </row>
    <row r="113" spans="1:111" s="26" customFormat="1" ht="11.25" customHeight="1" x14ac:dyDescent="0.35">
      <c r="A113" s="89"/>
      <c r="B113" s="29"/>
      <c r="C113" s="29"/>
      <c r="D113" s="29"/>
      <c r="E113" s="29"/>
      <c r="F113" s="29"/>
      <c r="G113" s="29"/>
      <c r="H113" s="29"/>
      <c r="I113" s="29"/>
      <c r="J113" s="29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213" t="s">
        <v>643</v>
      </c>
      <c r="X113" s="214">
        <f>X112+Y112</f>
        <v>0</v>
      </c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7"/>
      <c r="CZ113" s="27"/>
      <c r="DA113" s="27"/>
      <c r="DB113" s="27"/>
      <c r="DC113" s="27"/>
      <c r="DD113" s="27"/>
      <c r="DE113" s="27"/>
      <c r="DF113" s="27"/>
      <c r="DG113" s="27"/>
    </row>
    <row r="114" spans="1:111" s="26" customFormat="1" ht="11.25" customHeight="1" x14ac:dyDescent="0.35">
      <c r="A114" s="89"/>
      <c r="B114" s="29"/>
      <c r="C114" s="29"/>
      <c r="D114" s="29"/>
      <c r="E114" s="29"/>
      <c r="F114" s="29"/>
      <c r="G114" s="29"/>
      <c r="H114" s="29"/>
      <c r="I114" s="29"/>
      <c r="J114" s="29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7"/>
      <c r="CZ114" s="27"/>
      <c r="DA114" s="27"/>
      <c r="DB114" s="27"/>
      <c r="DC114" s="27"/>
      <c r="DD114" s="27"/>
      <c r="DE114" s="27"/>
      <c r="DF114" s="27"/>
      <c r="DG114" s="27"/>
    </row>
    <row r="115" spans="1:111" s="26" customFormat="1" ht="11.25" customHeight="1" x14ac:dyDescent="0.35">
      <c r="A115" s="89"/>
      <c r="B115" s="29"/>
      <c r="C115" s="29"/>
      <c r="D115" s="29"/>
      <c r="E115" s="29"/>
      <c r="F115" s="29"/>
      <c r="G115" s="29"/>
      <c r="H115" s="29"/>
      <c r="I115" s="29"/>
      <c r="J115" s="29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7"/>
      <c r="CZ115" s="27"/>
      <c r="DA115" s="27"/>
      <c r="DB115" s="27"/>
      <c r="DC115" s="27"/>
      <c r="DD115" s="27"/>
      <c r="DE115" s="27"/>
      <c r="DF115" s="27"/>
      <c r="DG115" s="27"/>
    </row>
    <row r="116" spans="1:111" s="26" customFormat="1" ht="15" customHeight="1" x14ac:dyDescent="0.35">
      <c r="A116" s="89" t="s">
        <v>627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7"/>
      <c r="CZ116" s="27"/>
      <c r="DA116" s="27"/>
      <c r="DB116" s="27"/>
      <c r="DC116" s="27"/>
      <c r="DD116" s="27"/>
      <c r="DE116" s="27"/>
      <c r="DF116" s="27"/>
      <c r="DG116" s="27"/>
    </row>
    <row r="117" spans="1:111" outlineLevel="1" x14ac:dyDescent="0.35">
      <c r="A117" s="186" t="s">
        <v>574</v>
      </c>
      <c r="B117" s="186" t="s">
        <v>575</v>
      </c>
      <c r="C117" s="186" t="s">
        <v>731</v>
      </c>
    </row>
    <row r="118" spans="1:111" outlineLevel="1" x14ac:dyDescent="0.35">
      <c r="A118" s="215" t="s">
        <v>788</v>
      </c>
      <c r="B118" s="215" t="s">
        <v>789</v>
      </c>
      <c r="C118" s="369"/>
    </row>
    <row r="119" spans="1:111" outlineLevel="1" x14ac:dyDescent="0.35">
      <c r="A119" s="215" t="s">
        <v>787</v>
      </c>
      <c r="B119" s="215" t="s">
        <v>790</v>
      </c>
      <c r="C119" s="369"/>
    </row>
    <row r="120" spans="1:111" outlineLevel="1" x14ac:dyDescent="0.35">
      <c r="A120" s="215" t="s">
        <v>628</v>
      </c>
      <c r="B120" s="215" t="s">
        <v>629</v>
      </c>
      <c r="C120" s="216"/>
    </row>
    <row r="121" spans="1:111" outlineLevel="1" x14ac:dyDescent="0.35">
      <c r="A121" s="215" t="s">
        <v>791</v>
      </c>
      <c r="B121" s="215" t="s">
        <v>798</v>
      </c>
      <c r="C121" s="293"/>
    </row>
    <row r="122" spans="1:111" outlineLevel="1" x14ac:dyDescent="0.35">
      <c r="A122" s="215" t="s">
        <v>792</v>
      </c>
      <c r="B122" s="215" t="s">
        <v>799</v>
      </c>
      <c r="C122" s="293"/>
    </row>
    <row r="123" spans="1:111" outlineLevel="1" x14ac:dyDescent="0.35">
      <c r="A123" s="215" t="s">
        <v>630</v>
      </c>
      <c r="B123" s="215" t="s">
        <v>631</v>
      </c>
      <c r="C123" s="216"/>
    </row>
    <row r="124" spans="1:111" ht="39" customHeight="1" outlineLevel="1" x14ac:dyDescent="0.35">
      <c r="A124" s="215" t="s">
        <v>637</v>
      </c>
      <c r="B124" s="215" t="str">
        <f>"The envisioned project duration exceeds the limit of "&amp;Max_project_duration&amp; " months."</f>
        <v>The envisioned project duration exceeds the limit of 72 months.</v>
      </c>
      <c r="C124" s="216"/>
    </row>
    <row r="125" spans="1:111" ht="29" outlineLevel="1" x14ac:dyDescent="0.35">
      <c r="A125" s="215" t="s">
        <v>636</v>
      </c>
      <c r="B125" s="215" t="str">
        <f>"Total NWO funding is less than the minimum required "&amp;TEXT(Min_NWO_funding,"€ #.#") &amp; "."</f>
        <v>Total NWO funding is less than the minimum required € .</v>
      </c>
      <c r="C125" s="216"/>
    </row>
    <row r="126" spans="1:111" ht="36.75" customHeight="1" outlineLevel="1" x14ac:dyDescent="0.35">
      <c r="A126" s="215" t="s">
        <v>634</v>
      </c>
      <c r="B126" s="215" t="str">
        <f>"Total NWO funding may not exceed "&amp;TEXT(Max_NWO_funding,"€ #.#") &amp; "."</f>
        <v>Total NWO funding may not exceed € 900.000.</v>
      </c>
      <c r="C126" s="216"/>
    </row>
    <row r="127" spans="1:111" ht="36.75" customHeight="1" outlineLevel="1" x14ac:dyDescent="0.35">
      <c r="A127" s="216" t="s">
        <v>801</v>
      </c>
      <c r="B127" s="216" t="str">
        <f>IF(empty_lines="no","Please do not leave empty lines in between budget posts.","")</f>
        <v/>
      </c>
      <c r="C127" s="293"/>
    </row>
    <row r="128" spans="1:111" ht="29" outlineLevel="1" x14ac:dyDescent="0.35">
      <c r="A128" s="216" t="s">
        <v>576</v>
      </c>
      <c r="B128" s="216" t="s">
        <v>577</v>
      </c>
      <c r="C128" s="216"/>
    </row>
    <row r="129" spans="1:3" ht="29" outlineLevel="1" x14ac:dyDescent="0.35">
      <c r="A129" s="216" t="s">
        <v>830</v>
      </c>
      <c r="B129" s="216" t="str">
        <f>"(Equivalent) PhD duration less than minimal "&amp;TEXT(pers_PhD_min_months,"#")&amp;" fulltime months."</f>
        <v>(Equivalent) PhD duration less than minimal 48 fulltime months.</v>
      </c>
      <c r="C129" s="216"/>
    </row>
    <row r="130" spans="1:3" ht="29" outlineLevel="1" x14ac:dyDescent="0.35">
      <c r="A130" s="216" t="s">
        <v>831</v>
      </c>
      <c r="B130" s="216" t="str">
        <f>"(Equivalent) PhD duration more than maximum "&amp;TEXT(pers_PhD_max_months,"#")&amp;" fulltime months."</f>
        <v>(Equivalent) PhD duration more than maximum 48 fulltime months.</v>
      </c>
      <c r="C130" s="293"/>
    </row>
    <row r="131" spans="1:3" ht="29" outlineLevel="1" x14ac:dyDescent="0.35">
      <c r="A131" s="216" t="s">
        <v>580</v>
      </c>
      <c r="B131" s="216" t="str">
        <f>"3-years PhD duration less than minimal "&amp;TEXT(pers_3yPhD_min_months,"#")&amp;" fulltime months."</f>
        <v>3-years PhD duration less than minimal 36 fulltime months.</v>
      </c>
      <c r="C131" s="216"/>
    </row>
    <row r="132" spans="1:3" ht="43.5" outlineLevel="1" x14ac:dyDescent="0.35">
      <c r="A132" s="216" t="s">
        <v>695</v>
      </c>
      <c r="B132" s="216" t="s">
        <v>583</v>
      </c>
      <c r="C132" s="216"/>
    </row>
    <row r="133" spans="1:3" ht="29" outlineLevel="1" x14ac:dyDescent="0.35">
      <c r="A133" s="216" t="s">
        <v>696</v>
      </c>
      <c r="B133" s="216" t="str">
        <f>"PDEng duration exceeds maximum of equivalent of "&amp;TEXT(pers_PDEng_max_months,"#")&amp;" fulltime months."</f>
        <v>PDEng duration exceeds maximum of equivalent of 24 fulltime months.</v>
      </c>
      <c r="C133" s="216"/>
    </row>
    <row r="134" spans="1:3" ht="29" outlineLevel="1" x14ac:dyDescent="0.35">
      <c r="A134" s="216" t="s">
        <v>697</v>
      </c>
      <c r="B134" s="216" t="str">
        <f>"PD duration less than minimal equivalent of "&amp;TEXT(pers_PD_min_months,"#")&amp;" fulltime months."</f>
        <v>PD duration less than minimal equivalent of 6 fulltime months.</v>
      </c>
      <c r="C134" s="216"/>
    </row>
    <row r="135" spans="1:3" ht="29" outlineLevel="1" x14ac:dyDescent="0.35">
      <c r="A135" s="216" t="s">
        <v>698</v>
      </c>
      <c r="B135" s="216" t="str">
        <f>"PD duration exceeds maximal equivalent of "&amp;TEXT(pers_PD_max_months,"#")&amp;" fulltime months."</f>
        <v>PD duration exceeds maximal equivalent of 48 fulltime months.</v>
      </c>
      <c r="C135" s="216"/>
    </row>
    <row r="136" spans="1:3" ht="43.5" outlineLevel="1" x14ac:dyDescent="0.35">
      <c r="A136" s="216" t="s">
        <v>699</v>
      </c>
      <c r="B136" s="216" t="s">
        <v>647</v>
      </c>
      <c r="C136" s="216"/>
    </row>
    <row r="137" spans="1:3" ht="43.5" outlineLevel="1" x14ac:dyDescent="0.35">
      <c r="A137" s="216" t="s">
        <v>700</v>
      </c>
      <c r="B137" s="216" t="str">
        <f>"Total requested amount for Non-Scientific Personnel exceeds limit of "&amp; TEXT(pers_max_NSP,"€ #.#") &amp; "."</f>
        <v>Total requested amount for Non-Scientific Personnel exceeds limit of € 200.000.</v>
      </c>
      <c r="C137" s="216"/>
    </row>
    <row r="138" spans="1:3" ht="29" outlineLevel="1" x14ac:dyDescent="0.35">
      <c r="A138" s="216" t="s">
        <v>707</v>
      </c>
      <c r="B138" s="216" t="str">
        <f>"NSP duration less than minimum (equivalent) of " &amp; pers_NSP_min_months &amp;" fulltime months."</f>
        <v>NSP duration less than minimum (equivalent) of 6 fulltime months.</v>
      </c>
      <c r="C138" s="216"/>
    </row>
    <row r="139" spans="1:3" ht="29" outlineLevel="1" x14ac:dyDescent="0.35">
      <c r="A139" s="216" t="s">
        <v>708</v>
      </c>
      <c r="B139" s="216" t="str">
        <f>"NSP duration exceeds maximum (equivalent) of " &amp; pers_NSP_max_months &amp; " fulltime months."</f>
        <v>NSP duration exceeds maximum (equivalent) of 48 fulltime months.</v>
      </c>
      <c r="C139" s="216"/>
    </row>
    <row r="140" spans="1:3" ht="43.5" outlineLevel="1" x14ac:dyDescent="0.35">
      <c r="A140" s="216" t="s">
        <v>593</v>
      </c>
      <c r="B140" s="216" t="s">
        <v>594</v>
      </c>
      <c r="C140" s="216"/>
    </row>
    <row r="141" spans="1:3" ht="43.5" outlineLevel="1" x14ac:dyDescent="0.35">
      <c r="A141" s="216" t="s">
        <v>702</v>
      </c>
      <c r="B141" s="216" t="str">
        <f>"The requested amount for Other Scientific Personnel exceeds the limit of "&amp;TEXT(pers_max_OSP,"€ #.#") &amp;"."</f>
        <v>The requested amount for Other Scientific Personnel exceeds the limit of € 100.000.</v>
      </c>
      <c r="C141" s="216"/>
    </row>
    <row r="142" spans="1:3" ht="29" outlineLevel="1" x14ac:dyDescent="0.35">
      <c r="A142" s="216" t="s">
        <v>703</v>
      </c>
      <c r="B142" s="216" t="str">
        <f>"OSP duration less than minimum (equivalent) of " &amp; pers_OSP_min_months &amp;" fulltime months."</f>
        <v>OSP duration less than minimum (equivalent) of 6 fulltime months.</v>
      </c>
      <c r="C142" s="216"/>
    </row>
    <row r="143" spans="1:3" ht="29" outlineLevel="1" x14ac:dyDescent="0.35">
      <c r="A143" s="216" t="s">
        <v>704</v>
      </c>
      <c r="B143" s="216" t="str">
        <f>"OSP duration exceeds maximum (equivalent) of " &amp; pers_OSP_max_months &amp; " fulltime months."</f>
        <v>OSP duration exceeds maximum (equivalent) of 48 fulltime months.</v>
      </c>
      <c r="C143" s="216"/>
    </row>
    <row r="144" spans="1:3" ht="43.5" outlineLevel="1" x14ac:dyDescent="0.35">
      <c r="A144" s="216" t="s">
        <v>706</v>
      </c>
      <c r="B144" s="216" t="str">
        <f>"Total requested amount for Research Leave exceeds limit of "&amp; TEXT(pers_leave_maxperc,"#%") &amp; " of the requested NWO budget."</f>
        <v>Total requested amount for Research Leave exceeds limit of 100% of the requested NWO budget.</v>
      </c>
      <c r="C144" s="216"/>
    </row>
    <row r="145" spans="1:3" ht="43.5" outlineLevel="1" x14ac:dyDescent="0.35">
      <c r="A145" s="216" t="s">
        <v>705</v>
      </c>
      <c r="B145" s="216" t="str">
        <f>"The total duration of Research Leave exceeds the maximal equivalent of " &amp; TEXT(pers_leave_maxduration,"#") &amp;" fulltime months."</f>
        <v>The total duration of Research Leave exceeds the maximal equivalent of 5 fulltime months.</v>
      </c>
      <c r="C145" s="216"/>
    </row>
    <row r="146" spans="1:3" outlineLevel="1" x14ac:dyDescent="0.35">
      <c r="A146" s="216" t="s">
        <v>682</v>
      </c>
      <c r="B146" s="216" t="str">
        <f>IF(organisation_type="yes","Organisation type not specified.","")</f>
        <v/>
      </c>
      <c r="C146" s="216"/>
    </row>
    <row r="147" spans="1:3" outlineLevel="1" x14ac:dyDescent="0.35">
      <c r="A147" s="216" t="s">
        <v>780</v>
      </c>
      <c r="B147" s="216" t="str">
        <f>IF(organisation_name="yes","Name organisation not specified.","")</f>
        <v>Name organisation not specified.</v>
      </c>
      <c r="C147" s="293"/>
    </row>
    <row r="148" spans="1:3" outlineLevel="1" x14ac:dyDescent="0.35">
      <c r="A148" s="216" t="s">
        <v>777</v>
      </c>
      <c r="B148" s="216" t="s">
        <v>778</v>
      </c>
      <c r="C148" s="293"/>
    </row>
    <row r="149" spans="1:3" ht="29" outlineLevel="1" x14ac:dyDescent="0.35">
      <c r="A149" s="216" t="s">
        <v>720</v>
      </c>
      <c r="B149" s="216" t="s">
        <v>721</v>
      </c>
      <c r="C149" s="216"/>
    </row>
    <row r="150" spans="1:3" ht="29" outlineLevel="1" x14ac:dyDescent="0.35">
      <c r="A150" s="216" t="s">
        <v>602</v>
      </c>
      <c r="B150" s="216"/>
      <c r="C150" s="216" t="s">
        <v>772</v>
      </c>
    </row>
    <row r="151" spans="1:3" ht="29" outlineLevel="1" x14ac:dyDescent="0.35">
      <c r="A151" s="216" t="s">
        <v>610</v>
      </c>
      <c r="B151" s="216" t="s">
        <v>611</v>
      </c>
      <c r="C151" s="216"/>
    </row>
    <row r="152" spans="1:3" outlineLevel="1" x14ac:dyDescent="0.35">
      <c r="A152" s="216" t="s">
        <v>692</v>
      </c>
      <c r="B152" s="216" t="s">
        <v>693</v>
      </c>
      <c r="C152" s="216"/>
    </row>
    <row r="153" spans="1:3" ht="43.5" outlineLevel="1" x14ac:dyDescent="0.35">
      <c r="A153" s="216" t="s">
        <v>694</v>
      </c>
      <c r="B153" s="216" t="str">
        <f>"Hourly rate exceeds maximum of &lt;&lt;max_hourly_rate&gt;&gt;, see section " &amp;  CfP_tariffs_other_inst &amp; " of the CfP."</f>
        <v>Hourly rate exceeds maximum of &lt;&lt;max_hourly_rate&gt;&gt;, see section 3.2.1 of the CfP.</v>
      </c>
      <c r="C153" s="216"/>
    </row>
    <row r="154" spans="1:3" outlineLevel="1" x14ac:dyDescent="0.35">
      <c r="A154" s="216" t="s">
        <v>737</v>
      </c>
      <c r="B154" s="216" t="s">
        <v>738</v>
      </c>
      <c r="C154" s="293"/>
    </row>
    <row r="155" spans="1:3" outlineLevel="1" x14ac:dyDescent="0.35">
      <c r="A155" s="216" t="s">
        <v>785</v>
      </c>
      <c r="B155" s="216" t="s">
        <v>784</v>
      </c>
      <c r="C155" s="293"/>
    </row>
    <row r="156" spans="1:3" outlineLevel="1" x14ac:dyDescent="0.35">
      <c r="A156" s="216" t="s">
        <v>773</v>
      </c>
      <c r="B156" s="216" t="str">
        <f>"Exceeding 1 FTE (&gt;"&amp;TEXT(pers_other_nrhours_year,"#") &amp;" hrs/year)."</f>
        <v>Exceeding 1 FTE (&gt;1410 hrs/year).</v>
      </c>
      <c r="C156" s="293"/>
    </row>
    <row r="157" spans="1:3" ht="32.25" customHeight="1" outlineLevel="1" x14ac:dyDescent="0.35">
      <c r="A157" s="216" t="s">
        <v>724</v>
      </c>
      <c r="B157" s="216" t="str">
        <f ca="1">"Exceeding maximum allowed amount of " &amp;TEXT(FTE_year_PhD_PD*Mat_max_FTE_year+pers_other_years_materials*Mat_max_FTE_year_other_inst+mat_costs_accountant,"€ #.#0")&amp;"."</f>
        <v>Exceeding maximum allowed amount of € 0.</v>
      </c>
      <c r="C157" s="216"/>
    </row>
    <row r="158" spans="1:3" ht="32.25" customHeight="1" outlineLevel="1" x14ac:dyDescent="0.35">
      <c r="A158" s="216" t="s">
        <v>727</v>
      </c>
      <c r="B158" s="216" t="str">
        <f>"Minimum budget for cleanroom costs is "&amp;TEXT(mat_cleanroom_minamount,"€ #.#0")&amp;"."</f>
        <v>Minimum budget for cleanroom costs is € 10.000.</v>
      </c>
      <c r="C158" s="216"/>
    </row>
    <row r="159" spans="1:3" ht="32.25" customHeight="1" outlineLevel="1" x14ac:dyDescent="0.35">
      <c r="A159" s="216" t="s">
        <v>728</v>
      </c>
      <c r="B159" s="216" t="str">
        <f>"A maximum of "&amp;TEXT(mat_cleanroom_maxamount,"€ #.#0")&amp;" can be requested for cleanroom costs."</f>
        <v>A maximum of € 150.000 can be requested for cleanroom costs.</v>
      </c>
      <c r="C159" s="216"/>
    </row>
    <row r="160" spans="1:3" ht="29" outlineLevel="1" x14ac:dyDescent="0.35">
      <c r="A160" s="216" t="s">
        <v>729</v>
      </c>
      <c r="B160" s="216" t="str">
        <f>IF(inv_own_contribution="yes","At least "&amp;TEXT(inv_min_perc_own_contr,"#%")&amp;" of the investment should be covered by the host institute.","")</f>
        <v/>
      </c>
      <c r="C160" s="216" t="str">
        <f>IF(inv_own_contribution="no","Not applicable","")</f>
        <v>Not applicable</v>
      </c>
    </row>
    <row r="161" spans="1:3" ht="30" customHeight="1" outlineLevel="1" x14ac:dyDescent="0.35">
      <c r="A161" s="216" t="s">
        <v>730</v>
      </c>
      <c r="B161" s="216" t="str">
        <f>IF(inv_min_total_amount&gt;0,"Total requested amount of investments should be at least "&amp;TEXT(inv_min_total_amount,"€ #.#0")&amp;".","")</f>
        <v/>
      </c>
      <c r="C161" s="216" t="str">
        <f>IF(inv_min_total_amount=0,"Not applicable","")</f>
        <v>Not applicable</v>
      </c>
    </row>
    <row r="162" spans="1:3" ht="30" customHeight="1" outlineLevel="1" x14ac:dyDescent="0.35">
      <c r="A162" s="216" t="s">
        <v>781</v>
      </c>
      <c r="B162" s="216" t="str">
        <f>"Total requested amount exceeds "&amp;TEXT(threshold_own_contribution,"€ #.#0")&amp;"."</f>
        <v>Total requested amount exceeds € 500.000.</v>
      </c>
      <c r="C162" s="293"/>
    </row>
    <row r="163" spans="1:3" ht="31.5" customHeight="1" outlineLevel="1" x14ac:dyDescent="0.35">
      <c r="A163" s="216" t="s">
        <v>782</v>
      </c>
      <c r="B163" s="216" t="str">
        <f>"Total requested amount of investments may not exceed "&amp;TEXT(inv_max_total_amount,"€ #.#0")&amp;"."</f>
        <v>Total requested amount of investments may not exceed € 500.000.</v>
      </c>
      <c r="C163" s="216"/>
    </row>
    <row r="164" spans="1:3" ht="31.5" customHeight="1" outlineLevel="1" x14ac:dyDescent="0.35">
      <c r="A164" s="216" t="s">
        <v>742</v>
      </c>
      <c r="B164" s="216" t="str">
        <f>"Total amount of KU should be at least "&amp;TEXT(KU_minperc,"#%")&amp;" of the amount requested from NWO."</f>
        <v>Total amount of KU should be at least % of the amount requested from NWO.</v>
      </c>
      <c r="C164" s="293"/>
    </row>
    <row r="165" spans="1:3" ht="31.5" customHeight="1" outlineLevel="1" x14ac:dyDescent="0.35">
      <c r="A165" s="216" t="s">
        <v>769</v>
      </c>
      <c r="B165" s="216" t="str">
        <f>"Total amount of KU exceeds limit of "&amp;TEXT(KU_maxperc,"#%")&amp;" of the amount requested from NWO."</f>
        <v>Total amount of KU exceeds limit of 100% of the amount requested from NWO.</v>
      </c>
      <c r="C165" s="293"/>
    </row>
    <row r="166" spans="1:3" ht="31.5" customHeight="1" outlineLevel="1" x14ac:dyDescent="0.35">
      <c r="A166" s="216" t="s">
        <v>770</v>
      </c>
      <c r="B166" s="216" t="str">
        <f>"Total amount of KU exceeds limit of " &amp; TEXT(KU_max_amount,"€ #.#0") &amp; "."</f>
        <v>Total amount of KU exceeds limit of € 25.000.</v>
      </c>
      <c r="C166" s="293"/>
    </row>
    <row r="167" spans="1:3" ht="43.5" outlineLevel="1" x14ac:dyDescent="0.35">
      <c r="A167" s="216" t="s">
        <v>612</v>
      </c>
      <c r="B167" s="216" t="str">
        <f>"Total amount of KU and entrepeneurship should be at least "&amp;TEXT(KU_entrepeneurship_minperc,"#%")&amp;" of the amount requested from NWO."</f>
        <v>Total amount of KU and entrepeneurship should be at least % of the amount requested from NWO.</v>
      </c>
      <c r="C167" s="216"/>
    </row>
    <row r="168" spans="1:3" ht="43.5" outlineLevel="1" x14ac:dyDescent="0.35">
      <c r="A168" s="216" t="s">
        <v>613</v>
      </c>
      <c r="B168" s="216" t="str">
        <f>"Total amount for KU and entrepeneurship exceeds the limit of  "&amp; TEXT(KU_entrepeneurship_max_amount,"€ #.#")&amp;"."</f>
        <v>Total amount for KU and entrepeneurship exceeds the limit of  € 900.000.</v>
      </c>
      <c r="C168" s="216"/>
    </row>
    <row r="169" spans="1:3" ht="29" outlineLevel="1" x14ac:dyDescent="0.35">
      <c r="A169" s="216" t="s">
        <v>650</v>
      </c>
      <c r="B169" s="216" t="str">
        <f>"Total amount for Internationalisation exceeds limit of "&amp;TEXT(Int_maxamount,"€ #.#0")&amp;"."</f>
        <v>Total amount for Internationalisation exceeds limit of € 25.000.</v>
      </c>
      <c r="C169" s="216"/>
    </row>
    <row r="170" spans="1:3" ht="51" customHeight="1" outlineLevel="1" x14ac:dyDescent="0.35">
      <c r="A170" s="216" t="s">
        <v>651</v>
      </c>
      <c r="B170" s="216" t="str">
        <f>"Total amount for Internationalisation exceeds limit of "&amp;TEXT(Int_maxamount_perc,"#%")&amp;" of requested NWO budget."</f>
        <v>Total amount for Internationalisation exceeds limit of 100% of requested NWO budget.</v>
      </c>
      <c r="C170" s="216"/>
    </row>
    <row r="171" spans="1:3" ht="51" customHeight="1" outlineLevel="1" x14ac:dyDescent="0.35">
      <c r="A171" s="216" t="s">
        <v>747</v>
      </c>
      <c r="B171" s="216" t="s">
        <v>748</v>
      </c>
      <c r="C171" s="293"/>
    </row>
    <row r="172" spans="1:3" ht="51" customHeight="1" outlineLevel="1" x14ac:dyDescent="0.35">
      <c r="A172" s="216" t="s">
        <v>743</v>
      </c>
      <c r="B172" s="216" t="s">
        <v>752</v>
      </c>
      <c r="C172" s="216"/>
    </row>
    <row r="173" spans="1:3" ht="51" customHeight="1" outlineLevel="1" x14ac:dyDescent="0.35">
      <c r="A173" s="216" t="s">
        <v>744</v>
      </c>
      <c r="B173" s="216" t="s">
        <v>745</v>
      </c>
      <c r="C173" s="293"/>
    </row>
    <row r="174" spans="1:3" ht="51" customHeight="1" outlineLevel="1" x14ac:dyDescent="0.35">
      <c r="A174" s="216" t="s">
        <v>754</v>
      </c>
      <c r="B174" s="216" t="s">
        <v>721</v>
      </c>
      <c r="C174" s="293"/>
    </row>
    <row r="175" spans="1:3" ht="51" customHeight="1" outlineLevel="1" x14ac:dyDescent="0.35">
      <c r="A175" s="216" t="s">
        <v>755</v>
      </c>
      <c r="B175" s="216" t="s">
        <v>684</v>
      </c>
      <c r="C175" s="293"/>
    </row>
    <row r="176" spans="1:3" ht="51" customHeight="1" outlineLevel="1" x14ac:dyDescent="0.35">
      <c r="A176" s="216" t="s">
        <v>756</v>
      </c>
      <c r="B176" s="216" t="s">
        <v>776</v>
      </c>
      <c r="C176" s="293"/>
    </row>
    <row r="177" spans="1:3" ht="51" customHeight="1" outlineLevel="1" x14ac:dyDescent="0.35">
      <c r="A177" s="216" t="s">
        <v>654</v>
      </c>
      <c r="B177" s="216" t="str">
        <f>"Total amount for MfC exceeds limit of "&amp;TEXT(MfC_maxamount,"€ #.#")&amp;"."</f>
        <v>Total amount for MfC exceeds limit of € 900.000.</v>
      </c>
      <c r="C177" s="216"/>
    </row>
    <row r="178" spans="1:3" ht="43.5" outlineLevel="1" x14ac:dyDescent="0.35">
      <c r="A178" s="216" t="s">
        <v>653</v>
      </c>
      <c r="B178" s="216" t="str">
        <f>"Total amount for MfC exceeds limit of "&amp;TEXT(MfC_maxperc,"#%")&amp;" of the amount requested from NWO."</f>
        <v>Total amount for MfC exceeds limit of 50% of the amount requested from NWO.</v>
      </c>
      <c r="C178" s="216"/>
    </row>
    <row r="179" spans="1:3" ht="43.5" outlineLevel="1" x14ac:dyDescent="0.35">
      <c r="A179" s="216" t="s">
        <v>656</v>
      </c>
      <c r="B179" s="216" t="str">
        <f>"Total amount for Internationalisation and MfC exceeds the limit of  "&amp; TEXT(Int_MfC_maxamount,"€ #.#")&amp;"."</f>
        <v>Total amount for Internationalisation and MfC exceeds the limit of  € 99.999.999.</v>
      </c>
      <c r="C179" s="216"/>
    </row>
    <row r="180" spans="1:3" ht="43.5" outlineLevel="1" x14ac:dyDescent="0.35">
      <c r="A180" s="216" t="s">
        <v>614</v>
      </c>
      <c r="B180" s="216" t="str">
        <f>"Total amount for Int. and MfC exceeds limit of "&amp;TEXT(Int_MfC_maxperc,"#%")&amp;" of the amount requested from NWO."</f>
        <v>Total amount for Int. and MfC exceeds limit of 100% of the amount requested from NWO.</v>
      </c>
      <c r="C180" s="216"/>
    </row>
    <row r="181" spans="1:3" ht="29" outlineLevel="1" x14ac:dyDescent="0.35">
      <c r="A181" s="216" t="s">
        <v>615</v>
      </c>
      <c r="B181" s="216" t="str">
        <f>"Can only be requested from a min. total NWO contribution of "&amp;TEXT(prog_mngmt_threshold_amount,"€ #.#")&amp;"."</f>
        <v>Can only be requested from a min. total NWO contribution of € 30.000.</v>
      </c>
      <c r="C181" s="216"/>
    </row>
    <row r="182" spans="1:3" ht="43.5" outlineLevel="1" x14ac:dyDescent="0.35">
      <c r="A182" s="216" t="s">
        <v>616</v>
      </c>
      <c r="B182" s="216" t="str">
        <f>"Total amount for Programme management exceeds limit of "&amp;TEXT(prog_mngmt_max_amount_perc,"#%")&amp;" of NWO budget."</f>
        <v>Total amount for Programme management exceeds limit of 25% of NWO budget.</v>
      </c>
      <c r="C182" s="216"/>
    </row>
    <row r="183" spans="1:3" outlineLevel="1" x14ac:dyDescent="0.35">
      <c r="A183" s="216" t="s">
        <v>812</v>
      </c>
      <c r="B183" s="216" t="b">
        <f>IF(cofunding_inkind_def_rates="yes","Type of in-kind co-funding not specified."&amp;"")</f>
        <v>0</v>
      </c>
      <c r="C183" s="293"/>
    </row>
    <row r="184" spans="1:3" ht="29" outlineLevel="1" x14ac:dyDescent="0.35">
      <c r="A184" s="216" t="s">
        <v>819</v>
      </c>
      <c r="B184" s="216" t="s">
        <v>820</v>
      </c>
      <c r="C184" s="293"/>
    </row>
    <row r="185" spans="1:3" outlineLevel="1" x14ac:dyDescent="0.35">
      <c r="A185" s="216" t="s">
        <v>816</v>
      </c>
      <c r="B185" s="216" t="b">
        <f>IF(cofunding_inkind_def_rates="yes","Type rate not specified."&amp;"")</f>
        <v>0</v>
      </c>
      <c r="C185" s="293"/>
    </row>
    <row r="186" spans="1:3" outlineLevel="1" x14ac:dyDescent="0.35">
      <c r="A186" s="216" t="s">
        <v>814</v>
      </c>
      <c r="B186" s="216" t="str">
        <f>IF(cofunding_inkind_def_rates="yes","Hourly rates exceeds maximum rate of "&amp;TEXT(cofunding_junior_rate,"€ #.#")&amp;".","")</f>
        <v/>
      </c>
      <c r="C186" s="293"/>
    </row>
    <row r="187" spans="1:3" outlineLevel="1" x14ac:dyDescent="0.35">
      <c r="A187" s="216" t="s">
        <v>815</v>
      </c>
      <c r="B187" s="216" t="str">
        <f>IF(cofunding_inkind_def_rates="yes","Hourly rates exceeds maximum rate of "&amp;TEXT(cofunding_senior_rate,"€ #.#")&amp;".","")</f>
        <v/>
      </c>
      <c r="C187" s="293"/>
    </row>
    <row r="188" spans="1:3" ht="31.5" customHeight="1" outlineLevel="1" x14ac:dyDescent="0.35">
      <c r="A188" s="216" t="s">
        <v>617</v>
      </c>
      <c r="B188" s="216" t="str">
        <f>"Total in-cash co-funding lower than minimum of "&amp;TEXT(cash_cofunding_minperc,"#%")&amp;" of total project budget."</f>
        <v>Total in-cash co-funding lower than minimum of % of total project budget.</v>
      </c>
      <c r="C188" s="216"/>
    </row>
    <row r="189" spans="1:3" ht="81" customHeight="1" outlineLevel="1" x14ac:dyDescent="0.35">
      <c r="A189" s="216" t="s">
        <v>633</v>
      </c>
      <c r="B189" s="216" t="str">
        <f ca="1">"Total co-funding less than "&amp; TEXT(cofunding_min_perc,"#0%")&amp;" of total project budget, in excess of " &amp; TEXT(cofunding_threshold,"€ #.#0") &amp; " (=" &amp; TEXT(cofunding_min_perc*(Total_project_budget-cofunding_threshold),"€ #.#")&amp;")."</f>
        <v>Total co-funding less than 25% of total project budget, in excess of € 650.000 (=-€ 162.500).</v>
      </c>
      <c r="C189" s="216"/>
    </row>
    <row r="190" spans="1:3" ht="43.5" outlineLevel="1" x14ac:dyDescent="0.35">
      <c r="A190" s="216" t="s">
        <v>618</v>
      </c>
      <c r="B190" s="216" t="str">
        <f>"Total co-funding does not meet minimum of "&amp;TEXT(cofunding_min_perc,"#%")&amp;" of the total project budget."</f>
        <v>Total co-funding does not meet minimum of 25% of the total project budget.</v>
      </c>
      <c r="C190" s="216"/>
    </row>
    <row r="191" spans="1:3" ht="29" outlineLevel="1" x14ac:dyDescent="0.35">
      <c r="A191" s="216" t="s">
        <v>644</v>
      </c>
      <c r="B191" s="216" t="str">
        <f>IFERROR("Co-funding from private organisation does not meet minimum of "&amp;TEXT(cofunding_private_minperc,"#%")&amp;".","")</f>
        <v>Co-funding from private organisation does not meet minimum of N/A.</v>
      </c>
      <c r="C191" s="216"/>
    </row>
    <row r="192" spans="1:3" ht="29" outlineLevel="1" x14ac:dyDescent="0.35">
      <c r="A192" s="216" t="s">
        <v>619</v>
      </c>
      <c r="B192" s="216" t="str">
        <f>"Total co-funding exceeds limit of "&amp;TEXT(cofunding_max_perc,"#%")&amp;" of the total project budget."</f>
        <v>Total co-funding exceeds limit of 49% of the total project budget.</v>
      </c>
      <c r="C192" s="216"/>
    </row>
    <row r="193" spans="1:27" x14ac:dyDescent="0.35">
      <c r="A193" s="216"/>
      <c r="B193" s="216"/>
    </row>
    <row r="194" spans="1:27" x14ac:dyDescent="0.35">
      <c r="A194" s="216"/>
      <c r="B194" s="216"/>
    </row>
    <row r="195" spans="1:27" x14ac:dyDescent="0.35">
      <c r="A195" s="216"/>
      <c r="B195" s="216"/>
    </row>
    <row r="196" spans="1:27" ht="18.5" x14ac:dyDescent="0.35">
      <c r="A196" s="217" t="s">
        <v>793</v>
      </c>
      <c r="B196" s="216"/>
    </row>
    <row r="197" spans="1:27" x14ac:dyDescent="0.35">
      <c r="A197" s="216" t="s">
        <v>793</v>
      </c>
      <c r="B197" s="216" t="s">
        <v>794</v>
      </c>
      <c r="C197" s="195" t="s">
        <v>795</v>
      </c>
      <c r="D197" s="195" t="s">
        <v>796</v>
      </c>
      <c r="E197" s="195" t="s">
        <v>797</v>
      </c>
    </row>
    <row r="198" spans="1:27" x14ac:dyDescent="0.35">
      <c r="A198" s="216" t="str">
        <f t="array" aca="1" ref="A198" ca="1">IFERROR(INDEX(combined_dates[[#This Row],[start date missing]:[start date before now]],1,MATCH(TRUE,LEN(combined_dates[[#This Row],[start date missing]:[start date before now]])&gt;0,0)),"")</f>
        <v/>
      </c>
      <c r="B198" s="216" t="e">
        <f ca="1">IF(AND(Total_NWO_funding&gt;0,startdate=""),$B$121,"")</f>
        <v>#NAME?</v>
      </c>
      <c r="C198" s="195" t="e">
        <f ca="1">IF(AND(Total_NWO_funding&gt;0,enddate=""),$B$122,"")</f>
        <v>#NAME?</v>
      </c>
      <c r="D198" s="195" t="e">
        <f>IF(AND(startdate&gt;enddate,NOT(ISBLANK(enddate))),$B$120,"")</f>
        <v>#NAME?</v>
      </c>
      <c r="E198" s="195" t="e">
        <f ca="1">IF(AND(NOT(ISBLANK(startdate)),startdate&lt;TODAY()),$B$123,"")</f>
        <v>#NAME?</v>
      </c>
    </row>
    <row r="199" spans="1:27" x14ac:dyDescent="0.35">
      <c r="A199" s="216"/>
      <c r="B199" s="216"/>
    </row>
    <row r="200" spans="1:27" x14ac:dyDescent="0.35">
      <c r="A200" s="216"/>
      <c r="B200" s="216"/>
    </row>
    <row r="201" spans="1:27" x14ac:dyDescent="0.35">
      <c r="A201" s="216"/>
      <c r="B201" s="216"/>
    </row>
    <row r="202" spans="1:27" x14ac:dyDescent="0.35">
      <c r="A202" s="216"/>
      <c r="B202" s="216"/>
    </row>
    <row r="203" spans="1:27" x14ac:dyDescent="0.35">
      <c r="A203" s="216"/>
      <c r="B203" s="216"/>
    </row>
    <row r="204" spans="1:27" x14ac:dyDescent="0.35">
      <c r="A204" s="216"/>
      <c r="B204" s="216"/>
    </row>
    <row r="205" spans="1:27" ht="18.5" x14ac:dyDescent="0.35">
      <c r="A205" s="217" t="s">
        <v>601</v>
      </c>
      <c r="B205" s="216"/>
    </row>
    <row r="207" spans="1:27" outlineLevel="1" x14ac:dyDescent="0.35">
      <c r="A207" s="195" t="s">
        <v>579</v>
      </c>
      <c r="B207" s="195" t="s">
        <v>592</v>
      </c>
      <c r="C207" s="195" t="s">
        <v>578</v>
      </c>
      <c r="D207" s="195" t="s">
        <v>800</v>
      </c>
      <c r="E207" s="195" t="s">
        <v>751</v>
      </c>
      <c r="F207" s="195" t="s">
        <v>833</v>
      </c>
      <c r="G207" s="195" t="s">
        <v>834</v>
      </c>
      <c r="H207" s="195" t="s">
        <v>581</v>
      </c>
      <c r="I207" s="195" t="s">
        <v>582</v>
      </c>
      <c r="J207" s="195" t="s">
        <v>584</v>
      </c>
      <c r="K207" s="195" t="s">
        <v>585</v>
      </c>
      <c r="L207" s="195" t="s">
        <v>586</v>
      </c>
      <c r="M207" s="195" t="s">
        <v>587</v>
      </c>
      <c r="N207" s="195" t="s">
        <v>588</v>
      </c>
      <c r="O207" s="195" t="s">
        <v>590</v>
      </c>
      <c r="P207" s="195" t="s">
        <v>591</v>
      </c>
      <c r="Q207" s="195" t="s">
        <v>595</v>
      </c>
      <c r="R207" s="195" t="s">
        <v>596</v>
      </c>
      <c r="S207" s="195" t="s">
        <v>597</v>
      </c>
      <c r="T207" s="195" t="s">
        <v>598</v>
      </c>
      <c r="U207" s="195" t="s">
        <v>718</v>
      </c>
      <c r="V207" s="195" t="s">
        <v>599</v>
      </c>
      <c r="W207" s="195" t="s">
        <v>779</v>
      </c>
      <c r="X207" s="195" t="s">
        <v>66</v>
      </c>
      <c r="Y207" s="195" t="s">
        <v>732</v>
      </c>
      <c r="Z207" s="195" t="s">
        <v>719</v>
      </c>
    </row>
    <row r="208" spans="1:27" outlineLevel="1" x14ac:dyDescent="0.35">
      <c r="A208" s="195">
        <v>1</v>
      </c>
      <c r="B208" s="195" t="str">
        <f t="array" ref="B208">IFERROR(INDEX(personnel_ac_notes[[#This Row],[Exceeding nr months]:[Costs specified]],1,MATCH(TRUE,LEN(personnel_ac_notes[[#This Row],[Exceeding nr months]:[Costs specified]])&gt;0,0)),"")</f>
        <v/>
      </c>
      <c r="C208" s="195" t="str">
        <f>IFERROR(IF(INDEX(Personnel[Months],A208)&gt;Max_project_duration,$B$128,""),"")</f>
        <v/>
      </c>
      <c r="D208" s="195" t="str">
        <f>IFERROR(IF(AND(LEN(INDEX(Personnel[Category],A208))+LEN(INDEX(Personnel[FTE],A208))+LEN(INDEX(Personnel[Months],A208))&gt;0,LEN(INDEX(Personnel[Category],A208-1))+LEN(INDEX(Personnel[FTE],A208-1))+LEN(INDEX(Personnel[Months],A208-1))=0),$B$127,""),"")</f>
        <v/>
      </c>
      <c r="E208" s="195" t="str">
        <f>IF(AND(NOT(ISBLANK(INDEX(Personnel[Category],A208))),OR(ISBLANK(INDEX(Personnel[FTE],A208)),ISBLANK(INDEX(Personnel[Months],A208)))),VLOOKUP(INDEX(Personnel[Category],A208),salaries_academic[],2,FALSE),"")</f>
        <v/>
      </c>
      <c r="F208" s="195" t="str">
        <f>IFERROR(IF(COUNTIF(INDEX(Personnel[Category],A208),"*- PhD*")&gt;0,IF(INDEX(Personnel[Months],A208)*INDEX(Personnel[FTE],A208)&lt;pers_PhD_min_months,$B$129,""),""),"")</f>
        <v/>
      </c>
      <c r="G208" s="195" t="str">
        <f>IFERROR(IF(COUNTIF(INDEX(Personnel[Category],$A208),"*- PhD*")&gt;0,IF(INDEX(Personnel[Months],$A208)*INDEX(Personnel[FTE],$A208)&gt;pers_PhD_max_months,$B$130,""),""),"")</f>
        <v/>
      </c>
      <c r="H208" s="195" t="str">
        <f>IFERROR(IF(COUNTIF(INDEX(Personnel[Category],A208),"*year*")&gt;0,IF(INDEX(Personnel[Months],A208)*INDEX(Personnel[FTE],A208)&lt;pers_3yPhD_min_months,$B$131,""),""),"")</f>
        <v/>
      </c>
      <c r="I208" s="218" t="str">
        <f>IFERROR(IF(COUNTIF(INDEX(Personnel[Category],A208),"*PDEng*")&gt;0,IF(OR(IFERROR(MATCH("*PhD*",Personnel[Category],0),0)&gt;0,IFERROR(MATCH("*PostDoc*",Personnel[Category],0),0)&gt;0),"",$B$132),""),"")</f>
        <v/>
      </c>
      <c r="J208" s="218" t="str">
        <f>IFERROR(IF(COUNTIF(INDEX(Personnel[Category],A208),"*PDEng*")&gt;0,IF(INDEX(Personnel[Months],A208)*INDEX(Personnel[FTE],A208)&gt;pers_PDEng_max_months,$B$133,""),""),"")</f>
        <v/>
      </c>
      <c r="K208" s="218" t="str">
        <f>IFERROR(IF(COUNTIF(INDEX(Personnel[Category],A208),"*PostDoc*")&gt;0,IF(INDEX(Personnel[Months],A208)*INDEX(Personnel[FTE],A208)&lt;pers_PD_min_months,$B$134,""),""),"")</f>
        <v/>
      </c>
      <c r="L208" s="218" t="str">
        <f>IFERROR(IF(COUNTIF(INDEX(Personnel[Category],A208),"*PostDoc*")&gt;0,IF(INDEX(Personnel[Months],A208)*INDEX(Personnel[FTE],A208)&gt;pers_PD_max_months,$B$135,""),""),"")</f>
        <v/>
      </c>
      <c r="M208" s="218" t="str">
        <f>IFERROR(IF(COUNTIF(INDEX(Personnel[Category],A208),"*Non-scientific*")&gt;0,IF(OR(IFERROR(MATCH("*PhD*",Personnel[Category],0),0)&gt;0,IFERROR(MATCH("*PostDoc*",Personnel[Category],0),0)&gt;0),"",$B$136),""),"")</f>
        <v/>
      </c>
      <c r="N208" s="218" t="str">
        <f>IFERROR(IF(COUNTIF(INDEX(Personnel[Category],A208),"*Non-scientific*")&gt;0,IF(Total_NSP&gt;pers_max_NSP,$B$137,""),""),"")</f>
        <v/>
      </c>
      <c r="O208" s="218" t="str">
        <f>IFERROR(IF(COUNTIF(INDEX(Personnel[Category],A208),"*Non-scientific*")&gt;0,IF(INDEX(Personnel[Months],A208)*INDEX(Personnel[FTE],A208)&lt;pers_NSP_min_months,$B$138,""),""),"")</f>
        <v/>
      </c>
      <c r="P208" s="218" t="str">
        <f>IFERROR(IF(COUNTIF(INDEX(Personnel[Category],A208),"*Non-scientific*")&gt;0,IF(INDEX(Personnel[Months],A208)*INDEX(Personnel[FTE],A208)&gt;pers_NSP_max_months,$B$139,""),""),"")</f>
        <v/>
      </c>
      <c r="Q208" s="218" t="str">
        <f>IFERROR(IF(COUNTIF(INDEX(Personnel[Category],A208),"*Other scientific*")&gt;0,IF(OR(IFERROR(MATCH("*PhD*",Personnel[Category],0),0)&gt;0,IFERROR(MATCH("*PostDoc*",Personnel[Category],0),0)&gt;0),"",$B$140),""),"")</f>
        <v/>
      </c>
      <c r="R208" s="218" t="str">
        <f>IFERROR(IF(COUNTIF(INDEX(Personnel[Category],A208),"*Other scientific*")&gt;0,IF(Total_OSP&gt;pers_max_OSP,$B$141,""),""),"")</f>
        <v/>
      </c>
      <c r="S208" s="218" t="str">
        <f>IFERROR(IF(COUNTIF(INDEX(Personnel[Category],A208),"*Other scientific*")&gt;0,IF(INDEX(Personnel[Months],A208)*INDEX(Personnel[FTE],A208)&lt;pers_OSP_min_months,$B$142,""),""),"")</f>
        <v/>
      </c>
      <c r="T208" s="218" t="str">
        <f>IFERROR(IF(COUNTIF(INDEX(Personnel[Category],A208),"*Other scientific*")&gt;0,IF(INDEX(Personnel[Months],A208)*INDEX(Personnel[FTE],A208)&gt;pers_OSP_max_months,$B$143,""),""),"")</f>
        <v/>
      </c>
      <c r="U208" s="218" t="str">
        <f>IFERROR(IF(COUNTIF(INDEX(Personnel[Category],A208),"*leave*")&gt;0,IF(Total_Research_leave&gt;pers_leave_maxperc*Total_NWO_funding,$B$144,""),""),"")</f>
        <v/>
      </c>
      <c r="V208" s="218" t="str">
        <f>IFERROR(IF(COUNTIF(INDEX(Personnel[Category],A208),"*leave*")&gt;0,IF(Research_leave_FTE_months&gt;pers_leave_maxduration,$B$145,""),""),"")</f>
        <v/>
      </c>
      <c r="W208" s="218" t="str">
        <f>IFERROR(IF(AND(INDEX(Personnel[Costs],A208)=0,INDEX(salaries_academic[[category]:[1]],MATCH(INDEX(Personnel[Category],A208),salaries_academic[category],0),3)=0),$B$148,""),"")</f>
        <v/>
      </c>
      <c r="X208" s="218" t="str">
        <f>IF(AND(organisation_type="yes",INDEX(Personnel[Amount],A208,1)&lt;&gt;"",ISBLANK(INDEX(Personnel[Organisation type],A208,1))),$B$146,"")</f>
        <v/>
      </c>
      <c r="Y208" s="218" t="str">
        <f>IF(AND(organisation_name="yes",INDEX(Personnel[Amount],A208,1)&lt;&gt;"",ISBLANK(INDEX(Personnel[Name organisation],A208,1))),$B$147,"")</f>
        <v/>
      </c>
      <c r="Z208" s="218" t="str">
        <f>IFERROR(IF(AND(INDEX(Personnel[Costs],A208)&gt;0,INDEX(salaries_academic[[category]:[1]],MATCH(INDEX(Personnel[Category],A208),salaries_academic[category],0),3)&gt;0),$B$149,""),"")</f>
        <v/>
      </c>
      <c r="AA208" s="218"/>
    </row>
    <row r="209" spans="1:27" outlineLevel="1" x14ac:dyDescent="0.35">
      <c r="A209" s="195">
        <v>2</v>
      </c>
      <c r="B209" s="195" t="str">
        <f t="array" ref="B209">IFERROR(INDEX(personnel_ac_notes[[#This Row],[Exceeding nr months]:[Costs specified]],1,MATCH(TRUE,LEN(personnel_ac_notes[[#This Row],[Exceeding nr months]:[Costs specified]])&gt;0,0)),"")</f>
        <v/>
      </c>
      <c r="C209" s="195" t="str">
        <f>IFERROR(IF(INDEX(Personnel[Months],A209)&gt;Max_project_duration,$B$128,""),"")</f>
        <v/>
      </c>
      <c r="D209" s="195" t="str">
        <f>IFERROR(IF(AND(LEN(INDEX(Personnel[Category],A209))+LEN(INDEX(Personnel[FTE],A209))+LEN(INDEX(Personnel[Months],A209))&gt;0,LEN(INDEX(Personnel[Category],A209-1))+LEN(INDEX(Personnel[FTE],A209-1))+LEN(INDEX(Personnel[Months],A209-1))=0),$B$127,""),"")</f>
        <v/>
      </c>
      <c r="E209" s="195" t="str">
        <f>IF(AND(NOT(ISBLANK(INDEX(Personnel[Category],A209))),OR(ISBLANK(INDEX(Personnel[FTE],A209)),ISBLANK(INDEX(Personnel[Months],A209)))),VLOOKUP(INDEX(Personnel[Category],A209),salaries_academic[],2,FALSE),"")</f>
        <v/>
      </c>
      <c r="F209" s="195" t="str">
        <f>IFERROR(IF(COUNTIF(INDEX(Personnel[Category],A209),"*- PhD*")&gt;0,IF(INDEX(Personnel[Months],A209)*INDEX(Personnel[FTE],A209)&lt;pers_PhD_min_months,$B$129,""),""),"")</f>
        <v/>
      </c>
      <c r="G209" s="195" t="str">
        <f>IFERROR(IF(COUNTIF(INDEX(Personnel[Category],$A209),"*- PhD*")&gt;0,IF(INDEX(Personnel[Months],$A209)*INDEX(Personnel[FTE],$A209)&gt;pers_PhD_max_months,$B$130,""),""),"")</f>
        <v/>
      </c>
      <c r="H209" s="195" t="str">
        <f>IFERROR(IF(COUNTIF(INDEX(Personnel[Category],A209),"*year*")&gt;0,IF(INDEX(Personnel[Months],A209)*INDEX(Personnel[FTE],A209)&lt;pers_3yPhD_min_months,$B$131,""),""),"")</f>
        <v/>
      </c>
      <c r="I209" s="218" t="str">
        <f>IFERROR(IF(COUNTIF(INDEX(Personnel[Category],A209),"*PDEng*")&gt;0,IF(OR(IFERROR(MATCH("*PhD*",Personnel[Category],0),0)&gt;0,IFERROR(MATCH("*PostDoc*",Personnel[Category],0),0)&gt;0),"",$B$132),""),"")</f>
        <v/>
      </c>
      <c r="J209" s="218" t="str">
        <f>IFERROR(IF(COUNTIF(INDEX(Personnel[Category],A209),"*PDEng*")&gt;0,IF(INDEX(Personnel[Months],A209)*INDEX(Personnel[FTE],A209)&gt;pers_PDEng_max_months,$B$133,""),""),"")</f>
        <v/>
      </c>
      <c r="K209" s="218" t="str">
        <f>IFERROR(IF(COUNTIF(INDEX(Personnel[Category],A209),"*PostDoc*")&gt;0,IF(INDEX(Personnel[Months],A209)*INDEX(Personnel[FTE],A209)&lt;pers_PD_min_months,$B$134,""),""),"")</f>
        <v/>
      </c>
      <c r="L209" s="218" t="str">
        <f>IFERROR(IF(COUNTIF(INDEX(Personnel[Category],A209),"*PostDoc*")&gt;0,IF(INDEX(Personnel[Months],A209)*INDEX(Personnel[FTE],A209)&gt;pers_PD_max_months,$B$135,""),""),"")</f>
        <v/>
      </c>
      <c r="M209" s="218" t="str">
        <f>IFERROR(IF(COUNTIF(INDEX(Personnel[Category],A209),"*Non-scientific*")&gt;0,IF(OR(IFERROR(MATCH("*PhD*",Personnel[Category],0),0)&gt;0,IFERROR(MATCH("*PostDoc*",Personnel[Category],0),0)&gt;0),"",$B$136),""),"")</f>
        <v/>
      </c>
      <c r="N209" s="218" t="str">
        <f>IFERROR(IF(COUNTIF(INDEX(Personnel[Category],A209),"*Non-scientific*")&gt;0,IF(Total_NSP&gt;pers_max_NSP,$B$137,""),""),"")</f>
        <v/>
      </c>
      <c r="O209" s="218" t="str">
        <f>IFERROR(IF(COUNTIF(INDEX(Personnel[Category],A209),"*Non-scientific*")&gt;0,IF(INDEX(Personnel[Months],A209)*INDEX(Personnel[FTE],A209)&lt;pers_NSP_min_months,$B$138,""),""),"")</f>
        <v/>
      </c>
      <c r="P209" s="218" t="str">
        <f>IFERROR(IF(COUNTIF(INDEX(Personnel[Category],A209),"*Non-scientific*")&gt;0,IF(INDEX(Personnel[Months],A209)*INDEX(Personnel[FTE],A209)&gt;pers_NSP_max_months,$B$139,""),""),"")</f>
        <v/>
      </c>
      <c r="Q209" s="218" t="str">
        <f>IFERROR(IF(COUNTIF(INDEX(Personnel[Category],A209),"*Other scientific*")&gt;0,IF(OR(IFERROR(MATCH("*PhD*",Personnel[Category],0),0)&gt;0,IFERROR(MATCH("*PostDoc*",Personnel[Category],0),0)&gt;0),"",$B$140),""),"")</f>
        <v/>
      </c>
      <c r="R209" s="218" t="str">
        <f>IFERROR(IF(COUNTIF(INDEX(Personnel[Category],A209),"*Other scientific*")&gt;0,IF(Total_OSP&gt;pers_max_OSP,$B$141,""),""),"")</f>
        <v/>
      </c>
      <c r="S209" s="218" t="str">
        <f>IFERROR(IF(COUNTIF(INDEX(Personnel[Category],A209),"*Other scientific*")&gt;0,IF(INDEX(Personnel[Months],A209)*INDEX(Personnel[FTE],A209)&lt;pers_OSP_min_months,$B$142,""),""),"")</f>
        <v/>
      </c>
      <c r="T209" s="218" t="str">
        <f>IFERROR(IF(COUNTIF(INDEX(Personnel[Category],A209),"*Other scientific*")&gt;0,IF(INDEX(Personnel[Months],A209)*INDEX(Personnel[FTE],A209)&gt;pers_OSP_max_months,$B$143,""),""),"")</f>
        <v/>
      </c>
      <c r="U209" s="218" t="str">
        <f>IFERROR(IF(COUNTIF(INDEX(Personnel[Category],A209),"*leave*")&gt;0,IF(Total_Research_leave&gt;pers_leave_maxperc*Total_NWO_funding,$B$144,""),""),"")</f>
        <v/>
      </c>
      <c r="V209" s="218" t="str">
        <f>IFERROR(IF(COUNTIF(INDEX(Personnel[Category],A209),"*leave*")&gt;0,IF(Research_leave_FTE_months&gt;pers_leave_maxduration,$B$145,""),""),"")</f>
        <v/>
      </c>
      <c r="W209" s="218" t="str">
        <f>IFERROR(IF(AND(INDEX(Personnel[Costs],A209)=0,INDEX(salaries_academic[[category]:[1]],MATCH(INDEX(Personnel[Category],A209),salaries_academic[category],0),3)=0),$B$148,""),"")</f>
        <v/>
      </c>
      <c r="X209" s="218" t="str">
        <f>IF(AND(organisation_type="yes",INDEX(Personnel[Amount],A209,1)&lt;&gt;"",ISBLANK(INDEX(Personnel[Organisation type],A209,1))),$B$146,"")</f>
        <v/>
      </c>
      <c r="Y209" s="218" t="str">
        <f>IF(AND(organisation_name="yes",INDEX(Personnel[Amount],A209,1)&lt;&gt;"",ISBLANK(INDEX(Personnel[Name organisation],A209,1))),$B$147,"")</f>
        <v/>
      </c>
      <c r="Z209" s="218" t="str">
        <f>IFERROR(IF(AND(INDEX(Personnel[Costs],A209)&gt;0,INDEX(salaries_academic[[category]:[1]],MATCH(INDEX(Personnel[Category],A209),salaries_academic[category],0),3)&gt;0),$B$149,""),"")</f>
        <v/>
      </c>
      <c r="AA209" s="218"/>
    </row>
    <row r="210" spans="1:27" outlineLevel="1" x14ac:dyDescent="0.35">
      <c r="A210" s="195">
        <v>3</v>
      </c>
      <c r="B210" s="195" t="str">
        <f t="array" ref="B210">IFERROR(INDEX(personnel_ac_notes[[#This Row],[Exceeding nr months]:[Costs specified]],1,MATCH(TRUE,LEN(personnel_ac_notes[[#This Row],[Exceeding nr months]:[Costs specified]])&gt;0,0)),"")</f>
        <v/>
      </c>
      <c r="C210" s="195" t="str">
        <f>IFERROR(IF(INDEX(Personnel[Months],A210)&gt;Max_project_duration,$B$128,""),"")</f>
        <v/>
      </c>
      <c r="D210" s="195" t="str">
        <f>IFERROR(IF(AND(LEN(INDEX(Personnel[Category],A210))+LEN(INDEX(Personnel[FTE],A210))+LEN(INDEX(Personnel[Months],A210))&gt;0,LEN(INDEX(Personnel[Category],A210-1))+LEN(INDEX(Personnel[FTE],A210-1))+LEN(INDEX(Personnel[Months],A210-1))=0),$B$127,""),"")</f>
        <v/>
      </c>
      <c r="E210" s="195" t="str">
        <f>IF(AND(NOT(ISBLANK(INDEX(Personnel[Category],A210))),OR(ISBLANK(INDEX(Personnel[FTE],A210)),ISBLANK(INDEX(Personnel[Months],A210)))),VLOOKUP(INDEX(Personnel[Category],A210),salaries_academic[],2,FALSE),"")</f>
        <v/>
      </c>
      <c r="F210" s="195" t="str">
        <f>IFERROR(IF(COUNTIF(INDEX(Personnel[Category],A210),"*- PhD*")&gt;0,IF(INDEX(Personnel[Months],A210)*INDEX(Personnel[FTE],A210)&lt;pers_PhD_min_months,$B$129,""),""),"")</f>
        <v/>
      </c>
      <c r="G210" s="195" t="str">
        <f>IFERROR(IF(COUNTIF(INDEX(Personnel[Category],$A210),"*- PhD*")&gt;0,IF(INDEX(Personnel[Months],$A210)*INDEX(Personnel[FTE],$A210)&gt;pers_PhD_max_months,$B$130,""),""),"")</f>
        <v/>
      </c>
      <c r="H210" s="195" t="str">
        <f>IFERROR(IF(COUNTIF(INDEX(Personnel[Category],A210),"*year*")&gt;0,IF(INDEX(Personnel[Months],A210)*INDEX(Personnel[FTE],A210)&lt;pers_3yPhD_min_months,$B$131,""),""),"")</f>
        <v/>
      </c>
      <c r="I210" s="218" t="str">
        <f>IFERROR(IF(COUNTIF(INDEX(Personnel[Category],A210),"*PDEng*")&gt;0,IF(OR(IFERROR(MATCH("*PhD*",Personnel[Category],0),0)&gt;0,IFERROR(MATCH("*PostDoc*",Personnel[Category],0),0)&gt;0),"",$B$132),""),"")</f>
        <v/>
      </c>
      <c r="J210" s="218" t="str">
        <f>IFERROR(IF(COUNTIF(INDEX(Personnel[Category],A210),"*PDEng*")&gt;0,IF(INDEX(Personnel[Months],A210)*INDEX(Personnel[FTE],A210)&gt;pers_PDEng_max_months,$B$133,""),""),"")</f>
        <v/>
      </c>
      <c r="K210" s="218" t="str">
        <f>IFERROR(IF(COUNTIF(INDEX(Personnel[Category],A210),"*PostDoc*")&gt;0,IF(INDEX(Personnel[Months],A210)*INDEX(Personnel[FTE],A210)&lt;pers_PD_min_months,$B$134,""),""),"")</f>
        <v/>
      </c>
      <c r="L210" s="218" t="str">
        <f>IFERROR(IF(COUNTIF(INDEX(Personnel[Category],A210),"*PostDoc*")&gt;0,IF(INDEX(Personnel[Months],A210)*INDEX(Personnel[FTE],A210)&gt;pers_PD_max_months,$B$135,""),""),"")</f>
        <v/>
      </c>
      <c r="M210" s="218" t="str">
        <f>IFERROR(IF(COUNTIF(INDEX(Personnel[Category],A210),"*Non-scientific*")&gt;0,IF(OR(IFERROR(MATCH("*PhD*",Personnel[Category],0),0)&gt;0,IFERROR(MATCH("*PostDoc*",Personnel[Category],0),0)&gt;0),"",$B$136),""),"")</f>
        <v/>
      </c>
      <c r="N210" s="218" t="str">
        <f>IFERROR(IF(COUNTIF(INDEX(Personnel[Category],A210),"*Non-scientific*")&gt;0,IF(Total_NSP&gt;pers_max_NSP,$B$137,""),""),"")</f>
        <v/>
      </c>
      <c r="O210" s="218" t="str">
        <f>IFERROR(IF(COUNTIF(INDEX(Personnel[Category],A210),"*Non-scientific*")&gt;0,IF(INDEX(Personnel[Months],A210)*INDEX(Personnel[FTE],A210)&lt;pers_NSP_min_months,$B$138,""),""),"")</f>
        <v/>
      </c>
      <c r="P210" s="218" t="str">
        <f>IFERROR(IF(COUNTIF(INDEX(Personnel[Category],A210),"*Non-scientific*")&gt;0,IF(INDEX(Personnel[Months],A210)*INDEX(Personnel[FTE],A210)&gt;pers_NSP_max_months,$B$139,""),""),"")</f>
        <v/>
      </c>
      <c r="Q210" s="218" t="str">
        <f>IFERROR(IF(COUNTIF(INDEX(Personnel[Category],A210),"*Other scientific*")&gt;0,IF(OR(IFERROR(MATCH("*PhD*",Personnel[Category],0),0)&gt;0,IFERROR(MATCH("*PostDoc*",Personnel[Category],0),0)&gt;0),"",$B$140),""),"")</f>
        <v/>
      </c>
      <c r="R210" s="218" t="str">
        <f>IFERROR(IF(COUNTIF(INDEX(Personnel[Category],A210),"*Other scientific*")&gt;0,IF(Total_OSP&gt;pers_max_OSP,$B$141,""),""),"")</f>
        <v/>
      </c>
      <c r="S210" s="218" t="str">
        <f>IFERROR(IF(COUNTIF(INDEX(Personnel[Category],A210),"*Other scientific*")&gt;0,IF(INDEX(Personnel[Months],A210)*INDEX(Personnel[FTE],A210)&lt;pers_OSP_min_months,$B$142,""),""),"")</f>
        <v/>
      </c>
      <c r="T210" s="218" t="str">
        <f>IFERROR(IF(COUNTIF(INDEX(Personnel[Category],A210),"*Other scientific*")&gt;0,IF(INDEX(Personnel[Months],A210)*INDEX(Personnel[FTE],A210)&gt;pers_OSP_max_months,$B$143,""),""),"")</f>
        <v/>
      </c>
      <c r="U210" s="218" t="str">
        <f>IFERROR(IF(COUNTIF(INDEX(Personnel[Category],A210),"*leave*")&gt;0,IF(Total_Research_leave&gt;pers_leave_maxperc*Total_NWO_funding,$B$144,""),""),"")</f>
        <v/>
      </c>
      <c r="V210" s="218" t="str">
        <f>IFERROR(IF(COUNTIF(INDEX(Personnel[Category],A210),"*leave*")&gt;0,IF(Research_leave_FTE_months&gt;pers_leave_maxduration,$B$145,""),""),"")</f>
        <v/>
      </c>
      <c r="W210" s="218" t="str">
        <f>IFERROR(IF(AND(INDEX(Personnel[Costs],A210)=0,INDEX(salaries_academic[[category]:[1]],MATCH(INDEX(Personnel[Category],A210),salaries_academic[category],0),3)=0),$B$148,""),"")</f>
        <v/>
      </c>
      <c r="X210" s="218" t="str">
        <f>IF(AND(organisation_type="yes",INDEX(Personnel[Amount],A210,1)&lt;&gt;"",ISBLANK(INDEX(Personnel[Organisation type],A210,1))),$B$146,"")</f>
        <v/>
      </c>
      <c r="Y210" s="218" t="str">
        <f>IF(AND(organisation_name="yes",INDEX(Personnel[Amount],A210,1)&lt;&gt;"",ISBLANK(INDEX(Personnel[Name organisation],A210,1))),$B$147,"")</f>
        <v/>
      </c>
      <c r="Z210" s="218" t="str">
        <f>IFERROR(IF(AND(INDEX(Personnel[Costs],A210)&gt;0,INDEX(salaries_academic[[category]:[1]],MATCH(INDEX(Personnel[Category],A210),salaries_academic[category],0),3)&gt;0),$B$149,""),"")</f>
        <v/>
      </c>
      <c r="AA210" s="218"/>
    </row>
    <row r="211" spans="1:27" outlineLevel="1" x14ac:dyDescent="0.35">
      <c r="A211" s="195">
        <v>4</v>
      </c>
      <c r="B211" s="195" t="str">
        <f t="array" ref="B211">IFERROR(INDEX(personnel_ac_notes[[#This Row],[Exceeding nr months]:[Costs specified]],1,MATCH(TRUE,LEN(personnel_ac_notes[[#This Row],[Exceeding nr months]:[Costs specified]])&gt;0,0)),"")</f>
        <v/>
      </c>
      <c r="C211" s="195" t="str">
        <f>IFERROR(IF(INDEX(Personnel[Months],A211)&gt;Max_project_duration,$B$128,""),"")</f>
        <v/>
      </c>
      <c r="D211" s="195" t="str">
        <f>IFERROR(IF(AND(LEN(INDEX(Personnel[Category],A211))+LEN(INDEX(Personnel[FTE],A211))+LEN(INDEX(Personnel[Months],A211))&gt;0,LEN(INDEX(Personnel[Category],A211-1))+LEN(INDEX(Personnel[FTE],A211-1))+LEN(INDEX(Personnel[Months],A211-1))=0),$B$127,""),"")</f>
        <v/>
      </c>
      <c r="E211" s="195" t="str">
        <f>IF(AND(NOT(ISBLANK(INDEX(Personnel[Category],A211))),OR(ISBLANK(INDEX(Personnel[FTE],A211)),ISBLANK(INDEX(Personnel[Months],A211)))),VLOOKUP(INDEX(Personnel[Category],A211),salaries_academic[],2,FALSE),"")</f>
        <v/>
      </c>
      <c r="F211" s="195" t="str">
        <f>IFERROR(IF(COUNTIF(INDEX(Personnel[Category],A211),"*- PhD*")&gt;0,IF(INDEX(Personnel[Months],A211)*INDEX(Personnel[FTE],A211)&lt;pers_PhD_min_months,$B$129,""),""),"")</f>
        <v/>
      </c>
      <c r="G211" s="195" t="str">
        <f>IFERROR(IF(COUNTIF(INDEX(Personnel[Category],$A211),"*- PhD*")&gt;0,IF(INDEX(Personnel[Months],$A211)*INDEX(Personnel[FTE],$A211)&gt;pers_PhD_max_months,$B$130,""),""),"")</f>
        <v/>
      </c>
      <c r="H211" s="195" t="str">
        <f>IFERROR(IF(COUNTIF(INDEX(Personnel[Category],A211),"*year*")&gt;0,IF(INDEX(Personnel[Months],A211)*INDEX(Personnel[FTE],A211)&lt;pers_3yPhD_min_months,$B$131,""),""),"")</f>
        <v/>
      </c>
      <c r="I211" s="218" t="str">
        <f>IFERROR(IF(COUNTIF(INDEX(Personnel[Category],A211),"*PDEng*")&gt;0,IF(OR(IFERROR(MATCH("*PhD*",Personnel[Category],0),0)&gt;0,IFERROR(MATCH("*PostDoc*",Personnel[Category],0),0)&gt;0),"",$B$132),""),"")</f>
        <v/>
      </c>
      <c r="J211" s="218" t="str">
        <f>IFERROR(IF(COUNTIF(INDEX(Personnel[Category],A211),"*PDEng*")&gt;0,IF(INDEX(Personnel[Months],A211)*INDEX(Personnel[FTE],A211)&gt;pers_PDEng_max_months,$B$133,""),""),"")</f>
        <v/>
      </c>
      <c r="K211" s="218" t="str">
        <f>IFERROR(IF(COUNTIF(INDEX(Personnel[Category],A211),"*PostDoc*")&gt;0,IF(INDEX(Personnel[Months],A211)*INDEX(Personnel[FTE],A211)&lt;pers_PD_min_months,$B$134,""),""),"")</f>
        <v/>
      </c>
      <c r="L211" s="218" t="str">
        <f>IFERROR(IF(COUNTIF(INDEX(Personnel[Category],A211),"*PostDoc*")&gt;0,IF(INDEX(Personnel[Months],A211)*INDEX(Personnel[FTE],A211)&gt;pers_PD_max_months,$B$135,""),""),"")</f>
        <v/>
      </c>
      <c r="M211" s="218" t="str">
        <f>IFERROR(IF(COUNTIF(INDEX(Personnel[Category],A211),"*Non-scientific*")&gt;0,IF(OR(IFERROR(MATCH("*PhD*",Personnel[Category],0),0)&gt;0,IFERROR(MATCH("*PostDoc*",Personnel[Category],0),0)&gt;0),"",$B$136),""),"")</f>
        <v/>
      </c>
      <c r="N211" s="218" t="str">
        <f>IFERROR(IF(COUNTIF(INDEX(Personnel[Category],A211),"*Non-scientific*")&gt;0,IF(Total_NSP&gt;pers_max_NSP,$B$137,""),""),"")</f>
        <v/>
      </c>
      <c r="O211" s="218" t="str">
        <f>IFERROR(IF(COUNTIF(INDEX(Personnel[Category],A211),"*Non-scientific*")&gt;0,IF(INDEX(Personnel[Months],A211)*INDEX(Personnel[FTE],A211)&lt;pers_NSP_min_months,$B$138,""),""),"")</f>
        <v/>
      </c>
      <c r="P211" s="218" t="str">
        <f>IFERROR(IF(COUNTIF(INDEX(Personnel[Category],A211),"*Non-scientific*")&gt;0,IF(INDEX(Personnel[Months],A211)*INDEX(Personnel[FTE],A211)&gt;pers_NSP_max_months,$B$139,""),""),"")</f>
        <v/>
      </c>
      <c r="Q211" s="218" t="str">
        <f>IFERROR(IF(COUNTIF(INDEX(Personnel[Category],A211),"*Other scientific*")&gt;0,IF(OR(IFERROR(MATCH("*PhD*",Personnel[Category],0),0)&gt;0,IFERROR(MATCH("*PostDoc*",Personnel[Category],0),0)&gt;0),"",$B$140),""),"")</f>
        <v/>
      </c>
      <c r="R211" s="218" t="str">
        <f>IFERROR(IF(COUNTIF(INDEX(Personnel[Category],A211),"*Other scientific*")&gt;0,IF(Total_OSP&gt;pers_max_OSP,$B$141,""),""),"")</f>
        <v/>
      </c>
      <c r="S211" s="218" t="str">
        <f>IFERROR(IF(COUNTIF(INDEX(Personnel[Category],A211),"*Other scientific*")&gt;0,IF(INDEX(Personnel[Months],A211)*INDEX(Personnel[FTE],A211)&lt;pers_OSP_min_months,$B$142,""),""),"")</f>
        <v/>
      </c>
      <c r="T211" s="218" t="str">
        <f>IFERROR(IF(COUNTIF(INDEX(Personnel[Category],A211),"*Other scientific*")&gt;0,IF(INDEX(Personnel[Months],A211)*INDEX(Personnel[FTE],A211)&gt;pers_OSP_max_months,$B$143,""),""),"")</f>
        <v/>
      </c>
      <c r="U211" s="218" t="str">
        <f>IFERROR(IF(COUNTIF(INDEX(Personnel[Category],A211),"*leave*")&gt;0,IF(Total_Research_leave&gt;pers_leave_maxperc*Total_NWO_funding,$B$144,""),""),"")</f>
        <v/>
      </c>
      <c r="V211" s="218" t="str">
        <f>IFERROR(IF(COUNTIF(INDEX(Personnel[Category],A211),"*leave*")&gt;0,IF(Research_leave_FTE_months&gt;pers_leave_maxduration,$B$145,""),""),"")</f>
        <v/>
      </c>
      <c r="W211" s="218" t="str">
        <f>IFERROR(IF(AND(INDEX(Personnel[Costs],A211)=0,INDEX(salaries_academic[[category]:[1]],MATCH(INDEX(Personnel[Category],A211),salaries_academic[category],0),3)=0),$B$148,""),"")</f>
        <v/>
      </c>
      <c r="X211" s="218" t="str">
        <f>IF(AND(organisation_type="yes",INDEX(Personnel[Amount],A211,1)&lt;&gt;"",ISBLANK(INDEX(Personnel[Organisation type],A211,1))),$B$146,"")</f>
        <v/>
      </c>
      <c r="Y211" s="218" t="str">
        <f>IF(AND(organisation_name="yes",INDEX(Personnel[Amount],A211,1)&lt;&gt;"",ISBLANK(INDEX(Personnel[Name organisation],A211,1))),$B$147,"")</f>
        <v/>
      </c>
      <c r="Z211" s="218" t="str">
        <f>IFERROR(IF(AND(INDEX(Personnel[Costs],A211)&gt;0,INDEX(salaries_academic[[category]:[1]],MATCH(INDEX(Personnel[Category],A211),salaries_academic[category],0),3)&gt;0),$B$149,""),"")</f>
        <v/>
      </c>
      <c r="AA211" s="218"/>
    </row>
    <row r="212" spans="1:27" outlineLevel="1" x14ac:dyDescent="0.35">
      <c r="A212" s="195">
        <v>5</v>
      </c>
      <c r="B212" s="195" t="str">
        <f t="array" ref="B212">IFERROR(INDEX(personnel_ac_notes[[#This Row],[Exceeding nr months]:[Costs specified]],1,MATCH(TRUE,LEN(personnel_ac_notes[[#This Row],[Exceeding nr months]:[Costs specified]])&gt;0,0)),"")</f>
        <v/>
      </c>
      <c r="C212" s="195" t="str">
        <f>IFERROR(IF(INDEX(Personnel[Months],A212)&gt;Max_project_duration,$B$128,""),"")</f>
        <v/>
      </c>
      <c r="D212" s="195" t="str">
        <f>IFERROR(IF(AND(LEN(INDEX(Personnel[Category],A212))+LEN(INDEX(Personnel[FTE],A212))+LEN(INDEX(Personnel[Months],A212))&gt;0,LEN(INDEX(Personnel[Category],A212-1))+LEN(INDEX(Personnel[FTE],A212-1))+LEN(INDEX(Personnel[Months],A212-1))=0),$B$127,""),"")</f>
        <v/>
      </c>
      <c r="E212" s="195" t="str">
        <f>IF(AND(NOT(ISBLANK(INDEX(Personnel[Category],A212))),OR(ISBLANK(INDEX(Personnel[FTE],A212)),ISBLANK(INDEX(Personnel[Months],A212)))),VLOOKUP(INDEX(Personnel[Category],A212),salaries_academic[],2,FALSE),"")</f>
        <v/>
      </c>
      <c r="F212" s="195" t="str">
        <f>IFERROR(IF(COUNTIF(INDEX(Personnel[Category],A212),"*- PhD*")&gt;0,IF(INDEX(Personnel[Months],A212)*INDEX(Personnel[FTE],A212)&lt;pers_PhD_min_months,$B$129,""),""),"")</f>
        <v/>
      </c>
      <c r="G212" s="195" t="str">
        <f>IFERROR(IF(COUNTIF(INDEX(Personnel[Category],$A212),"*- PhD*")&gt;0,IF(INDEX(Personnel[Months],$A212)*INDEX(Personnel[FTE],$A212)&gt;pers_PhD_max_months,$B$130,""),""),"")</f>
        <v/>
      </c>
      <c r="H212" s="195" t="str">
        <f>IFERROR(IF(COUNTIF(INDEX(Personnel[Category],A212),"*year*")&gt;0,IF(INDEX(Personnel[Months],A212)*INDEX(Personnel[FTE],A212)&lt;pers_3yPhD_min_months,$B$131,""),""),"")</f>
        <v/>
      </c>
      <c r="I212" s="218" t="str">
        <f>IFERROR(IF(COUNTIF(INDEX(Personnel[Category],A212),"*PDEng*")&gt;0,IF(OR(IFERROR(MATCH("*PhD*",Personnel[Category],0),0)&gt;0,IFERROR(MATCH("*PostDoc*",Personnel[Category],0),0)&gt;0),"",$B$132),""),"")</f>
        <v/>
      </c>
      <c r="J212" s="218" t="str">
        <f>IFERROR(IF(COUNTIF(INDEX(Personnel[Category],A212),"*PDEng*")&gt;0,IF(INDEX(Personnel[Months],A212)*INDEX(Personnel[FTE],A212)&gt;pers_PDEng_max_months,$B$133,""),""),"")</f>
        <v/>
      </c>
      <c r="K212" s="218" t="str">
        <f>IFERROR(IF(COUNTIF(INDEX(Personnel[Category],A212),"*PostDoc*")&gt;0,IF(INDEX(Personnel[Months],A212)*INDEX(Personnel[FTE],A212)&lt;pers_PD_min_months,$B$134,""),""),"")</f>
        <v/>
      </c>
      <c r="L212" s="218" t="str">
        <f>IFERROR(IF(COUNTIF(INDEX(Personnel[Category],A212),"*PostDoc*")&gt;0,IF(INDEX(Personnel[Months],A212)*INDEX(Personnel[FTE],A212)&gt;pers_PD_max_months,$B$135,""),""),"")</f>
        <v/>
      </c>
      <c r="M212" s="218" t="str">
        <f>IFERROR(IF(COUNTIF(INDEX(Personnel[Category],A212),"*Non-scientific*")&gt;0,IF(OR(IFERROR(MATCH("*PhD*",Personnel[Category],0),0)&gt;0,IFERROR(MATCH("*PostDoc*",Personnel[Category],0),0)&gt;0),"",$B$136),""),"")</f>
        <v/>
      </c>
      <c r="N212" s="218" t="str">
        <f>IFERROR(IF(COUNTIF(INDEX(Personnel[Category],A212),"*Non-scientific*")&gt;0,IF(Total_NSP&gt;pers_max_NSP,$B$137,""),""),"")</f>
        <v/>
      </c>
      <c r="O212" s="218" t="str">
        <f>IFERROR(IF(COUNTIF(INDEX(Personnel[Category],A212),"*Non-scientific*")&gt;0,IF(INDEX(Personnel[Months],A212)*INDEX(Personnel[FTE],A212)&lt;pers_NSP_min_months,$B$138,""),""),"")</f>
        <v/>
      </c>
      <c r="P212" s="218" t="str">
        <f>IFERROR(IF(COUNTIF(INDEX(Personnel[Category],A212),"*Non-scientific*")&gt;0,IF(INDEX(Personnel[Months],A212)*INDEX(Personnel[FTE],A212)&gt;pers_NSP_max_months,$B$139,""),""),"")</f>
        <v/>
      </c>
      <c r="Q212" s="218" t="str">
        <f>IFERROR(IF(COUNTIF(INDEX(Personnel[Category],A212),"*Other scientific*")&gt;0,IF(OR(IFERROR(MATCH("*PhD*",Personnel[Category],0),0)&gt;0,IFERROR(MATCH("*PostDoc*",Personnel[Category],0),0)&gt;0),"",$B$140),""),"")</f>
        <v/>
      </c>
      <c r="R212" s="218" t="str">
        <f>IFERROR(IF(COUNTIF(INDEX(Personnel[Category],A212),"*Other scientific*")&gt;0,IF(Total_OSP&gt;pers_max_OSP,$B$141,""),""),"")</f>
        <v/>
      </c>
      <c r="S212" s="218" t="str">
        <f>IFERROR(IF(COUNTIF(INDEX(Personnel[Category],A212),"*Other scientific*")&gt;0,IF(INDEX(Personnel[Months],A212)*INDEX(Personnel[FTE],A212)&lt;pers_OSP_min_months,$B$142,""),""),"")</f>
        <v/>
      </c>
      <c r="T212" s="218" t="str">
        <f>IFERROR(IF(COUNTIF(INDEX(Personnel[Category],A212),"*Other scientific*")&gt;0,IF(INDEX(Personnel[Months],A212)*INDEX(Personnel[FTE],A212)&gt;pers_OSP_max_months,$B$143,""),""),"")</f>
        <v/>
      </c>
      <c r="U212" s="218" t="str">
        <f>IFERROR(IF(COUNTIF(INDEX(Personnel[Category],A212),"*leave*")&gt;0,IF(Total_Research_leave&gt;pers_leave_maxperc*Total_NWO_funding,$B$144,""),""),"")</f>
        <v/>
      </c>
      <c r="V212" s="218" t="str">
        <f>IFERROR(IF(COUNTIF(INDEX(Personnel[Category],A212),"*leave*")&gt;0,IF(Research_leave_FTE_months&gt;pers_leave_maxduration,$B$145,""),""),"")</f>
        <v/>
      </c>
      <c r="W212" s="218" t="str">
        <f>IFERROR(IF(AND(INDEX(Personnel[Costs],A212)=0,INDEX(salaries_academic[[category]:[1]],MATCH(INDEX(Personnel[Category],A212),salaries_academic[category],0),3)=0),$B$148,""),"")</f>
        <v/>
      </c>
      <c r="X212" s="218" t="str">
        <f>IF(AND(organisation_type="yes",INDEX(Personnel[Amount],A212,1)&lt;&gt;"",ISBLANK(INDEX(Personnel[Organisation type],A212,1))),$B$146,"")</f>
        <v/>
      </c>
      <c r="Y212" s="218" t="str">
        <f>IF(AND(organisation_name="yes",INDEX(Personnel[Amount],A212,1)&lt;&gt;"",ISBLANK(INDEX(Personnel[Name organisation],A212,1))),$B$147,"")</f>
        <v/>
      </c>
      <c r="Z212" s="218" t="str">
        <f>IFERROR(IF(AND(INDEX(Personnel[Costs],A212)&gt;0,INDEX(salaries_academic[[category]:[1]],MATCH(INDEX(Personnel[Category],A212),salaries_academic[category],0),3)&gt;0),$B$149,""),"")</f>
        <v/>
      </c>
      <c r="AA212" s="218"/>
    </row>
    <row r="213" spans="1:27" outlineLevel="1" x14ac:dyDescent="0.35">
      <c r="A213" s="195">
        <v>6</v>
      </c>
      <c r="B213" s="195" t="str">
        <f t="array" ref="B213">IFERROR(INDEX(personnel_ac_notes[[#This Row],[Exceeding nr months]:[Costs specified]],1,MATCH(TRUE,LEN(personnel_ac_notes[[#This Row],[Exceeding nr months]:[Costs specified]])&gt;0,0)),"")</f>
        <v/>
      </c>
      <c r="C213" s="195" t="str">
        <f>IFERROR(IF(INDEX(Personnel[Months],A213)&gt;Max_project_duration,$B$128,""),"")</f>
        <v/>
      </c>
      <c r="D213" s="195" t="str">
        <f>IFERROR(IF(AND(LEN(INDEX(Personnel[Category],A213))+LEN(INDEX(Personnel[FTE],A213))+LEN(INDEX(Personnel[Months],A213))&gt;0,LEN(INDEX(Personnel[Category],A213-1))+LEN(INDEX(Personnel[FTE],A213-1))+LEN(INDEX(Personnel[Months],A213-1))=0),$B$127,""),"")</f>
        <v/>
      </c>
      <c r="E213" s="195" t="str">
        <f>IF(AND(NOT(ISBLANK(INDEX(Personnel[Category],A213))),OR(ISBLANK(INDEX(Personnel[FTE],A213)),ISBLANK(INDEX(Personnel[Months],A213)))),VLOOKUP(INDEX(Personnel[Category],A213),salaries_academic[],2,FALSE),"")</f>
        <v/>
      </c>
      <c r="F213" s="195" t="str">
        <f>IFERROR(IF(COUNTIF(INDEX(Personnel[Category],A213),"*- PhD*")&gt;0,IF(INDEX(Personnel[Months],A213)*INDEX(Personnel[FTE],A213)&lt;pers_PhD_min_months,$B$129,""),""),"")</f>
        <v/>
      </c>
      <c r="G213" s="195" t="str">
        <f>IFERROR(IF(COUNTIF(INDEX(Personnel[Category],$A213),"*- PhD*")&gt;0,IF(INDEX(Personnel[Months],$A213)*INDEX(Personnel[FTE],$A213)&gt;pers_PhD_max_months,$B$130,""),""),"")</f>
        <v/>
      </c>
      <c r="H213" s="195" t="str">
        <f>IFERROR(IF(COUNTIF(INDEX(Personnel[Category],A213),"*year*")&gt;0,IF(INDEX(Personnel[Months],A213)*INDEX(Personnel[FTE],A213)&lt;pers_3yPhD_min_months,$B$131,""),""),"")</f>
        <v/>
      </c>
      <c r="I213" s="218" t="str">
        <f>IFERROR(IF(COUNTIF(INDEX(Personnel[Category],A213),"*PDEng*")&gt;0,IF(OR(IFERROR(MATCH("*PhD*",Personnel[Category],0),0)&gt;0,IFERROR(MATCH("*PostDoc*",Personnel[Category],0),0)&gt;0),"",$B$132),""),"")</f>
        <v/>
      </c>
      <c r="J213" s="218" t="str">
        <f>IFERROR(IF(COUNTIF(INDEX(Personnel[Category],A213),"*PDEng*")&gt;0,IF(INDEX(Personnel[Months],A213)*INDEX(Personnel[FTE],A213)&gt;pers_PDEng_max_months,$B$133,""),""),"")</f>
        <v/>
      </c>
      <c r="K213" s="218" t="str">
        <f>IFERROR(IF(COUNTIF(INDEX(Personnel[Category],A213),"*PostDoc*")&gt;0,IF(INDEX(Personnel[Months],A213)*INDEX(Personnel[FTE],A213)&lt;pers_PD_min_months,$B$134,""),""),"")</f>
        <v/>
      </c>
      <c r="L213" s="218" t="str">
        <f>IFERROR(IF(COUNTIF(INDEX(Personnel[Category],A213),"*PostDoc*")&gt;0,IF(INDEX(Personnel[Months],A213)*INDEX(Personnel[FTE],A213)&gt;pers_PD_max_months,$B$135,""),""),"")</f>
        <v/>
      </c>
      <c r="M213" s="218" t="str">
        <f>IFERROR(IF(COUNTIF(INDEX(Personnel[Category],A213),"*Non-scientific*")&gt;0,IF(OR(IFERROR(MATCH("*PhD*",Personnel[Category],0),0)&gt;0,IFERROR(MATCH("*PostDoc*",Personnel[Category],0),0)&gt;0),"",$B$136),""),"")</f>
        <v/>
      </c>
      <c r="N213" s="218" t="str">
        <f>IFERROR(IF(COUNTIF(INDEX(Personnel[Category],A213),"*Non-scientific*")&gt;0,IF(Total_NSP&gt;pers_max_NSP,$B$137,""),""),"")</f>
        <v/>
      </c>
      <c r="O213" s="218" t="str">
        <f>IFERROR(IF(COUNTIF(INDEX(Personnel[Category],A213),"*Non-scientific*")&gt;0,IF(INDEX(Personnel[Months],A213)*INDEX(Personnel[FTE],A213)&lt;pers_NSP_min_months,$B$138,""),""),"")</f>
        <v/>
      </c>
      <c r="P213" s="218" t="str">
        <f>IFERROR(IF(COUNTIF(INDEX(Personnel[Category],A213),"*Non-scientific*")&gt;0,IF(INDEX(Personnel[Months],A213)*INDEX(Personnel[FTE],A213)&gt;pers_NSP_max_months,$B$139,""),""),"")</f>
        <v/>
      </c>
      <c r="Q213" s="218" t="str">
        <f>IFERROR(IF(COUNTIF(INDEX(Personnel[Category],A213),"*Other scientific*")&gt;0,IF(OR(IFERROR(MATCH("*PhD*",Personnel[Category],0),0)&gt;0,IFERROR(MATCH("*PostDoc*",Personnel[Category],0),0)&gt;0),"",$B$140),""),"")</f>
        <v/>
      </c>
      <c r="R213" s="218" t="str">
        <f>IFERROR(IF(COUNTIF(INDEX(Personnel[Category],A213),"*Other scientific*")&gt;0,IF(Total_OSP&gt;pers_max_OSP,$B$141,""),""),"")</f>
        <v/>
      </c>
      <c r="S213" s="218" t="str">
        <f>IFERROR(IF(COUNTIF(INDEX(Personnel[Category],A213),"*Other scientific*")&gt;0,IF(INDEX(Personnel[Months],A213)*INDEX(Personnel[FTE],A213)&lt;pers_OSP_min_months,$B$142,""),""),"")</f>
        <v/>
      </c>
      <c r="T213" s="218" t="str">
        <f>IFERROR(IF(COUNTIF(INDEX(Personnel[Category],A213),"*Other scientific*")&gt;0,IF(INDEX(Personnel[Months],A213)*INDEX(Personnel[FTE],A213)&gt;pers_OSP_max_months,$B$143,""),""),"")</f>
        <v/>
      </c>
      <c r="U213" s="218" t="str">
        <f>IFERROR(IF(COUNTIF(INDEX(Personnel[Category],A213),"*leave*")&gt;0,IF(Total_Research_leave&gt;pers_leave_maxperc*Total_NWO_funding,$B$144,""),""),"")</f>
        <v/>
      </c>
      <c r="V213" s="218" t="str">
        <f>IFERROR(IF(COUNTIF(INDEX(Personnel[Category],A213),"*leave*")&gt;0,IF(Research_leave_FTE_months&gt;pers_leave_maxduration,$B$145,""),""),"")</f>
        <v/>
      </c>
      <c r="W213" s="218" t="str">
        <f>IFERROR(IF(AND(INDEX(Personnel[Costs],A213)=0,INDEX(salaries_academic[[category]:[1]],MATCH(INDEX(Personnel[Category],A213),salaries_academic[category],0),3)=0),$B$148,""),"")</f>
        <v/>
      </c>
      <c r="X213" s="218" t="str">
        <f>IF(AND(organisation_type="yes",INDEX(Personnel[Amount],A213,1)&lt;&gt;"",ISBLANK(INDEX(Personnel[Organisation type],A213,1))),$B$146,"")</f>
        <v/>
      </c>
      <c r="Y213" s="218" t="str">
        <f>IF(AND(organisation_name="yes",INDEX(Personnel[Amount],A213,1)&lt;&gt;"",ISBLANK(INDEX(Personnel[Name organisation],A213,1))),$B$147,"")</f>
        <v/>
      </c>
      <c r="Z213" s="218" t="str">
        <f>IFERROR(IF(AND(INDEX(Personnel[Costs],A213)&gt;0,INDEX(salaries_academic[[category]:[1]],MATCH(INDEX(Personnel[Category],A213),salaries_academic[category],0),3)&gt;0),$B$149,""),"")</f>
        <v/>
      </c>
      <c r="AA213" s="218"/>
    </row>
    <row r="214" spans="1:27" outlineLevel="1" x14ac:dyDescent="0.35">
      <c r="A214" s="195">
        <v>7</v>
      </c>
      <c r="B214" s="195" t="str">
        <f t="array" ref="B214">IFERROR(INDEX(personnel_ac_notes[[#This Row],[Exceeding nr months]:[Costs specified]],1,MATCH(TRUE,LEN(personnel_ac_notes[[#This Row],[Exceeding nr months]:[Costs specified]])&gt;0,0)),"")</f>
        <v/>
      </c>
      <c r="C214" s="195" t="str">
        <f>IFERROR(IF(INDEX(Personnel[Months],A214)&gt;Max_project_duration,$B$128,""),"")</f>
        <v/>
      </c>
      <c r="D214" s="195" t="str">
        <f>IFERROR(IF(AND(LEN(INDEX(Personnel[Category],A214))+LEN(INDEX(Personnel[FTE],A214))+LEN(INDEX(Personnel[Months],A214))&gt;0,LEN(INDEX(Personnel[Category],A214-1))+LEN(INDEX(Personnel[FTE],A214-1))+LEN(INDEX(Personnel[Months],A214-1))=0),$B$127,""),"")</f>
        <v/>
      </c>
      <c r="E214" s="195" t="str">
        <f>IF(AND(NOT(ISBLANK(INDEX(Personnel[Category],A214))),OR(ISBLANK(INDEX(Personnel[FTE],A214)),ISBLANK(INDEX(Personnel[Months],A214)))),VLOOKUP(INDEX(Personnel[Category],A214),salaries_academic[],2,FALSE),"")</f>
        <v/>
      </c>
      <c r="F214" s="195" t="str">
        <f>IFERROR(IF(COUNTIF(INDEX(Personnel[Category],A214),"*- PhD*")&gt;0,IF(INDEX(Personnel[Months],A214)*INDEX(Personnel[FTE],A214)&lt;pers_PhD_min_months,$B$129,""),""),"")</f>
        <v/>
      </c>
      <c r="G214" s="195" t="str">
        <f>IFERROR(IF(COUNTIF(INDEX(Personnel[Category],$A214),"*- PhD*")&gt;0,IF(INDEX(Personnel[Months],$A214)*INDEX(Personnel[FTE],$A214)&gt;pers_PhD_max_months,$B$130,""),""),"")</f>
        <v/>
      </c>
      <c r="H214" s="195" t="str">
        <f>IFERROR(IF(COUNTIF(INDEX(Personnel[Category],A214),"*year*")&gt;0,IF(INDEX(Personnel[Months],A214)*INDEX(Personnel[FTE],A214)&lt;pers_3yPhD_min_months,$B$131,""),""),"")</f>
        <v/>
      </c>
      <c r="I214" s="218" t="str">
        <f>IFERROR(IF(COUNTIF(INDEX(Personnel[Category],A214),"*PDEng*")&gt;0,IF(OR(IFERROR(MATCH("*PhD*",Personnel[Category],0),0)&gt;0,IFERROR(MATCH("*PostDoc*",Personnel[Category],0),0)&gt;0),"",$B$132),""),"")</f>
        <v/>
      </c>
      <c r="J214" s="218" t="str">
        <f>IFERROR(IF(COUNTIF(INDEX(Personnel[Category],A214),"*PDEng*")&gt;0,IF(INDEX(Personnel[Months],A214)*INDEX(Personnel[FTE],A214)&gt;pers_PDEng_max_months,$B$133,""),""),"")</f>
        <v/>
      </c>
      <c r="K214" s="218" t="str">
        <f>IFERROR(IF(COUNTIF(INDEX(Personnel[Category],A214),"*PostDoc*")&gt;0,IF(INDEX(Personnel[Months],A214)*INDEX(Personnel[FTE],A214)&lt;pers_PD_min_months,$B$134,""),""),"")</f>
        <v/>
      </c>
      <c r="L214" s="218" t="str">
        <f>IFERROR(IF(COUNTIF(INDEX(Personnel[Category],A214),"*PostDoc*")&gt;0,IF(INDEX(Personnel[Months],A214)*INDEX(Personnel[FTE],A214)&gt;pers_PD_max_months,$B$135,""),""),"")</f>
        <v/>
      </c>
      <c r="M214" s="218" t="str">
        <f>IFERROR(IF(COUNTIF(INDEX(Personnel[Category],A214),"*Non-scientific*")&gt;0,IF(OR(IFERROR(MATCH("*PhD*",Personnel[Category],0),0)&gt;0,IFERROR(MATCH("*PostDoc*",Personnel[Category],0),0)&gt;0),"",$B$136),""),"")</f>
        <v/>
      </c>
      <c r="N214" s="218" t="str">
        <f>IFERROR(IF(COUNTIF(INDEX(Personnel[Category],A214),"*Non-scientific*")&gt;0,IF(Total_NSP&gt;pers_max_NSP,$B$137,""),""),"")</f>
        <v/>
      </c>
      <c r="O214" s="218" t="str">
        <f>IFERROR(IF(COUNTIF(INDEX(Personnel[Category],A214),"*Non-scientific*")&gt;0,IF(INDEX(Personnel[Months],A214)*INDEX(Personnel[FTE],A214)&lt;pers_NSP_min_months,$B$138,""),""),"")</f>
        <v/>
      </c>
      <c r="P214" s="218" t="str">
        <f>IFERROR(IF(COUNTIF(INDEX(Personnel[Category],A214),"*Non-scientific*")&gt;0,IF(INDEX(Personnel[Months],A214)*INDEX(Personnel[FTE],A214)&gt;pers_NSP_max_months,$B$139,""),""),"")</f>
        <v/>
      </c>
      <c r="Q214" s="218" t="str">
        <f>IFERROR(IF(COUNTIF(INDEX(Personnel[Category],A214),"*Other scientific*")&gt;0,IF(OR(IFERROR(MATCH("*PhD*",Personnel[Category],0),0)&gt;0,IFERROR(MATCH("*PostDoc*",Personnel[Category],0),0)&gt;0),"",$B$140),""),"")</f>
        <v/>
      </c>
      <c r="R214" s="218" t="str">
        <f>IFERROR(IF(COUNTIF(INDEX(Personnel[Category],A214),"*Other scientific*")&gt;0,IF(Total_OSP&gt;pers_max_OSP,$B$141,""),""),"")</f>
        <v/>
      </c>
      <c r="S214" s="218" t="str">
        <f>IFERROR(IF(COUNTIF(INDEX(Personnel[Category],A214),"*Other scientific*")&gt;0,IF(INDEX(Personnel[Months],A214)*INDEX(Personnel[FTE],A214)&lt;pers_OSP_min_months,$B$142,""),""),"")</f>
        <v/>
      </c>
      <c r="T214" s="218" t="str">
        <f>IFERROR(IF(COUNTIF(INDEX(Personnel[Category],A214),"*Other scientific*")&gt;0,IF(INDEX(Personnel[Months],A214)*INDEX(Personnel[FTE],A214)&gt;pers_OSP_max_months,$B$143,""),""),"")</f>
        <v/>
      </c>
      <c r="U214" s="218" t="str">
        <f>IFERROR(IF(COUNTIF(INDEX(Personnel[Category],A214),"*leave*")&gt;0,IF(Total_Research_leave&gt;pers_leave_maxperc*Total_NWO_funding,$B$144,""),""),"")</f>
        <v/>
      </c>
      <c r="V214" s="218" t="str">
        <f>IFERROR(IF(COUNTIF(INDEX(Personnel[Category],A214),"*leave*")&gt;0,IF(Research_leave_FTE_months&gt;pers_leave_maxduration,$B$145,""),""),"")</f>
        <v/>
      </c>
      <c r="W214" s="218" t="str">
        <f>IFERROR(IF(AND(INDEX(Personnel[Costs],A214)=0,INDEX(salaries_academic[[category]:[1]],MATCH(INDEX(Personnel[Category],A214),salaries_academic[category],0),3)=0),$B$148,""),"")</f>
        <v/>
      </c>
      <c r="X214" s="218" t="str">
        <f>IF(AND(organisation_type="yes",INDEX(Personnel[Amount],A214,1)&lt;&gt;"",ISBLANK(INDEX(Personnel[Organisation type],A214,1))),$B$146,"")</f>
        <v/>
      </c>
      <c r="Y214" s="218" t="str">
        <f>IF(AND(organisation_name="yes",INDEX(Personnel[Amount],A214,1)&lt;&gt;"",ISBLANK(INDEX(Personnel[Name organisation],A214,1))),$B$147,"")</f>
        <v/>
      </c>
      <c r="Z214" s="218" t="str">
        <f>IFERROR(IF(AND(INDEX(Personnel[Costs],A214)&gt;0,INDEX(salaries_academic[[category]:[1]],MATCH(INDEX(Personnel[Category],A214),salaries_academic[category],0),3)&gt;0),$B$149,""),"")</f>
        <v/>
      </c>
      <c r="AA214" s="218"/>
    </row>
    <row r="215" spans="1:27" outlineLevel="1" x14ac:dyDescent="0.35">
      <c r="A215" s="195">
        <v>8</v>
      </c>
      <c r="B215" s="195" t="str">
        <f t="array" ref="B215">IFERROR(INDEX(personnel_ac_notes[[#This Row],[Exceeding nr months]:[Costs specified]],1,MATCH(TRUE,LEN(personnel_ac_notes[[#This Row],[Exceeding nr months]:[Costs specified]])&gt;0,0)),"")</f>
        <v/>
      </c>
      <c r="C215" s="195" t="str">
        <f>IFERROR(IF(INDEX(Personnel[Months],A215)&gt;Max_project_duration,$B$128,""),"")</f>
        <v/>
      </c>
      <c r="D215" s="195" t="str">
        <f>IFERROR(IF(AND(LEN(INDEX(Personnel[Category],A215))+LEN(INDEX(Personnel[FTE],A215))+LEN(INDEX(Personnel[Months],A215))&gt;0,LEN(INDEX(Personnel[Category],A215-1))+LEN(INDEX(Personnel[FTE],A215-1))+LEN(INDEX(Personnel[Months],A215-1))=0),$B$127,""),"")</f>
        <v/>
      </c>
      <c r="E215" s="195" t="str">
        <f>IF(AND(NOT(ISBLANK(INDEX(Personnel[Category],A215))),OR(ISBLANK(INDEX(Personnel[FTE],A215)),ISBLANK(INDEX(Personnel[Months],A215)))),VLOOKUP(INDEX(Personnel[Category],A215),salaries_academic[],2,FALSE),"")</f>
        <v/>
      </c>
      <c r="F215" s="195" t="str">
        <f>IFERROR(IF(COUNTIF(INDEX(Personnel[Category],A215),"*- PhD*")&gt;0,IF(INDEX(Personnel[Months],A215)*INDEX(Personnel[FTE],A215)&lt;pers_PhD_min_months,$B$129,""),""),"")</f>
        <v/>
      </c>
      <c r="G215" s="195" t="str">
        <f>IFERROR(IF(COUNTIF(INDEX(Personnel[Category],$A215),"*- PhD*")&gt;0,IF(INDEX(Personnel[Months],$A215)*INDEX(Personnel[FTE],$A215)&gt;pers_PhD_max_months,$B$130,""),""),"")</f>
        <v/>
      </c>
      <c r="H215" s="195" t="str">
        <f>IFERROR(IF(COUNTIF(INDEX(Personnel[Category],A215),"*year*")&gt;0,IF(INDEX(Personnel[Months],A215)*INDEX(Personnel[FTE],A215)&lt;pers_3yPhD_min_months,$B$131,""),""),"")</f>
        <v/>
      </c>
      <c r="I215" s="218" t="str">
        <f>IFERROR(IF(COUNTIF(INDEX(Personnel[Category],A215),"*PDEng*")&gt;0,IF(OR(IFERROR(MATCH("*PhD*",Personnel[Category],0),0)&gt;0,IFERROR(MATCH("*PostDoc*",Personnel[Category],0),0)&gt;0),"",$B$132),""),"")</f>
        <v/>
      </c>
      <c r="J215" s="218" t="str">
        <f>IFERROR(IF(COUNTIF(INDEX(Personnel[Category],A215),"*PDEng*")&gt;0,IF(INDEX(Personnel[Months],A215)*INDEX(Personnel[FTE],A215)&gt;pers_PDEng_max_months,$B$133,""),""),"")</f>
        <v/>
      </c>
      <c r="K215" s="218" t="str">
        <f>IFERROR(IF(COUNTIF(INDEX(Personnel[Category],A215),"*PostDoc*")&gt;0,IF(INDEX(Personnel[Months],A215)*INDEX(Personnel[FTE],A215)&lt;pers_PD_min_months,$B$134,""),""),"")</f>
        <v/>
      </c>
      <c r="L215" s="218" t="str">
        <f>IFERROR(IF(COUNTIF(INDEX(Personnel[Category],A215),"*PostDoc*")&gt;0,IF(INDEX(Personnel[Months],A215)*INDEX(Personnel[FTE],A215)&gt;pers_PD_max_months,$B$135,""),""),"")</f>
        <v/>
      </c>
      <c r="M215" s="218" t="str">
        <f>IFERROR(IF(COUNTIF(INDEX(Personnel[Category],A215),"*Non-scientific*")&gt;0,IF(OR(IFERROR(MATCH("*PhD*",Personnel[Category],0),0)&gt;0,IFERROR(MATCH("*PostDoc*",Personnel[Category],0),0)&gt;0),"",$B$136),""),"")</f>
        <v/>
      </c>
      <c r="N215" s="218" t="str">
        <f>IFERROR(IF(COUNTIF(INDEX(Personnel[Category],A215),"*Non-scientific*")&gt;0,IF(Total_NSP&gt;pers_max_NSP,$B$137,""),""),"")</f>
        <v/>
      </c>
      <c r="O215" s="218" t="str">
        <f>IFERROR(IF(COUNTIF(INDEX(Personnel[Category],A215),"*Non-scientific*")&gt;0,IF(INDEX(Personnel[Months],A215)*INDEX(Personnel[FTE],A215)&lt;pers_NSP_min_months,$B$138,""),""),"")</f>
        <v/>
      </c>
      <c r="P215" s="218" t="str">
        <f>IFERROR(IF(COUNTIF(INDEX(Personnel[Category],A215),"*Non-scientific*")&gt;0,IF(INDEX(Personnel[Months],A215)*INDEX(Personnel[FTE],A215)&gt;pers_NSP_max_months,$B$139,""),""),"")</f>
        <v/>
      </c>
      <c r="Q215" s="218" t="str">
        <f>IFERROR(IF(COUNTIF(INDEX(Personnel[Category],A215),"*Other scientific*")&gt;0,IF(OR(IFERROR(MATCH("*PhD*",Personnel[Category],0),0)&gt;0,IFERROR(MATCH("*PostDoc*",Personnel[Category],0),0)&gt;0),"",$B$140),""),"")</f>
        <v/>
      </c>
      <c r="R215" s="218" t="str">
        <f>IFERROR(IF(COUNTIF(INDEX(Personnel[Category],A215),"*Other scientific*")&gt;0,IF(Total_OSP&gt;pers_max_OSP,$B$141,""),""),"")</f>
        <v/>
      </c>
      <c r="S215" s="218" t="str">
        <f>IFERROR(IF(COUNTIF(INDEX(Personnel[Category],A215),"*Other scientific*")&gt;0,IF(INDEX(Personnel[Months],A215)*INDEX(Personnel[FTE],A215)&lt;pers_OSP_min_months,$B$142,""),""),"")</f>
        <v/>
      </c>
      <c r="T215" s="218" t="str">
        <f>IFERROR(IF(COUNTIF(INDEX(Personnel[Category],A215),"*Other scientific*")&gt;0,IF(INDEX(Personnel[Months],A215)*INDEX(Personnel[FTE],A215)&gt;pers_OSP_max_months,$B$143,""),""),"")</f>
        <v/>
      </c>
      <c r="U215" s="218" t="str">
        <f>IFERROR(IF(COUNTIF(INDEX(Personnel[Category],A215),"*leave*")&gt;0,IF(Total_Research_leave&gt;pers_leave_maxperc*Total_NWO_funding,$B$144,""),""),"")</f>
        <v/>
      </c>
      <c r="V215" s="218" t="str">
        <f>IFERROR(IF(COUNTIF(INDEX(Personnel[Category],A215),"*leave*")&gt;0,IF(Research_leave_FTE_months&gt;pers_leave_maxduration,$B$145,""),""),"")</f>
        <v/>
      </c>
      <c r="W215" s="218" t="str">
        <f>IFERROR(IF(AND(INDEX(Personnel[Costs],A215)=0,INDEX(salaries_academic[[category]:[1]],MATCH(INDEX(Personnel[Category],A215),salaries_academic[category],0),3)=0),$B$148,""),"")</f>
        <v/>
      </c>
      <c r="X215" s="218" t="str">
        <f>IF(AND(organisation_type="yes",INDEX(Personnel[Amount],A215,1)&lt;&gt;"",ISBLANK(INDEX(Personnel[Organisation type],A215,1))),$B$146,"")</f>
        <v/>
      </c>
      <c r="Y215" s="218" t="str">
        <f>IF(AND(organisation_name="yes",INDEX(Personnel[Amount],A215,1)&lt;&gt;"",ISBLANK(INDEX(Personnel[Name organisation],A215,1))),$B$147,"")</f>
        <v/>
      </c>
      <c r="Z215" s="218" t="str">
        <f>IFERROR(IF(AND(INDEX(Personnel[Costs],A215)&gt;0,INDEX(salaries_academic[[category]:[1]],MATCH(INDEX(Personnel[Category],A215),salaries_academic[category],0),3)&gt;0),$B$149,""),"")</f>
        <v/>
      </c>
      <c r="AA215" s="218"/>
    </row>
    <row r="216" spans="1:27" outlineLevel="1" x14ac:dyDescent="0.35">
      <c r="A216" s="195">
        <v>9</v>
      </c>
      <c r="B216" s="195" t="str">
        <f t="array" ref="B216">IFERROR(INDEX(personnel_ac_notes[[#This Row],[Exceeding nr months]:[Costs specified]],1,MATCH(TRUE,LEN(personnel_ac_notes[[#This Row],[Exceeding nr months]:[Costs specified]])&gt;0,0)),"")</f>
        <v/>
      </c>
      <c r="C216" s="195" t="str">
        <f>IFERROR(IF(INDEX(Personnel[Months],A216)&gt;Max_project_duration,$B$128,""),"")</f>
        <v/>
      </c>
      <c r="D216" s="195" t="str">
        <f>IFERROR(IF(AND(LEN(INDEX(Personnel[Category],A216))+LEN(INDEX(Personnel[FTE],A216))+LEN(INDEX(Personnel[Months],A216))&gt;0,LEN(INDEX(Personnel[Category],A216-1))+LEN(INDEX(Personnel[FTE],A216-1))+LEN(INDEX(Personnel[Months],A216-1))=0),$B$127,""),"")</f>
        <v/>
      </c>
      <c r="E216" s="195" t="str">
        <f>IF(AND(NOT(ISBLANK(INDEX(Personnel[Category],A216))),OR(ISBLANK(INDEX(Personnel[FTE],A216)),ISBLANK(INDEX(Personnel[Months],A216)))),VLOOKUP(INDEX(Personnel[Category],A216),salaries_academic[],2,FALSE),"")</f>
        <v/>
      </c>
      <c r="F216" s="195" t="str">
        <f>IFERROR(IF(COUNTIF(INDEX(Personnel[Category],A216),"*- PhD*")&gt;0,IF(INDEX(Personnel[Months],A216)*INDEX(Personnel[FTE],A216)&lt;pers_PhD_min_months,$B$129,""),""),"")</f>
        <v/>
      </c>
      <c r="G216" s="195" t="str">
        <f>IFERROR(IF(COUNTIF(INDEX(Personnel[Category],$A216),"*- PhD*")&gt;0,IF(INDEX(Personnel[Months],$A216)*INDEX(Personnel[FTE],$A216)&gt;pers_PhD_max_months,$B$130,""),""),"")</f>
        <v/>
      </c>
      <c r="H216" s="195" t="str">
        <f>IFERROR(IF(COUNTIF(INDEX(Personnel[Category],A216),"*year*")&gt;0,IF(INDEX(Personnel[Months],A216)*INDEX(Personnel[FTE],A216)&lt;pers_3yPhD_min_months,$B$131,""),""),"")</f>
        <v/>
      </c>
      <c r="I216" s="218" t="str">
        <f>IFERROR(IF(COUNTIF(INDEX(Personnel[Category],A216),"*PDEng*")&gt;0,IF(OR(IFERROR(MATCH("*PhD*",Personnel[Category],0),0)&gt;0,IFERROR(MATCH("*PostDoc*",Personnel[Category],0),0)&gt;0),"",$B$132),""),"")</f>
        <v/>
      </c>
      <c r="J216" s="218" t="str">
        <f>IFERROR(IF(COUNTIF(INDEX(Personnel[Category],A216),"*PDEng*")&gt;0,IF(INDEX(Personnel[Months],A216)*INDEX(Personnel[FTE],A216)&gt;pers_PDEng_max_months,$B$133,""),""),"")</f>
        <v/>
      </c>
      <c r="K216" s="218" t="str">
        <f>IFERROR(IF(COUNTIF(INDEX(Personnel[Category],A216),"*PostDoc*")&gt;0,IF(INDEX(Personnel[Months],A216)*INDEX(Personnel[FTE],A216)&lt;pers_PD_min_months,$B$134,""),""),"")</f>
        <v/>
      </c>
      <c r="L216" s="218" t="str">
        <f>IFERROR(IF(COUNTIF(INDEX(Personnel[Category],A216),"*PostDoc*")&gt;0,IF(INDEX(Personnel[Months],A216)*INDEX(Personnel[FTE],A216)&gt;pers_PD_max_months,$B$135,""),""),"")</f>
        <v/>
      </c>
      <c r="M216" s="218" t="str">
        <f>IFERROR(IF(COUNTIF(INDEX(Personnel[Category],A216),"*Non-scientific*")&gt;0,IF(OR(IFERROR(MATCH("*PhD*",Personnel[Category],0),0)&gt;0,IFERROR(MATCH("*PostDoc*",Personnel[Category],0),0)&gt;0),"",$B$136),""),"")</f>
        <v/>
      </c>
      <c r="N216" s="218" t="str">
        <f>IFERROR(IF(COUNTIF(INDEX(Personnel[Category],A216),"*Non-scientific*")&gt;0,IF(Total_NSP&gt;pers_max_NSP,$B$137,""),""),"")</f>
        <v/>
      </c>
      <c r="O216" s="218" t="str">
        <f>IFERROR(IF(COUNTIF(INDEX(Personnel[Category],A216),"*Non-scientific*")&gt;0,IF(INDEX(Personnel[Months],A216)*INDEX(Personnel[FTE],A216)&lt;pers_NSP_min_months,$B$138,""),""),"")</f>
        <v/>
      </c>
      <c r="P216" s="218" t="str">
        <f>IFERROR(IF(COUNTIF(INDEX(Personnel[Category],A216),"*Non-scientific*")&gt;0,IF(INDEX(Personnel[Months],A216)*INDEX(Personnel[FTE],A216)&gt;pers_NSP_max_months,$B$139,""),""),"")</f>
        <v/>
      </c>
      <c r="Q216" s="218" t="str">
        <f>IFERROR(IF(COUNTIF(INDEX(Personnel[Category],A216),"*Other scientific*")&gt;0,IF(OR(IFERROR(MATCH("*PhD*",Personnel[Category],0),0)&gt;0,IFERROR(MATCH("*PostDoc*",Personnel[Category],0),0)&gt;0),"",$B$140),""),"")</f>
        <v/>
      </c>
      <c r="R216" s="218" t="str">
        <f>IFERROR(IF(COUNTIF(INDEX(Personnel[Category],A216),"*Other scientific*")&gt;0,IF(Total_OSP&gt;pers_max_OSP,$B$141,""),""),"")</f>
        <v/>
      </c>
      <c r="S216" s="218" t="str">
        <f>IFERROR(IF(COUNTIF(INDEX(Personnel[Category],A216),"*Other scientific*")&gt;0,IF(INDEX(Personnel[Months],A216)*INDEX(Personnel[FTE],A216)&lt;pers_OSP_min_months,$B$142,""),""),"")</f>
        <v/>
      </c>
      <c r="T216" s="218" t="str">
        <f>IFERROR(IF(COUNTIF(INDEX(Personnel[Category],A216),"*Other scientific*")&gt;0,IF(INDEX(Personnel[Months],A216)*INDEX(Personnel[FTE],A216)&gt;pers_OSP_max_months,$B$143,""),""),"")</f>
        <v/>
      </c>
      <c r="U216" s="218" t="str">
        <f>IFERROR(IF(COUNTIF(INDEX(Personnel[Category],A216),"*leave*")&gt;0,IF(Total_Research_leave&gt;pers_leave_maxperc*Total_NWO_funding,$B$144,""),""),"")</f>
        <v/>
      </c>
      <c r="V216" s="218" t="str">
        <f>IFERROR(IF(COUNTIF(INDEX(Personnel[Category],A216),"*leave*")&gt;0,IF(Research_leave_FTE_months&gt;pers_leave_maxduration,$B$145,""),""),"")</f>
        <v/>
      </c>
      <c r="W216" s="218" t="str">
        <f>IFERROR(IF(AND(INDEX(Personnel[Costs],A216)=0,INDEX(salaries_academic[[category]:[1]],MATCH(INDEX(Personnel[Category],A216),salaries_academic[category],0),3)=0),$B$148,""),"")</f>
        <v/>
      </c>
      <c r="X216" s="218" t="str">
        <f>IF(AND(organisation_type="yes",INDEX(Personnel[Amount],A216,1)&lt;&gt;"",ISBLANK(INDEX(Personnel[Organisation type],A216,1))),$B$146,"")</f>
        <v/>
      </c>
      <c r="Y216" s="218" t="str">
        <f>IF(AND(organisation_name="yes",INDEX(Personnel[Amount],A216,1)&lt;&gt;"",ISBLANK(INDEX(Personnel[Name organisation],A216,1))),$B$147,"")</f>
        <v/>
      </c>
      <c r="Z216" s="218" t="str">
        <f>IFERROR(IF(AND(INDEX(Personnel[Costs],A216)&gt;0,INDEX(salaries_academic[[category]:[1]],MATCH(INDEX(Personnel[Category],A216),salaries_academic[category],0),3)&gt;0),$B$149,""),"")</f>
        <v/>
      </c>
      <c r="AA216" s="218"/>
    </row>
    <row r="217" spans="1:27" outlineLevel="1" x14ac:dyDescent="0.35">
      <c r="A217" s="195">
        <v>10</v>
      </c>
      <c r="B217" s="195" t="str">
        <f t="array" ref="B217">IFERROR(INDEX(personnel_ac_notes[[#This Row],[Exceeding nr months]:[Costs specified]],1,MATCH(TRUE,LEN(personnel_ac_notes[[#This Row],[Exceeding nr months]:[Costs specified]])&gt;0,0)),"")</f>
        <v/>
      </c>
      <c r="C217" s="195" t="str">
        <f>IFERROR(IF(INDEX(Personnel[Months],A217)&gt;Max_project_duration,$B$128,""),"")</f>
        <v/>
      </c>
      <c r="D217" s="195" t="str">
        <f>IFERROR(IF(AND(LEN(INDEX(Personnel[Category],A217))+LEN(INDEX(Personnel[FTE],A217))+LEN(INDEX(Personnel[Months],A217))&gt;0,LEN(INDEX(Personnel[Category],A217-1))+LEN(INDEX(Personnel[FTE],A217-1))+LEN(INDEX(Personnel[Months],A217-1))=0),$B$127,""),"")</f>
        <v/>
      </c>
      <c r="E217" s="195" t="str">
        <f>IF(AND(NOT(ISBLANK(INDEX(Personnel[Category],A217))),OR(ISBLANK(INDEX(Personnel[FTE],A217)),ISBLANK(INDEX(Personnel[Months],A217)))),VLOOKUP(INDEX(Personnel[Category],A217),salaries_academic[],2,FALSE),"")</f>
        <v/>
      </c>
      <c r="F217" s="195" t="str">
        <f>IFERROR(IF(COUNTIF(INDEX(Personnel[Category],A217),"*- PhD*")&gt;0,IF(INDEX(Personnel[Months],A217)*INDEX(Personnel[FTE],A217)&lt;pers_PhD_min_months,$B$129,""),""),"")</f>
        <v/>
      </c>
      <c r="G217" s="195" t="str">
        <f>IFERROR(IF(COUNTIF(INDEX(Personnel[Category],$A217),"*- PhD*")&gt;0,IF(INDEX(Personnel[Months],$A217)*INDEX(Personnel[FTE],$A217)&gt;pers_PhD_max_months,$B$130,""),""),"")</f>
        <v/>
      </c>
      <c r="H217" s="195" t="str">
        <f>IFERROR(IF(COUNTIF(INDEX(Personnel[Category],A217),"*year*")&gt;0,IF(INDEX(Personnel[Months],A217)*INDEX(Personnel[FTE],A217)&lt;pers_3yPhD_min_months,$B$131,""),""),"")</f>
        <v/>
      </c>
      <c r="I217" s="218" t="str">
        <f>IFERROR(IF(COUNTIF(INDEX(Personnel[Category],A217),"*PDEng*")&gt;0,IF(OR(IFERROR(MATCH("*PhD*",Personnel[Category],0),0)&gt;0,IFERROR(MATCH("*PostDoc*",Personnel[Category],0),0)&gt;0),"",$B$132),""),"")</f>
        <v/>
      </c>
      <c r="J217" s="218" t="str">
        <f>IFERROR(IF(COUNTIF(INDEX(Personnel[Category],A217),"*PDEng*")&gt;0,IF(INDEX(Personnel[Months],A217)*INDEX(Personnel[FTE],A217)&gt;pers_PDEng_max_months,$B$133,""),""),"")</f>
        <v/>
      </c>
      <c r="K217" s="218" t="str">
        <f>IFERROR(IF(COUNTIF(INDEX(Personnel[Category],A217),"*PostDoc*")&gt;0,IF(INDEX(Personnel[Months],A217)*INDEX(Personnel[FTE],A217)&lt;pers_PD_min_months,$B$134,""),""),"")</f>
        <v/>
      </c>
      <c r="L217" s="218" t="str">
        <f>IFERROR(IF(COUNTIF(INDEX(Personnel[Category],A217),"*PostDoc*")&gt;0,IF(INDEX(Personnel[Months],A217)*INDEX(Personnel[FTE],A217)&gt;pers_PD_max_months,$B$135,""),""),"")</f>
        <v/>
      </c>
      <c r="M217" s="218" t="str">
        <f>IFERROR(IF(COUNTIF(INDEX(Personnel[Category],A217),"*Non-scientific*")&gt;0,IF(OR(IFERROR(MATCH("*PhD*",Personnel[Category],0),0)&gt;0,IFERROR(MATCH("*PostDoc*",Personnel[Category],0),0)&gt;0),"",$B$136),""),"")</f>
        <v/>
      </c>
      <c r="N217" s="218" t="str">
        <f>IFERROR(IF(COUNTIF(INDEX(Personnel[Category],A217),"*Non-scientific*")&gt;0,IF(Total_NSP&gt;pers_max_NSP,$B$137,""),""),"")</f>
        <v/>
      </c>
      <c r="O217" s="218" t="str">
        <f>IFERROR(IF(COUNTIF(INDEX(Personnel[Category],A217),"*Non-scientific*")&gt;0,IF(INDEX(Personnel[Months],A217)*INDEX(Personnel[FTE],A217)&lt;pers_NSP_min_months,$B$138,""),""),"")</f>
        <v/>
      </c>
      <c r="P217" s="218" t="str">
        <f>IFERROR(IF(COUNTIF(INDEX(Personnel[Category],A217),"*Non-scientific*")&gt;0,IF(INDEX(Personnel[Months],A217)*INDEX(Personnel[FTE],A217)&gt;pers_NSP_max_months,$B$139,""),""),"")</f>
        <v/>
      </c>
      <c r="Q217" s="218" t="str">
        <f>IFERROR(IF(COUNTIF(INDEX(Personnel[Category],A217),"*Other scientific*")&gt;0,IF(OR(IFERROR(MATCH("*PhD*",Personnel[Category],0),0)&gt;0,IFERROR(MATCH("*PostDoc*",Personnel[Category],0),0)&gt;0),"",$B$140),""),"")</f>
        <v/>
      </c>
      <c r="R217" s="218" t="str">
        <f>IFERROR(IF(COUNTIF(INDEX(Personnel[Category],A217),"*Other scientific*")&gt;0,IF(Total_OSP&gt;pers_max_OSP,$B$141,""),""),"")</f>
        <v/>
      </c>
      <c r="S217" s="218" t="str">
        <f>IFERROR(IF(COUNTIF(INDEX(Personnel[Category],A217),"*Other scientific*")&gt;0,IF(INDEX(Personnel[Months],A217)*INDEX(Personnel[FTE],A217)&lt;pers_OSP_min_months,$B$142,""),""),"")</f>
        <v/>
      </c>
      <c r="T217" s="218" t="str">
        <f>IFERROR(IF(COUNTIF(INDEX(Personnel[Category],A217),"*Other scientific*")&gt;0,IF(INDEX(Personnel[Months],A217)*INDEX(Personnel[FTE],A217)&gt;pers_OSP_max_months,$B$143,""),""),"")</f>
        <v/>
      </c>
      <c r="U217" s="218" t="str">
        <f>IFERROR(IF(COUNTIF(INDEX(Personnel[Category],A217),"*leave*")&gt;0,IF(Total_Research_leave&gt;pers_leave_maxperc*Total_NWO_funding,$B$144,""),""),"")</f>
        <v/>
      </c>
      <c r="V217" s="218" t="str">
        <f>IFERROR(IF(COUNTIF(INDEX(Personnel[Category],A217),"*leave*")&gt;0,IF(Research_leave_FTE_months&gt;pers_leave_maxduration,$B$145,""),""),"")</f>
        <v/>
      </c>
      <c r="W217" s="218" t="str">
        <f>IFERROR(IF(AND(INDEX(Personnel[Costs],A217)=0,INDEX(salaries_academic[[category]:[1]],MATCH(INDEX(Personnel[Category],A217),salaries_academic[category],0),3)=0),$B$148,""),"")</f>
        <v/>
      </c>
      <c r="X217" s="218" t="str">
        <f>IF(AND(organisation_type="yes",INDEX(Personnel[Amount],A217,1)&lt;&gt;"",ISBLANK(INDEX(Personnel[Organisation type],A217,1))),$B$146,"")</f>
        <v/>
      </c>
      <c r="Y217" s="218" t="str">
        <f>IF(AND(organisation_name="yes",INDEX(Personnel[Amount],A217,1)&lt;&gt;"",ISBLANK(INDEX(Personnel[Name organisation],A217,1))),$B$147,"")</f>
        <v/>
      </c>
      <c r="Z217" s="218" t="str">
        <f>IFERROR(IF(AND(INDEX(Personnel[Costs],A217)&gt;0,INDEX(salaries_academic[[category]:[1]],MATCH(INDEX(Personnel[Category],A217),salaries_academic[category],0),3)&gt;0),$B$149,""),"")</f>
        <v/>
      </c>
      <c r="AA217" s="218"/>
    </row>
    <row r="218" spans="1:27" outlineLevel="1" x14ac:dyDescent="0.35">
      <c r="A218" s="195">
        <v>11</v>
      </c>
      <c r="B218" s="195" t="str">
        <f t="array" ref="B218">IFERROR(INDEX(personnel_ac_notes[[#This Row],[Exceeding nr months]:[Costs specified]],1,MATCH(TRUE,LEN(personnel_ac_notes[[#This Row],[Exceeding nr months]:[Costs specified]])&gt;0,0)),"")</f>
        <v/>
      </c>
      <c r="C218" s="195" t="str">
        <f>IFERROR(IF(INDEX(Personnel[Months],A218)&gt;Max_project_duration,$B$128,""),"")</f>
        <v/>
      </c>
      <c r="D218" s="195" t="str">
        <f>IFERROR(IF(AND(LEN(INDEX(Personnel[Category],A218))+LEN(INDEX(Personnel[FTE],A218))+LEN(INDEX(Personnel[Months],A218))&gt;0,LEN(INDEX(Personnel[Category],A218-1))+LEN(INDEX(Personnel[FTE],A218-1))+LEN(INDEX(Personnel[Months],A218-1))=0),$B$127,""),"")</f>
        <v/>
      </c>
      <c r="E218" s="195" t="str">
        <f>IF(AND(NOT(ISBLANK(INDEX(Personnel[Category],A218))),OR(ISBLANK(INDEX(Personnel[FTE],A218)),ISBLANK(INDEX(Personnel[Months],A218)))),VLOOKUP(INDEX(Personnel[Category],A218),salaries_academic[],2,FALSE),"")</f>
        <v/>
      </c>
      <c r="F218" s="195" t="str">
        <f>IFERROR(IF(COUNTIF(INDEX(Personnel[Category],A218),"*- PhD*")&gt;0,IF(INDEX(Personnel[Months],A218)*INDEX(Personnel[FTE],A218)&lt;pers_PhD_min_months,$B$129,""),""),"")</f>
        <v/>
      </c>
      <c r="G218" s="195" t="str">
        <f>IFERROR(IF(COUNTIF(INDEX(Personnel[Category],$A218),"*- PhD*")&gt;0,IF(INDEX(Personnel[Months],$A218)*INDEX(Personnel[FTE],$A218)&gt;pers_PhD_max_months,$B$130,""),""),"")</f>
        <v/>
      </c>
      <c r="H218" s="195" t="str">
        <f>IFERROR(IF(COUNTIF(INDEX(Personnel[Category],A218),"*year*")&gt;0,IF(INDEX(Personnel[Months],A218)*INDEX(Personnel[FTE],A218)&lt;pers_3yPhD_min_months,$B$131,""),""),"")</f>
        <v/>
      </c>
      <c r="I218" s="218" t="str">
        <f>IFERROR(IF(COUNTIF(INDEX(Personnel[Category],A218),"*PDEng*")&gt;0,IF(OR(IFERROR(MATCH("*PhD*",Personnel[Category],0),0)&gt;0,IFERROR(MATCH("*PostDoc*",Personnel[Category],0),0)&gt;0),"",$B$132),""),"")</f>
        <v/>
      </c>
      <c r="J218" s="218" t="str">
        <f>IFERROR(IF(COUNTIF(INDEX(Personnel[Category],A218),"*PDEng*")&gt;0,IF(INDEX(Personnel[Months],A218)*INDEX(Personnel[FTE],A218)&gt;pers_PDEng_max_months,$B$133,""),""),"")</f>
        <v/>
      </c>
      <c r="K218" s="218" t="str">
        <f>IFERROR(IF(COUNTIF(INDEX(Personnel[Category],A218),"*PostDoc*")&gt;0,IF(INDEX(Personnel[Months],A218)*INDEX(Personnel[FTE],A218)&lt;pers_PD_min_months,$B$134,""),""),"")</f>
        <v/>
      </c>
      <c r="L218" s="218" t="str">
        <f>IFERROR(IF(COUNTIF(INDEX(Personnel[Category],A218),"*PostDoc*")&gt;0,IF(INDEX(Personnel[Months],A218)*INDEX(Personnel[FTE],A218)&gt;pers_PD_max_months,$B$135,""),""),"")</f>
        <v/>
      </c>
      <c r="M218" s="218" t="str">
        <f>IFERROR(IF(COUNTIF(INDEX(Personnel[Category],A218),"*Non-scientific*")&gt;0,IF(OR(IFERROR(MATCH("*PhD*",Personnel[Category],0),0)&gt;0,IFERROR(MATCH("*PostDoc*",Personnel[Category],0),0)&gt;0),"",$B$136),""),"")</f>
        <v/>
      </c>
      <c r="N218" s="218" t="str">
        <f>IFERROR(IF(COUNTIF(INDEX(Personnel[Category],A218),"*Non-scientific*")&gt;0,IF(Total_NSP&gt;pers_max_NSP,$B$137,""),""),"")</f>
        <v/>
      </c>
      <c r="O218" s="218" t="str">
        <f>IFERROR(IF(COUNTIF(INDEX(Personnel[Category],A218),"*Non-scientific*")&gt;0,IF(INDEX(Personnel[Months],A218)*INDEX(Personnel[FTE],A218)&lt;pers_NSP_min_months,$B$138,""),""),"")</f>
        <v/>
      </c>
      <c r="P218" s="218" t="str">
        <f>IFERROR(IF(COUNTIF(INDEX(Personnel[Category],A218),"*Non-scientific*")&gt;0,IF(INDEX(Personnel[Months],A218)*INDEX(Personnel[FTE],A218)&gt;pers_NSP_max_months,$B$139,""),""),"")</f>
        <v/>
      </c>
      <c r="Q218" s="218" t="str">
        <f>IFERROR(IF(COUNTIF(INDEX(Personnel[Category],A218),"*Other scientific*")&gt;0,IF(OR(IFERROR(MATCH("*PhD*",Personnel[Category],0),0)&gt;0,IFERROR(MATCH("*PostDoc*",Personnel[Category],0),0)&gt;0),"",$B$140),""),"")</f>
        <v/>
      </c>
      <c r="R218" s="218" t="str">
        <f>IFERROR(IF(COUNTIF(INDEX(Personnel[Category],A218),"*Other scientific*")&gt;0,IF(Total_OSP&gt;pers_max_OSP,$B$141,""),""),"")</f>
        <v/>
      </c>
      <c r="S218" s="218" t="str">
        <f>IFERROR(IF(COUNTIF(INDEX(Personnel[Category],A218),"*Other scientific*")&gt;0,IF(INDEX(Personnel[Months],A218)*INDEX(Personnel[FTE],A218)&lt;pers_OSP_min_months,$B$142,""),""),"")</f>
        <v/>
      </c>
      <c r="T218" s="218" t="str">
        <f>IFERROR(IF(COUNTIF(INDEX(Personnel[Category],A218),"*Other scientific*")&gt;0,IF(INDEX(Personnel[Months],A218)*INDEX(Personnel[FTE],A218)&gt;pers_OSP_max_months,$B$143,""),""),"")</f>
        <v/>
      </c>
      <c r="U218" s="218" t="str">
        <f>IFERROR(IF(COUNTIF(INDEX(Personnel[Category],A218),"*leave*")&gt;0,IF(Total_Research_leave&gt;pers_leave_maxperc*Total_NWO_funding,$B$144,""),""),"")</f>
        <v/>
      </c>
      <c r="V218" s="218" t="str">
        <f>IFERROR(IF(COUNTIF(INDEX(Personnel[Category],A218),"*leave*")&gt;0,IF(Research_leave_FTE_months&gt;pers_leave_maxduration,$B$145,""),""),"")</f>
        <v/>
      </c>
      <c r="W218" s="218" t="str">
        <f>IFERROR(IF(AND(INDEX(Personnel[Costs],A218)=0,INDEX(salaries_academic[[category]:[1]],MATCH(INDEX(Personnel[Category],A218),salaries_academic[category],0),3)=0),$B$148,""),"")</f>
        <v/>
      </c>
      <c r="X218" s="218" t="e">
        <f>IF(AND(organisation_type="yes",INDEX(Personnel[Amount],A218,1)&lt;&gt;"",ISBLANK(INDEX(Personnel[Organisation type],A218,1))),$B$146,"")</f>
        <v>#REF!</v>
      </c>
      <c r="Y218" s="218" t="e">
        <f>IF(AND(organisation_name="yes",INDEX(Personnel[Amount],A218,1)&lt;&gt;"",ISBLANK(INDEX(Personnel[Name organisation],A218,1))),$B$147,"")</f>
        <v>#REF!</v>
      </c>
      <c r="Z218" s="218" t="str">
        <f>IFERROR(IF(AND(INDEX(Personnel[Costs],A218)&gt;0,INDEX(salaries_academic[[category]:[1]],MATCH(INDEX(Personnel[Category],A218),salaries_academic[category],0),3)&gt;0),$B$149,""),"")</f>
        <v/>
      </c>
      <c r="AA218" s="218"/>
    </row>
    <row r="219" spans="1:27" outlineLevel="1" x14ac:dyDescent="0.35">
      <c r="A219" s="195">
        <v>12</v>
      </c>
      <c r="B219" s="195" t="str">
        <f t="array" ref="B219">IFERROR(INDEX(personnel_ac_notes[[#This Row],[Exceeding nr months]:[Costs specified]],1,MATCH(TRUE,LEN(personnel_ac_notes[[#This Row],[Exceeding nr months]:[Costs specified]])&gt;0,0)),"")</f>
        <v/>
      </c>
      <c r="C219" s="195" t="str">
        <f>IFERROR(IF(INDEX(Personnel[Months],A219)&gt;Max_project_duration,$B$128,""),"")</f>
        <v/>
      </c>
      <c r="D219" s="195" t="str">
        <f>IFERROR(IF(AND(LEN(INDEX(Personnel[Category],A219))+LEN(INDEX(Personnel[FTE],A219))+LEN(INDEX(Personnel[Months],A219))&gt;0,LEN(INDEX(Personnel[Category],A219-1))+LEN(INDEX(Personnel[FTE],A219-1))+LEN(INDEX(Personnel[Months],A219-1))=0),$B$127,""),"")</f>
        <v/>
      </c>
      <c r="E219" s="195" t="str">
        <f>IF(AND(NOT(ISBLANK(INDEX(Personnel[Category],A219))),OR(ISBLANK(INDEX(Personnel[FTE],A219)),ISBLANK(INDEX(Personnel[Months],A219)))),VLOOKUP(INDEX(Personnel[Category],A219),salaries_academic[],2,FALSE),"")</f>
        <v/>
      </c>
      <c r="F219" s="195" t="str">
        <f>IFERROR(IF(COUNTIF(INDEX(Personnel[Category],A219),"*- PhD*")&gt;0,IF(INDEX(Personnel[Months],A219)*INDEX(Personnel[FTE],A219)&lt;pers_PhD_min_months,$B$129,""),""),"")</f>
        <v/>
      </c>
      <c r="G219" s="195" t="str">
        <f>IFERROR(IF(COUNTIF(INDEX(Personnel[Category],$A219),"*- PhD*")&gt;0,IF(INDEX(Personnel[Months],$A219)*INDEX(Personnel[FTE],$A219)&gt;pers_PhD_max_months,$B$130,""),""),"")</f>
        <v/>
      </c>
      <c r="H219" s="195" t="str">
        <f>IFERROR(IF(COUNTIF(INDEX(Personnel[Category],A219),"*year*")&gt;0,IF(INDEX(Personnel[Months],A219)*INDEX(Personnel[FTE],A219)&lt;pers_3yPhD_min_months,$B$131,""),""),"")</f>
        <v/>
      </c>
      <c r="I219" s="218" t="str">
        <f>IFERROR(IF(COUNTIF(INDEX(Personnel[Category],A219),"*PDEng*")&gt;0,IF(OR(IFERROR(MATCH("*PhD*",Personnel[Category],0),0)&gt;0,IFERROR(MATCH("*PostDoc*",Personnel[Category],0),0)&gt;0),"",$B$132),""),"")</f>
        <v/>
      </c>
      <c r="J219" s="218" t="str">
        <f>IFERROR(IF(COUNTIF(INDEX(Personnel[Category],A219),"*PDEng*")&gt;0,IF(INDEX(Personnel[Months],A219)*INDEX(Personnel[FTE],A219)&gt;pers_PDEng_max_months,$B$133,""),""),"")</f>
        <v/>
      </c>
      <c r="K219" s="218" t="str">
        <f>IFERROR(IF(COUNTIF(INDEX(Personnel[Category],A219),"*PostDoc*")&gt;0,IF(INDEX(Personnel[Months],A219)*INDEX(Personnel[FTE],A219)&lt;pers_PD_min_months,$B$134,""),""),"")</f>
        <v/>
      </c>
      <c r="L219" s="218" t="str">
        <f>IFERROR(IF(COUNTIF(INDEX(Personnel[Category],A219),"*PostDoc*")&gt;0,IF(INDEX(Personnel[Months],A219)*INDEX(Personnel[FTE],A219)&gt;pers_PD_max_months,$B$135,""),""),"")</f>
        <v/>
      </c>
      <c r="M219" s="218" t="str">
        <f>IFERROR(IF(COUNTIF(INDEX(Personnel[Category],A219),"*Non-scientific*")&gt;0,IF(OR(IFERROR(MATCH("*PhD*",Personnel[Category],0),0)&gt;0,IFERROR(MATCH("*PostDoc*",Personnel[Category],0),0)&gt;0),"",$B$136),""),"")</f>
        <v/>
      </c>
      <c r="N219" s="218" t="str">
        <f>IFERROR(IF(COUNTIF(INDEX(Personnel[Category],A219),"*Non-scientific*")&gt;0,IF(Total_NSP&gt;pers_max_NSP,$B$137,""),""),"")</f>
        <v/>
      </c>
      <c r="O219" s="218" t="str">
        <f>IFERROR(IF(COUNTIF(INDEX(Personnel[Category],A219),"*Non-scientific*")&gt;0,IF(INDEX(Personnel[Months],A219)*INDEX(Personnel[FTE],A219)&lt;pers_NSP_min_months,$B$138,""),""),"")</f>
        <v/>
      </c>
      <c r="P219" s="218" t="str">
        <f>IFERROR(IF(COUNTIF(INDEX(Personnel[Category],A219),"*Non-scientific*")&gt;0,IF(INDEX(Personnel[Months],A219)*INDEX(Personnel[FTE],A219)&gt;pers_NSP_max_months,$B$139,""),""),"")</f>
        <v/>
      </c>
      <c r="Q219" s="218" t="str">
        <f>IFERROR(IF(COUNTIF(INDEX(Personnel[Category],A219),"*Other scientific*")&gt;0,IF(OR(IFERROR(MATCH("*PhD*",Personnel[Category],0),0)&gt;0,IFERROR(MATCH("*PostDoc*",Personnel[Category],0),0)&gt;0),"",$B$140),""),"")</f>
        <v/>
      </c>
      <c r="R219" s="218" t="str">
        <f>IFERROR(IF(COUNTIF(INDEX(Personnel[Category],A219),"*Other scientific*")&gt;0,IF(Total_OSP&gt;pers_max_OSP,$B$141,""),""),"")</f>
        <v/>
      </c>
      <c r="S219" s="218" t="str">
        <f>IFERROR(IF(COUNTIF(INDEX(Personnel[Category],A219),"*Other scientific*")&gt;0,IF(INDEX(Personnel[Months],A219)*INDEX(Personnel[FTE],A219)&lt;pers_OSP_min_months,$B$142,""),""),"")</f>
        <v/>
      </c>
      <c r="T219" s="218" t="str">
        <f>IFERROR(IF(COUNTIF(INDEX(Personnel[Category],A219),"*Other scientific*")&gt;0,IF(INDEX(Personnel[Months],A219)*INDEX(Personnel[FTE],A219)&gt;pers_OSP_max_months,$B$143,""),""),"")</f>
        <v/>
      </c>
      <c r="U219" s="218" t="str">
        <f>IFERROR(IF(COUNTIF(INDEX(Personnel[Category],A219),"*leave*")&gt;0,IF(Total_Research_leave&gt;pers_leave_maxperc*Total_NWO_funding,$B$144,""),""),"")</f>
        <v/>
      </c>
      <c r="V219" s="218" t="str">
        <f>IFERROR(IF(COUNTIF(INDEX(Personnel[Category],A219),"*leave*")&gt;0,IF(Research_leave_FTE_months&gt;pers_leave_maxduration,$B$145,""),""),"")</f>
        <v/>
      </c>
      <c r="W219" s="218" t="str">
        <f>IFERROR(IF(AND(INDEX(Personnel[Costs],A219)=0,INDEX(salaries_academic[[category]:[1]],MATCH(INDEX(Personnel[Category],A219),salaries_academic[category],0),3)=0),$B$148,""),"")</f>
        <v/>
      </c>
      <c r="X219" s="218" t="e">
        <f>IF(AND(organisation_type="yes",INDEX(Personnel[Amount],A219,1)&lt;&gt;"",ISBLANK(INDEX(Personnel[Organisation type],A219,1))),$B$146,"")</f>
        <v>#REF!</v>
      </c>
      <c r="Y219" s="218" t="e">
        <f>IF(AND(organisation_name="yes",INDEX(Personnel[Amount],A219,1)&lt;&gt;"",ISBLANK(INDEX(Personnel[Name organisation],A219,1))),$B$147,"")</f>
        <v>#REF!</v>
      </c>
      <c r="Z219" s="218" t="str">
        <f>IFERROR(IF(AND(INDEX(Personnel[Costs],A219)&gt;0,INDEX(salaries_academic[[category]:[1]],MATCH(INDEX(Personnel[Category],A219),salaries_academic[category],0),3)&gt;0),$B$149,""),"")</f>
        <v/>
      </c>
      <c r="AA219" s="218"/>
    </row>
    <row r="220" spans="1:27" outlineLevel="1" x14ac:dyDescent="0.35">
      <c r="A220" s="195">
        <v>13</v>
      </c>
      <c r="B220" s="195" t="str">
        <f t="array" ref="B220">IFERROR(INDEX(personnel_ac_notes[[#This Row],[Exceeding nr months]:[Costs specified]],1,MATCH(TRUE,LEN(personnel_ac_notes[[#This Row],[Exceeding nr months]:[Costs specified]])&gt;0,0)),"")</f>
        <v/>
      </c>
      <c r="C220" s="195" t="str">
        <f>IFERROR(IF(INDEX(Personnel[Months],A220)&gt;Max_project_duration,$B$128,""),"")</f>
        <v/>
      </c>
      <c r="D220" s="195" t="str">
        <f>IFERROR(IF(AND(LEN(INDEX(Personnel[Category],A220))+LEN(INDEX(Personnel[FTE],A220))+LEN(INDEX(Personnel[Months],A220))&gt;0,LEN(INDEX(Personnel[Category],A220-1))+LEN(INDEX(Personnel[FTE],A220-1))+LEN(INDEX(Personnel[Months],A220-1))=0),$B$127,""),"")</f>
        <v/>
      </c>
      <c r="E220" s="195" t="str">
        <f>IF(AND(NOT(ISBLANK(INDEX(Personnel[Category],A220))),OR(ISBLANK(INDEX(Personnel[FTE],A220)),ISBLANK(INDEX(Personnel[Months],A220)))),VLOOKUP(INDEX(Personnel[Category],A220),salaries_academic[],2,FALSE),"")</f>
        <v/>
      </c>
      <c r="F220" s="195" t="str">
        <f>IFERROR(IF(COUNTIF(INDEX(Personnel[Category],A220),"*- PhD*")&gt;0,IF(INDEX(Personnel[Months],A220)*INDEX(Personnel[FTE],A220)&lt;pers_PhD_min_months,$B$129,""),""),"")</f>
        <v/>
      </c>
      <c r="G220" s="195" t="str">
        <f>IFERROR(IF(COUNTIF(INDEX(Personnel[Category],$A220),"*- PhD*")&gt;0,IF(INDEX(Personnel[Months],$A220)*INDEX(Personnel[FTE],$A220)&gt;pers_PhD_max_months,$B$130,""),""),"")</f>
        <v/>
      </c>
      <c r="H220" s="195" t="str">
        <f>IFERROR(IF(COUNTIF(INDEX(Personnel[Category],A220),"*year*")&gt;0,IF(INDEX(Personnel[Months],A220)*INDEX(Personnel[FTE],A220)&lt;pers_3yPhD_min_months,$B$131,""),""),"")</f>
        <v/>
      </c>
      <c r="I220" s="218" t="str">
        <f>IFERROR(IF(COUNTIF(INDEX(Personnel[Category],A220),"*PDEng*")&gt;0,IF(OR(IFERROR(MATCH("*PhD*",Personnel[Category],0),0)&gt;0,IFERROR(MATCH("*PostDoc*",Personnel[Category],0),0)&gt;0),"",$B$132),""),"")</f>
        <v/>
      </c>
      <c r="J220" s="218" t="str">
        <f>IFERROR(IF(COUNTIF(INDEX(Personnel[Category],A220),"*PDEng*")&gt;0,IF(INDEX(Personnel[Months],A220)*INDEX(Personnel[FTE],A220)&gt;pers_PDEng_max_months,$B$133,""),""),"")</f>
        <v/>
      </c>
      <c r="K220" s="218" t="str">
        <f>IFERROR(IF(COUNTIF(INDEX(Personnel[Category],A220),"*PostDoc*")&gt;0,IF(INDEX(Personnel[Months],A220)*INDEX(Personnel[FTE],A220)&lt;pers_PD_min_months,$B$134,""),""),"")</f>
        <v/>
      </c>
      <c r="L220" s="218" t="str">
        <f>IFERROR(IF(COUNTIF(INDEX(Personnel[Category],A220),"*PostDoc*")&gt;0,IF(INDEX(Personnel[Months],A220)*INDEX(Personnel[FTE],A220)&gt;pers_PD_max_months,$B$135,""),""),"")</f>
        <v/>
      </c>
      <c r="M220" s="218" t="str">
        <f>IFERROR(IF(COUNTIF(INDEX(Personnel[Category],A220),"*Non-scientific*")&gt;0,IF(OR(IFERROR(MATCH("*PhD*",Personnel[Category],0),0)&gt;0,IFERROR(MATCH("*PostDoc*",Personnel[Category],0),0)&gt;0),"",$B$136),""),"")</f>
        <v/>
      </c>
      <c r="N220" s="218" t="str">
        <f>IFERROR(IF(COUNTIF(INDEX(Personnel[Category],A220),"*Non-scientific*")&gt;0,IF(Total_NSP&gt;pers_max_NSP,$B$137,""),""),"")</f>
        <v/>
      </c>
      <c r="O220" s="218" t="str">
        <f>IFERROR(IF(COUNTIF(INDEX(Personnel[Category],A220),"*Non-scientific*")&gt;0,IF(INDEX(Personnel[Months],A220)*INDEX(Personnel[FTE],A220)&lt;pers_NSP_min_months,$B$138,""),""),"")</f>
        <v/>
      </c>
      <c r="P220" s="218" t="str">
        <f>IFERROR(IF(COUNTIF(INDEX(Personnel[Category],A220),"*Non-scientific*")&gt;0,IF(INDEX(Personnel[Months],A220)*INDEX(Personnel[FTE],A220)&gt;pers_NSP_max_months,$B$139,""),""),"")</f>
        <v/>
      </c>
      <c r="Q220" s="218" t="str">
        <f>IFERROR(IF(COUNTIF(INDEX(Personnel[Category],A220),"*Other scientific*")&gt;0,IF(OR(IFERROR(MATCH("*PhD*",Personnel[Category],0),0)&gt;0,IFERROR(MATCH("*PostDoc*",Personnel[Category],0),0)&gt;0),"",$B$140),""),"")</f>
        <v/>
      </c>
      <c r="R220" s="218" t="str">
        <f>IFERROR(IF(COUNTIF(INDEX(Personnel[Category],A220),"*Other scientific*")&gt;0,IF(Total_OSP&gt;pers_max_OSP,$B$141,""),""),"")</f>
        <v/>
      </c>
      <c r="S220" s="218" t="str">
        <f>IFERROR(IF(COUNTIF(INDEX(Personnel[Category],A220),"*Other scientific*")&gt;0,IF(INDEX(Personnel[Months],A220)*INDEX(Personnel[FTE],A220)&lt;pers_OSP_min_months,$B$142,""),""),"")</f>
        <v/>
      </c>
      <c r="T220" s="218" t="str">
        <f>IFERROR(IF(COUNTIF(INDEX(Personnel[Category],A220),"*Other scientific*")&gt;0,IF(INDEX(Personnel[Months],A220)*INDEX(Personnel[FTE],A220)&gt;pers_OSP_max_months,$B$143,""),""),"")</f>
        <v/>
      </c>
      <c r="U220" s="218" t="str">
        <f>IFERROR(IF(COUNTIF(INDEX(Personnel[Category],A220),"*leave*")&gt;0,IF(Total_Research_leave&gt;pers_leave_maxperc*Total_NWO_funding,$B$144,""),""),"")</f>
        <v/>
      </c>
      <c r="V220" s="218" t="str">
        <f>IFERROR(IF(COUNTIF(INDEX(Personnel[Category],A220),"*leave*")&gt;0,IF(Research_leave_FTE_months&gt;pers_leave_maxduration,$B$145,""),""),"")</f>
        <v/>
      </c>
      <c r="W220" s="218" t="str">
        <f>IFERROR(IF(AND(INDEX(Personnel[Costs],A220)=0,INDEX(salaries_academic[[category]:[1]],MATCH(INDEX(Personnel[Category],A220),salaries_academic[category],0),3)=0),$B$148,""),"")</f>
        <v/>
      </c>
      <c r="X220" s="218" t="e">
        <f>IF(AND(organisation_type="yes",INDEX(Personnel[Amount],A220,1)&lt;&gt;"",ISBLANK(INDEX(Personnel[Organisation type],A220,1))),$B$146,"")</f>
        <v>#REF!</v>
      </c>
      <c r="Y220" s="218" t="e">
        <f>IF(AND(organisation_name="yes",INDEX(Personnel[Amount],A220,1)&lt;&gt;"",ISBLANK(INDEX(Personnel[Name organisation],A220,1))),$B$147,"")</f>
        <v>#REF!</v>
      </c>
      <c r="Z220" s="218" t="str">
        <f>IFERROR(IF(AND(INDEX(Personnel[Costs],A220)&gt;0,INDEX(salaries_academic[[category]:[1]],MATCH(INDEX(Personnel[Category],A220),salaries_academic[category],0),3)&gt;0),$B$149,""),"")</f>
        <v/>
      </c>
      <c r="AA220" s="218"/>
    </row>
    <row r="221" spans="1:27" outlineLevel="1" x14ac:dyDescent="0.35">
      <c r="A221" s="195">
        <v>14</v>
      </c>
      <c r="B221" s="195" t="str">
        <f t="array" ref="B221">IFERROR(INDEX(personnel_ac_notes[[#This Row],[Exceeding nr months]:[Costs specified]],1,MATCH(TRUE,LEN(personnel_ac_notes[[#This Row],[Exceeding nr months]:[Costs specified]])&gt;0,0)),"")</f>
        <v/>
      </c>
      <c r="C221" s="195" t="str">
        <f>IFERROR(IF(INDEX(Personnel[Months],A221)&gt;Max_project_duration,$B$128,""),"")</f>
        <v/>
      </c>
      <c r="D221" s="195" t="str">
        <f>IFERROR(IF(AND(LEN(INDEX(Personnel[Category],A221))+LEN(INDEX(Personnel[FTE],A221))+LEN(INDEX(Personnel[Months],A221))&gt;0,LEN(INDEX(Personnel[Category],A221-1))+LEN(INDEX(Personnel[FTE],A221-1))+LEN(INDEX(Personnel[Months],A221-1))=0),$B$127,""),"")</f>
        <v/>
      </c>
      <c r="E221" s="195" t="str">
        <f>IF(AND(NOT(ISBLANK(INDEX(Personnel[Category],A221))),OR(ISBLANK(INDEX(Personnel[FTE],A221)),ISBLANK(INDEX(Personnel[Months],A221)))),VLOOKUP(INDEX(Personnel[Category],A221),salaries_academic[],2,FALSE),"")</f>
        <v/>
      </c>
      <c r="F221" s="195" t="str">
        <f>IFERROR(IF(COUNTIF(INDEX(Personnel[Category],A221),"*- PhD*")&gt;0,IF(INDEX(Personnel[Months],A221)*INDEX(Personnel[FTE],A221)&lt;pers_PhD_min_months,$B$129,""),""),"")</f>
        <v/>
      </c>
      <c r="G221" s="195" t="str">
        <f>IFERROR(IF(COUNTIF(INDEX(Personnel[Category],$A221),"*- PhD*")&gt;0,IF(INDEX(Personnel[Months],$A221)*INDEX(Personnel[FTE],$A221)&gt;pers_PhD_max_months,$B$130,""),""),"")</f>
        <v/>
      </c>
      <c r="H221" s="195" t="str">
        <f>IFERROR(IF(COUNTIF(INDEX(Personnel[Category],A221),"*year*")&gt;0,IF(INDEX(Personnel[Months],A221)*INDEX(Personnel[FTE],A221)&lt;pers_3yPhD_min_months,$B$131,""),""),"")</f>
        <v/>
      </c>
      <c r="I221" s="218" t="str">
        <f>IFERROR(IF(COUNTIF(INDEX(Personnel[Category],A221),"*PDEng*")&gt;0,IF(OR(IFERROR(MATCH("*PhD*",Personnel[Category],0),0)&gt;0,IFERROR(MATCH("*PostDoc*",Personnel[Category],0),0)&gt;0),"",$B$132),""),"")</f>
        <v/>
      </c>
      <c r="J221" s="218" t="str">
        <f>IFERROR(IF(COUNTIF(INDEX(Personnel[Category],A221),"*PDEng*")&gt;0,IF(INDEX(Personnel[Months],A221)*INDEX(Personnel[FTE],A221)&gt;pers_PDEng_max_months,$B$133,""),""),"")</f>
        <v/>
      </c>
      <c r="K221" s="218" t="str">
        <f>IFERROR(IF(COUNTIF(INDEX(Personnel[Category],A221),"*PostDoc*")&gt;0,IF(INDEX(Personnel[Months],A221)*INDEX(Personnel[FTE],A221)&lt;pers_PD_min_months,$B$134,""),""),"")</f>
        <v/>
      </c>
      <c r="L221" s="218" t="str">
        <f>IFERROR(IF(COUNTIF(INDEX(Personnel[Category],A221),"*PostDoc*")&gt;0,IF(INDEX(Personnel[Months],A221)*INDEX(Personnel[FTE],A221)&gt;pers_PD_max_months,$B$135,""),""),"")</f>
        <v/>
      </c>
      <c r="M221" s="218" t="str">
        <f>IFERROR(IF(COUNTIF(INDEX(Personnel[Category],A221),"*Non-scientific*")&gt;0,IF(OR(IFERROR(MATCH("*PhD*",Personnel[Category],0),0)&gt;0,IFERROR(MATCH("*PostDoc*",Personnel[Category],0),0)&gt;0),"",$B$136),""),"")</f>
        <v/>
      </c>
      <c r="N221" s="218" t="str">
        <f>IFERROR(IF(COUNTIF(INDEX(Personnel[Category],A221),"*Non-scientific*")&gt;0,IF(Total_NSP&gt;pers_max_NSP,$B$137,""),""),"")</f>
        <v/>
      </c>
      <c r="O221" s="218" t="str">
        <f>IFERROR(IF(COUNTIF(INDEX(Personnel[Category],A221),"*Non-scientific*")&gt;0,IF(INDEX(Personnel[Months],A221)*INDEX(Personnel[FTE],A221)&lt;pers_NSP_min_months,$B$138,""),""),"")</f>
        <v/>
      </c>
      <c r="P221" s="218" t="str">
        <f>IFERROR(IF(COUNTIF(INDEX(Personnel[Category],A221),"*Non-scientific*")&gt;0,IF(INDEX(Personnel[Months],A221)*INDEX(Personnel[FTE],A221)&gt;pers_NSP_max_months,$B$139,""),""),"")</f>
        <v/>
      </c>
      <c r="Q221" s="218" t="str">
        <f>IFERROR(IF(COUNTIF(INDEX(Personnel[Category],A221),"*Other scientific*")&gt;0,IF(OR(IFERROR(MATCH("*PhD*",Personnel[Category],0),0)&gt;0,IFERROR(MATCH("*PostDoc*",Personnel[Category],0),0)&gt;0),"",$B$140),""),"")</f>
        <v/>
      </c>
      <c r="R221" s="218" t="str">
        <f>IFERROR(IF(COUNTIF(INDEX(Personnel[Category],A221),"*Other scientific*")&gt;0,IF(Total_OSP&gt;pers_max_OSP,$B$141,""),""),"")</f>
        <v/>
      </c>
      <c r="S221" s="218" t="str">
        <f>IFERROR(IF(COUNTIF(INDEX(Personnel[Category],A221),"*Other scientific*")&gt;0,IF(INDEX(Personnel[Months],A221)*INDEX(Personnel[FTE],A221)&lt;pers_OSP_min_months,$B$142,""),""),"")</f>
        <v/>
      </c>
      <c r="T221" s="218" t="str">
        <f>IFERROR(IF(COUNTIF(INDEX(Personnel[Category],A221),"*Other scientific*")&gt;0,IF(INDEX(Personnel[Months],A221)*INDEX(Personnel[FTE],A221)&gt;pers_OSP_max_months,$B$143,""),""),"")</f>
        <v/>
      </c>
      <c r="U221" s="218" t="str">
        <f>IFERROR(IF(COUNTIF(INDEX(Personnel[Category],A221),"*leave*")&gt;0,IF(Total_Research_leave&gt;pers_leave_maxperc*Total_NWO_funding,$B$144,""),""),"")</f>
        <v/>
      </c>
      <c r="V221" s="218" t="str">
        <f>IFERROR(IF(COUNTIF(INDEX(Personnel[Category],A221),"*leave*")&gt;0,IF(Research_leave_FTE_months&gt;pers_leave_maxduration,$B$145,""),""),"")</f>
        <v/>
      </c>
      <c r="W221" s="218" t="str">
        <f>IFERROR(IF(AND(INDEX(Personnel[Costs],A221)=0,INDEX(salaries_academic[[category]:[1]],MATCH(INDEX(Personnel[Category],A221),salaries_academic[category],0),3)=0),$B$148,""),"")</f>
        <v/>
      </c>
      <c r="X221" s="218" t="e">
        <f>IF(AND(organisation_type="yes",INDEX(Personnel[Amount],A221,1)&lt;&gt;"",ISBLANK(INDEX(Personnel[Organisation type],A221,1))),$B$146,"")</f>
        <v>#REF!</v>
      </c>
      <c r="Y221" s="218" t="e">
        <f>IF(AND(organisation_name="yes",INDEX(Personnel[Amount],A221,1)&lt;&gt;"",ISBLANK(INDEX(Personnel[Name organisation],A221,1))),$B$147,"")</f>
        <v>#REF!</v>
      </c>
      <c r="Z221" s="218" t="str">
        <f>IFERROR(IF(AND(INDEX(Personnel[Costs],A221)&gt;0,INDEX(salaries_academic[[category]:[1]],MATCH(INDEX(Personnel[Category],A221),salaries_academic[category],0),3)&gt;0),$B$149,""),"")</f>
        <v/>
      </c>
      <c r="AA221" s="218"/>
    </row>
    <row r="222" spans="1:27" outlineLevel="1" x14ac:dyDescent="0.35">
      <c r="A222" s="195">
        <v>15</v>
      </c>
      <c r="B222" s="195" t="str">
        <f t="array" ref="B222">IFERROR(INDEX(personnel_ac_notes[[#This Row],[Exceeding nr months]:[Costs specified]],1,MATCH(TRUE,LEN(personnel_ac_notes[[#This Row],[Exceeding nr months]:[Costs specified]])&gt;0,0)),"")</f>
        <v/>
      </c>
      <c r="C222" s="195" t="str">
        <f>IFERROR(IF(INDEX(Personnel[Months],A222)&gt;Max_project_duration,$B$128,""),"")</f>
        <v/>
      </c>
      <c r="D222" s="195" t="str">
        <f>IFERROR(IF(AND(LEN(INDEX(Personnel[Category],A222))+LEN(INDEX(Personnel[FTE],A222))+LEN(INDEX(Personnel[Months],A222))&gt;0,LEN(INDEX(Personnel[Category],A222-1))+LEN(INDEX(Personnel[FTE],A222-1))+LEN(INDEX(Personnel[Months],A222-1))=0),$B$127,""),"")</f>
        <v/>
      </c>
      <c r="E222" s="195" t="str">
        <f>IF(AND(NOT(ISBLANK(INDEX(Personnel[Category],A222))),OR(ISBLANK(INDEX(Personnel[FTE],A222)),ISBLANK(INDEX(Personnel[Months],A222)))),VLOOKUP(INDEX(Personnel[Category],A222),salaries_academic[],2,FALSE),"")</f>
        <v/>
      </c>
      <c r="F222" s="195" t="str">
        <f>IFERROR(IF(COUNTIF(INDEX(Personnel[Category],A222),"*- PhD*")&gt;0,IF(INDEX(Personnel[Months],A222)*INDEX(Personnel[FTE],A222)&lt;pers_PhD_min_months,$B$129,""),""),"")</f>
        <v/>
      </c>
      <c r="G222" s="195" t="str">
        <f>IFERROR(IF(COUNTIF(INDEX(Personnel[Category],$A222),"*- PhD*")&gt;0,IF(INDEX(Personnel[Months],$A222)*INDEX(Personnel[FTE],$A222)&gt;pers_PhD_max_months,$B$130,""),""),"")</f>
        <v/>
      </c>
      <c r="H222" s="195" t="str">
        <f>IFERROR(IF(COUNTIF(INDEX(Personnel[Category],A222),"*year*")&gt;0,IF(INDEX(Personnel[Months],A222)*INDEX(Personnel[FTE],A222)&lt;pers_3yPhD_min_months,$B$131,""),""),"")</f>
        <v/>
      </c>
      <c r="I222" s="218" t="str">
        <f>IFERROR(IF(COUNTIF(INDEX(Personnel[Category],A222),"*PDEng*")&gt;0,IF(OR(IFERROR(MATCH("*PhD*",Personnel[Category],0),0)&gt;0,IFERROR(MATCH("*PostDoc*",Personnel[Category],0),0)&gt;0),"",$B$132),""),"")</f>
        <v/>
      </c>
      <c r="J222" s="218" t="str">
        <f>IFERROR(IF(COUNTIF(INDEX(Personnel[Category],A222),"*PDEng*")&gt;0,IF(INDEX(Personnel[Months],A222)*INDEX(Personnel[FTE],A222)&gt;pers_PDEng_max_months,$B$133,""),""),"")</f>
        <v/>
      </c>
      <c r="K222" s="218" t="str">
        <f>IFERROR(IF(COUNTIF(INDEX(Personnel[Category],A222),"*PostDoc*")&gt;0,IF(INDEX(Personnel[Months],A222)*INDEX(Personnel[FTE],A222)&lt;pers_PD_min_months,$B$134,""),""),"")</f>
        <v/>
      </c>
      <c r="L222" s="218" t="str">
        <f>IFERROR(IF(COUNTIF(INDEX(Personnel[Category],A222),"*PostDoc*")&gt;0,IF(INDEX(Personnel[Months],A222)*INDEX(Personnel[FTE],A222)&gt;pers_PD_max_months,$B$135,""),""),"")</f>
        <v/>
      </c>
      <c r="M222" s="218" t="str">
        <f>IFERROR(IF(COUNTIF(INDEX(Personnel[Category],A222),"*Non-scientific*")&gt;0,IF(OR(IFERROR(MATCH("*PhD*",Personnel[Category],0),0)&gt;0,IFERROR(MATCH("*PostDoc*",Personnel[Category],0),0)&gt;0),"",$B$136),""),"")</f>
        <v/>
      </c>
      <c r="N222" s="218" t="str">
        <f>IFERROR(IF(COUNTIF(INDEX(Personnel[Category],A222),"*Non-scientific*")&gt;0,IF(Total_NSP&gt;pers_max_NSP,$B$137,""),""),"")</f>
        <v/>
      </c>
      <c r="O222" s="218" t="str">
        <f>IFERROR(IF(COUNTIF(INDEX(Personnel[Category],A222),"*Non-scientific*")&gt;0,IF(INDEX(Personnel[Months],A222)*INDEX(Personnel[FTE],A222)&lt;pers_NSP_min_months,$B$138,""),""),"")</f>
        <v/>
      </c>
      <c r="P222" s="218" t="str">
        <f>IFERROR(IF(COUNTIF(INDEX(Personnel[Category],A222),"*Non-scientific*")&gt;0,IF(INDEX(Personnel[Months],A222)*INDEX(Personnel[FTE],A222)&gt;pers_NSP_max_months,$B$139,""),""),"")</f>
        <v/>
      </c>
      <c r="Q222" s="218" t="str">
        <f>IFERROR(IF(COUNTIF(INDEX(Personnel[Category],A222),"*Other scientific*")&gt;0,IF(OR(IFERROR(MATCH("*PhD*",Personnel[Category],0),0)&gt;0,IFERROR(MATCH("*PostDoc*",Personnel[Category],0),0)&gt;0),"",$B$140),""),"")</f>
        <v/>
      </c>
      <c r="R222" s="218" t="str">
        <f>IFERROR(IF(COUNTIF(INDEX(Personnel[Category],A222),"*Other scientific*")&gt;0,IF(Total_OSP&gt;pers_max_OSP,$B$141,""),""),"")</f>
        <v/>
      </c>
      <c r="S222" s="218" t="str">
        <f>IFERROR(IF(COUNTIF(INDEX(Personnel[Category],A222),"*Other scientific*")&gt;0,IF(INDEX(Personnel[Months],A222)*INDEX(Personnel[FTE],A222)&lt;pers_OSP_min_months,$B$142,""),""),"")</f>
        <v/>
      </c>
      <c r="T222" s="218" t="str">
        <f>IFERROR(IF(COUNTIF(INDEX(Personnel[Category],A222),"*Other scientific*")&gt;0,IF(INDEX(Personnel[Months],A222)*INDEX(Personnel[FTE],A222)&gt;pers_OSP_max_months,$B$143,""),""),"")</f>
        <v/>
      </c>
      <c r="U222" s="218" t="str">
        <f>IFERROR(IF(COUNTIF(INDEX(Personnel[Category],A222),"*leave*")&gt;0,IF(Total_Research_leave&gt;pers_leave_maxperc*Total_NWO_funding,$B$144,""),""),"")</f>
        <v/>
      </c>
      <c r="V222" s="218" t="str">
        <f>IFERROR(IF(COUNTIF(INDEX(Personnel[Category],A222),"*leave*")&gt;0,IF(Research_leave_FTE_months&gt;pers_leave_maxduration,$B$145,""),""),"")</f>
        <v/>
      </c>
      <c r="W222" s="218" t="str">
        <f>IFERROR(IF(AND(INDEX(Personnel[Costs],A222)=0,INDEX(salaries_academic[[category]:[1]],MATCH(INDEX(Personnel[Category],A222),salaries_academic[category],0),3)=0),$B$148,""),"")</f>
        <v/>
      </c>
      <c r="X222" s="218" t="e">
        <f>IF(AND(organisation_type="yes",INDEX(Personnel[Amount],A222,1)&lt;&gt;"",ISBLANK(INDEX(Personnel[Organisation type],A222,1))),$B$146,"")</f>
        <v>#REF!</v>
      </c>
      <c r="Y222" s="218" t="e">
        <f>IF(AND(organisation_name="yes",INDEX(Personnel[Amount],A222,1)&lt;&gt;"",ISBLANK(INDEX(Personnel[Name organisation],A222,1))),$B$147,"")</f>
        <v>#REF!</v>
      </c>
      <c r="Z222" s="218" t="str">
        <f>IFERROR(IF(AND(INDEX(Personnel[Costs],A222)&gt;0,INDEX(salaries_academic[[category]:[1]],MATCH(INDEX(Personnel[Category],A222),salaries_academic[category],0),3)&gt;0),$B$149,""),"")</f>
        <v/>
      </c>
      <c r="AA222" s="218"/>
    </row>
    <row r="223" spans="1:27" outlineLevel="1" x14ac:dyDescent="0.35">
      <c r="A223" s="195">
        <v>16</v>
      </c>
      <c r="B223" s="195" t="str">
        <f t="array" ref="B223">IFERROR(INDEX(personnel_ac_notes[[#This Row],[Exceeding nr months]:[Costs specified]],1,MATCH(TRUE,LEN(personnel_ac_notes[[#This Row],[Exceeding nr months]:[Costs specified]])&gt;0,0)),"")</f>
        <v/>
      </c>
      <c r="C223" s="195" t="str">
        <f>IFERROR(IF(INDEX(Personnel[Months],A223)&gt;Max_project_duration,$B$128,""),"")</f>
        <v/>
      </c>
      <c r="D223" s="195" t="str">
        <f>IFERROR(IF(AND(LEN(INDEX(Personnel[Category],A223))+LEN(INDEX(Personnel[FTE],A223))+LEN(INDEX(Personnel[Months],A223))&gt;0,LEN(INDEX(Personnel[Category],A223-1))+LEN(INDEX(Personnel[FTE],A223-1))+LEN(INDEX(Personnel[Months],A223-1))=0),$B$127,""),"")</f>
        <v/>
      </c>
      <c r="E223" s="195" t="str">
        <f>IF(AND(NOT(ISBLANK(INDEX(Personnel[Category],A223))),OR(ISBLANK(INDEX(Personnel[FTE],A223)),ISBLANK(INDEX(Personnel[Months],A223)))),VLOOKUP(INDEX(Personnel[Category],A223),salaries_academic[],2,FALSE),"")</f>
        <v/>
      </c>
      <c r="F223" s="195" t="str">
        <f>IFERROR(IF(COUNTIF(INDEX(Personnel[Category],A223),"*- PhD*")&gt;0,IF(INDEX(Personnel[Months],A223)*INDEX(Personnel[FTE],A223)&lt;pers_PhD_min_months,$B$129,""),""),"")</f>
        <v/>
      </c>
      <c r="G223" s="195" t="str">
        <f>IFERROR(IF(COUNTIF(INDEX(Personnel[Category],$A223),"*- PhD*")&gt;0,IF(INDEX(Personnel[Months],$A223)*INDEX(Personnel[FTE],$A223)&gt;pers_PhD_max_months,$B$130,""),""),"")</f>
        <v/>
      </c>
      <c r="H223" s="195" t="str">
        <f>IFERROR(IF(COUNTIF(INDEX(Personnel[Category],A223),"*year*")&gt;0,IF(INDEX(Personnel[Months],A223)*INDEX(Personnel[FTE],A223)&lt;pers_3yPhD_min_months,$B$131,""),""),"")</f>
        <v/>
      </c>
      <c r="I223" s="218" t="str">
        <f>IFERROR(IF(COUNTIF(INDEX(Personnel[Category],A223),"*PDEng*")&gt;0,IF(OR(IFERROR(MATCH("*PhD*",Personnel[Category],0),0)&gt;0,IFERROR(MATCH("*PostDoc*",Personnel[Category],0),0)&gt;0),"",$B$132),""),"")</f>
        <v/>
      </c>
      <c r="J223" s="218" t="str">
        <f>IFERROR(IF(COUNTIF(INDEX(Personnel[Category],A223),"*PDEng*")&gt;0,IF(INDEX(Personnel[Months],A223)*INDEX(Personnel[FTE],A223)&gt;pers_PDEng_max_months,$B$133,""),""),"")</f>
        <v/>
      </c>
      <c r="K223" s="218" t="str">
        <f>IFERROR(IF(COUNTIF(INDEX(Personnel[Category],A223),"*PostDoc*")&gt;0,IF(INDEX(Personnel[Months],A223)*INDEX(Personnel[FTE],A223)&lt;pers_PD_min_months,$B$134,""),""),"")</f>
        <v/>
      </c>
      <c r="L223" s="218" t="str">
        <f>IFERROR(IF(COUNTIF(INDEX(Personnel[Category],A223),"*PostDoc*")&gt;0,IF(INDEX(Personnel[Months],A223)*INDEX(Personnel[FTE],A223)&gt;pers_PD_max_months,$B$135,""),""),"")</f>
        <v/>
      </c>
      <c r="M223" s="218" t="str">
        <f>IFERROR(IF(COUNTIF(INDEX(Personnel[Category],A223),"*Non-scientific*")&gt;0,IF(OR(IFERROR(MATCH("*PhD*",Personnel[Category],0),0)&gt;0,IFERROR(MATCH("*PostDoc*",Personnel[Category],0),0)&gt;0),"",$B$136),""),"")</f>
        <v/>
      </c>
      <c r="N223" s="218" t="str">
        <f>IFERROR(IF(COUNTIF(INDEX(Personnel[Category],A223),"*Non-scientific*")&gt;0,IF(Total_NSP&gt;pers_max_NSP,$B$137,""),""),"")</f>
        <v/>
      </c>
      <c r="O223" s="218" t="str">
        <f>IFERROR(IF(COUNTIF(INDEX(Personnel[Category],A223),"*Non-scientific*")&gt;0,IF(INDEX(Personnel[Months],A223)*INDEX(Personnel[FTE],A223)&lt;pers_NSP_min_months,$B$138,""),""),"")</f>
        <v/>
      </c>
      <c r="P223" s="218" t="str">
        <f>IFERROR(IF(COUNTIF(INDEX(Personnel[Category],A223),"*Non-scientific*")&gt;0,IF(INDEX(Personnel[Months],A223)*INDEX(Personnel[FTE],A223)&gt;pers_NSP_max_months,$B$139,""),""),"")</f>
        <v/>
      </c>
      <c r="Q223" s="218" t="str">
        <f>IFERROR(IF(COUNTIF(INDEX(Personnel[Category],A223),"*Other scientific*")&gt;0,IF(OR(IFERROR(MATCH("*PhD*",Personnel[Category],0),0)&gt;0,IFERROR(MATCH("*PostDoc*",Personnel[Category],0),0)&gt;0),"",$B$140),""),"")</f>
        <v/>
      </c>
      <c r="R223" s="218" t="str">
        <f>IFERROR(IF(COUNTIF(INDEX(Personnel[Category],A223),"*Other scientific*")&gt;0,IF(Total_OSP&gt;pers_max_OSP,$B$141,""),""),"")</f>
        <v/>
      </c>
      <c r="S223" s="218" t="str">
        <f>IFERROR(IF(COUNTIF(INDEX(Personnel[Category],A223),"*Other scientific*")&gt;0,IF(INDEX(Personnel[Months],A223)*INDEX(Personnel[FTE],A223)&lt;pers_OSP_min_months,$B$142,""),""),"")</f>
        <v/>
      </c>
      <c r="T223" s="218" t="str">
        <f>IFERROR(IF(COUNTIF(INDEX(Personnel[Category],A223),"*Other scientific*")&gt;0,IF(INDEX(Personnel[Months],A223)*INDEX(Personnel[FTE],A223)&gt;pers_OSP_max_months,$B$143,""),""),"")</f>
        <v/>
      </c>
      <c r="U223" s="218" t="str">
        <f>IFERROR(IF(COUNTIF(INDEX(Personnel[Category],A223),"*leave*")&gt;0,IF(Total_Research_leave&gt;pers_leave_maxperc*Total_NWO_funding,$B$144,""),""),"")</f>
        <v/>
      </c>
      <c r="V223" s="218" t="str">
        <f>IFERROR(IF(COUNTIF(INDEX(Personnel[Category],A223),"*leave*")&gt;0,IF(Research_leave_FTE_months&gt;pers_leave_maxduration,$B$145,""),""),"")</f>
        <v/>
      </c>
      <c r="W223" s="218" t="str">
        <f>IFERROR(IF(AND(INDEX(Personnel[Costs],A223)=0,INDEX(salaries_academic[[category]:[1]],MATCH(INDEX(Personnel[Category],A223),salaries_academic[category],0),3)=0),$B$148,""),"")</f>
        <v/>
      </c>
      <c r="X223" s="218" t="e">
        <f>IF(AND(organisation_type="yes",INDEX(Personnel[Amount],A223,1)&lt;&gt;"",ISBLANK(INDEX(Personnel[Organisation type],A223,1))),$B$146,"")</f>
        <v>#REF!</v>
      </c>
      <c r="Y223" s="218" t="e">
        <f>IF(AND(organisation_name="yes",INDEX(Personnel[Amount],A223,1)&lt;&gt;"",ISBLANK(INDEX(Personnel[Name organisation],A223,1))),$B$147,"")</f>
        <v>#REF!</v>
      </c>
      <c r="Z223" s="218" t="str">
        <f>IFERROR(IF(AND(INDEX(Personnel[Costs],A223)&gt;0,INDEX(salaries_academic[[category]:[1]],MATCH(INDEX(Personnel[Category],A223),salaries_academic[category],0),3)&gt;0),$B$149,""),"")</f>
        <v/>
      </c>
      <c r="AA223" s="218"/>
    </row>
    <row r="224" spans="1:27" outlineLevel="1" x14ac:dyDescent="0.35">
      <c r="A224" s="195">
        <v>17</v>
      </c>
      <c r="B224" s="195" t="str">
        <f t="array" ref="B224">IFERROR(INDEX(personnel_ac_notes[[#This Row],[Exceeding nr months]:[Costs specified]],1,MATCH(TRUE,LEN(personnel_ac_notes[[#This Row],[Exceeding nr months]:[Costs specified]])&gt;0,0)),"")</f>
        <v/>
      </c>
      <c r="C224" s="195" t="str">
        <f>IFERROR(IF(INDEX(Personnel[Months],A224)&gt;Max_project_duration,$B$128,""),"")</f>
        <v/>
      </c>
      <c r="D224" s="195" t="str">
        <f>IFERROR(IF(AND(LEN(INDEX(Personnel[Category],A224))+LEN(INDEX(Personnel[FTE],A224))+LEN(INDEX(Personnel[Months],A224))&gt;0,LEN(INDEX(Personnel[Category],A224-1))+LEN(INDEX(Personnel[FTE],A224-1))+LEN(INDEX(Personnel[Months],A224-1))=0),$B$127,""),"")</f>
        <v/>
      </c>
      <c r="E224" s="195" t="str">
        <f>IF(AND(NOT(ISBLANK(INDEX(Personnel[Category],A224))),OR(ISBLANK(INDEX(Personnel[FTE],A224)),ISBLANK(INDEX(Personnel[Months],A224)))),VLOOKUP(INDEX(Personnel[Category],A224),salaries_academic[],2,FALSE),"")</f>
        <v/>
      </c>
      <c r="F224" s="195" t="str">
        <f>IFERROR(IF(COUNTIF(INDEX(Personnel[Category],A224),"*- PhD*")&gt;0,IF(INDEX(Personnel[Months],A224)*INDEX(Personnel[FTE],A224)&lt;pers_PhD_min_months,$B$129,""),""),"")</f>
        <v/>
      </c>
      <c r="G224" s="195" t="str">
        <f>IFERROR(IF(COUNTIF(INDEX(Personnel[Category],$A224),"*- PhD*")&gt;0,IF(INDEX(Personnel[Months],$A224)*INDEX(Personnel[FTE],$A224)&gt;pers_PhD_max_months,$B$130,""),""),"")</f>
        <v/>
      </c>
      <c r="H224" s="195" t="str">
        <f>IFERROR(IF(COUNTIF(INDEX(Personnel[Category],A224),"*year*")&gt;0,IF(INDEX(Personnel[Months],A224)*INDEX(Personnel[FTE],A224)&lt;pers_3yPhD_min_months,$B$131,""),""),"")</f>
        <v/>
      </c>
      <c r="I224" s="218" t="str">
        <f>IFERROR(IF(COUNTIF(INDEX(Personnel[Category],A224),"*PDEng*")&gt;0,IF(OR(IFERROR(MATCH("*PhD*",Personnel[Category],0),0)&gt;0,IFERROR(MATCH("*PostDoc*",Personnel[Category],0),0)&gt;0),"",$B$132),""),"")</f>
        <v/>
      </c>
      <c r="J224" s="218" t="str">
        <f>IFERROR(IF(COUNTIF(INDEX(Personnel[Category],A224),"*PDEng*")&gt;0,IF(INDEX(Personnel[Months],A224)*INDEX(Personnel[FTE],A224)&gt;pers_PDEng_max_months,$B$133,""),""),"")</f>
        <v/>
      </c>
      <c r="K224" s="218" t="str">
        <f>IFERROR(IF(COUNTIF(INDEX(Personnel[Category],A224),"*PostDoc*")&gt;0,IF(INDEX(Personnel[Months],A224)*INDEX(Personnel[FTE],A224)&lt;pers_PD_min_months,$B$134,""),""),"")</f>
        <v/>
      </c>
      <c r="L224" s="218" t="str">
        <f>IFERROR(IF(COUNTIF(INDEX(Personnel[Category],A224),"*PostDoc*")&gt;0,IF(INDEX(Personnel[Months],A224)*INDEX(Personnel[FTE],A224)&gt;pers_PD_max_months,$B$135,""),""),"")</f>
        <v/>
      </c>
      <c r="M224" s="218" t="str">
        <f>IFERROR(IF(COUNTIF(INDEX(Personnel[Category],A224),"*Non-scientific*")&gt;0,IF(OR(IFERROR(MATCH("*PhD*",Personnel[Category],0),0)&gt;0,IFERROR(MATCH("*PostDoc*",Personnel[Category],0),0)&gt;0),"",$B$136),""),"")</f>
        <v/>
      </c>
      <c r="N224" s="218" t="str">
        <f>IFERROR(IF(COUNTIF(INDEX(Personnel[Category],A224),"*Non-scientific*")&gt;0,IF(Total_NSP&gt;pers_max_NSP,$B$137,""),""),"")</f>
        <v/>
      </c>
      <c r="O224" s="218" t="str">
        <f>IFERROR(IF(COUNTIF(INDEX(Personnel[Category],A224),"*Non-scientific*")&gt;0,IF(INDEX(Personnel[Months],A224)*INDEX(Personnel[FTE],A224)&lt;pers_NSP_min_months,$B$138,""),""),"")</f>
        <v/>
      </c>
      <c r="P224" s="218" t="str">
        <f>IFERROR(IF(COUNTIF(INDEX(Personnel[Category],A224),"*Non-scientific*")&gt;0,IF(INDEX(Personnel[Months],A224)*INDEX(Personnel[FTE],A224)&gt;pers_NSP_max_months,$B$139,""),""),"")</f>
        <v/>
      </c>
      <c r="Q224" s="218" t="str">
        <f>IFERROR(IF(COUNTIF(INDEX(Personnel[Category],A224),"*Other scientific*")&gt;0,IF(OR(IFERROR(MATCH("*PhD*",Personnel[Category],0),0)&gt;0,IFERROR(MATCH("*PostDoc*",Personnel[Category],0),0)&gt;0),"",$B$140),""),"")</f>
        <v/>
      </c>
      <c r="R224" s="218" t="str">
        <f>IFERROR(IF(COUNTIF(INDEX(Personnel[Category],A224),"*Other scientific*")&gt;0,IF(Total_OSP&gt;pers_max_OSP,$B$141,""),""),"")</f>
        <v/>
      </c>
      <c r="S224" s="218" t="str">
        <f>IFERROR(IF(COUNTIF(INDEX(Personnel[Category],A224),"*Other scientific*")&gt;0,IF(INDEX(Personnel[Months],A224)*INDEX(Personnel[FTE],A224)&lt;pers_OSP_min_months,$B$142,""),""),"")</f>
        <v/>
      </c>
      <c r="T224" s="218" t="str">
        <f>IFERROR(IF(COUNTIF(INDEX(Personnel[Category],A224),"*Other scientific*")&gt;0,IF(INDEX(Personnel[Months],A224)*INDEX(Personnel[FTE],A224)&gt;pers_OSP_max_months,$B$143,""),""),"")</f>
        <v/>
      </c>
      <c r="U224" s="218" t="str">
        <f>IFERROR(IF(COUNTIF(INDEX(Personnel[Category],A224),"*leave*")&gt;0,IF(Total_Research_leave&gt;pers_leave_maxperc*Total_NWO_funding,$B$144,""),""),"")</f>
        <v/>
      </c>
      <c r="V224" s="218" t="str">
        <f>IFERROR(IF(COUNTIF(INDEX(Personnel[Category],A224),"*leave*")&gt;0,IF(Research_leave_FTE_months&gt;pers_leave_maxduration,$B$145,""),""),"")</f>
        <v/>
      </c>
      <c r="W224" s="218" t="str">
        <f>IFERROR(IF(AND(INDEX(Personnel[Costs],A224)=0,INDEX(salaries_academic[[category]:[1]],MATCH(INDEX(Personnel[Category],A224),salaries_academic[category],0),3)=0),$B$148,""),"")</f>
        <v/>
      </c>
      <c r="X224" s="218" t="e">
        <f>IF(AND(organisation_type="yes",INDEX(Personnel[Amount],A224,1)&lt;&gt;"",ISBLANK(INDEX(Personnel[Organisation type],A224,1))),$B$146,"")</f>
        <v>#REF!</v>
      </c>
      <c r="Y224" s="218" t="e">
        <f>IF(AND(organisation_name="yes",INDEX(Personnel[Amount],A224,1)&lt;&gt;"",ISBLANK(INDEX(Personnel[Name organisation],A224,1))),$B$147,"")</f>
        <v>#REF!</v>
      </c>
      <c r="Z224" s="218" t="str">
        <f>IFERROR(IF(AND(INDEX(Personnel[Costs],A224)&gt;0,INDEX(salaries_academic[[category]:[1]],MATCH(INDEX(Personnel[Category],A224),salaries_academic[category],0),3)&gt;0),$B$149,""),"")</f>
        <v/>
      </c>
      <c r="AA224" s="218"/>
    </row>
    <row r="225" spans="1:27" outlineLevel="1" x14ac:dyDescent="0.35">
      <c r="A225" s="195">
        <v>18</v>
      </c>
      <c r="B225" s="195" t="str">
        <f t="array" ref="B225">IFERROR(INDEX(personnel_ac_notes[[#This Row],[Exceeding nr months]:[Costs specified]],1,MATCH(TRUE,LEN(personnel_ac_notes[[#This Row],[Exceeding nr months]:[Costs specified]])&gt;0,0)),"")</f>
        <v/>
      </c>
      <c r="C225" s="195" t="str">
        <f>IFERROR(IF(INDEX(Personnel[Months],A225)&gt;Max_project_duration,$B$128,""),"")</f>
        <v/>
      </c>
      <c r="D225" s="195" t="str">
        <f>IFERROR(IF(AND(LEN(INDEX(Personnel[Category],A225))+LEN(INDEX(Personnel[FTE],A225))+LEN(INDEX(Personnel[Months],A225))&gt;0,LEN(INDEX(Personnel[Category],A225-1))+LEN(INDEX(Personnel[FTE],A225-1))+LEN(INDEX(Personnel[Months],A225-1))=0),$B$127,""),"")</f>
        <v/>
      </c>
      <c r="E225" s="195" t="str">
        <f>IF(AND(NOT(ISBLANK(INDEX(Personnel[Category],A225))),OR(ISBLANK(INDEX(Personnel[FTE],A225)),ISBLANK(INDEX(Personnel[Months],A225)))),VLOOKUP(INDEX(Personnel[Category],A225),salaries_academic[],2,FALSE),"")</f>
        <v/>
      </c>
      <c r="F225" s="195" t="str">
        <f>IFERROR(IF(COUNTIF(INDEX(Personnel[Category],A225),"*- PhD*")&gt;0,IF(INDEX(Personnel[Months],A225)*INDEX(Personnel[FTE],A225)&lt;pers_PhD_min_months,$B$129,""),""),"")</f>
        <v/>
      </c>
      <c r="G225" s="195" t="str">
        <f>IFERROR(IF(COUNTIF(INDEX(Personnel[Category],$A225),"*- PhD*")&gt;0,IF(INDEX(Personnel[Months],$A225)*INDEX(Personnel[FTE],$A225)&gt;pers_PhD_max_months,$B$130,""),""),"")</f>
        <v/>
      </c>
      <c r="H225" s="195" t="str">
        <f>IFERROR(IF(COUNTIF(INDEX(Personnel[Category],A225),"*year*")&gt;0,IF(INDEX(Personnel[Months],A225)*INDEX(Personnel[FTE],A225)&lt;pers_3yPhD_min_months,$B$131,""),""),"")</f>
        <v/>
      </c>
      <c r="I225" s="218" t="str">
        <f>IFERROR(IF(COUNTIF(INDEX(Personnel[Category],A225),"*PDEng*")&gt;0,IF(OR(IFERROR(MATCH("*PhD*",Personnel[Category],0),0)&gt;0,IFERROR(MATCH("*PostDoc*",Personnel[Category],0),0)&gt;0),"",$B$132),""),"")</f>
        <v/>
      </c>
      <c r="J225" s="218" t="str">
        <f>IFERROR(IF(COUNTIF(INDEX(Personnel[Category],A225),"*PDEng*")&gt;0,IF(INDEX(Personnel[Months],A225)*INDEX(Personnel[FTE],A225)&gt;pers_PDEng_max_months,$B$133,""),""),"")</f>
        <v/>
      </c>
      <c r="K225" s="218" t="str">
        <f>IFERROR(IF(COUNTIF(INDEX(Personnel[Category],A225),"*PostDoc*")&gt;0,IF(INDEX(Personnel[Months],A225)*INDEX(Personnel[FTE],A225)&lt;pers_PD_min_months,$B$134,""),""),"")</f>
        <v/>
      </c>
      <c r="L225" s="218" t="str">
        <f>IFERROR(IF(COUNTIF(INDEX(Personnel[Category],A225),"*PostDoc*")&gt;0,IF(INDEX(Personnel[Months],A225)*INDEX(Personnel[FTE],A225)&gt;pers_PD_max_months,$B$135,""),""),"")</f>
        <v/>
      </c>
      <c r="M225" s="218" t="str">
        <f>IFERROR(IF(COUNTIF(INDEX(Personnel[Category],A225),"*Non-scientific*")&gt;0,IF(OR(IFERROR(MATCH("*PhD*",Personnel[Category],0),0)&gt;0,IFERROR(MATCH("*PostDoc*",Personnel[Category],0),0)&gt;0),"",$B$136),""),"")</f>
        <v/>
      </c>
      <c r="N225" s="218" t="str">
        <f>IFERROR(IF(COUNTIF(INDEX(Personnel[Category],A225),"*Non-scientific*")&gt;0,IF(Total_NSP&gt;pers_max_NSP,$B$137,""),""),"")</f>
        <v/>
      </c>
      <c r="O225" s="218" t="str">
        <f>IFERROR(IF(COUNTIF(INDEX(Personnel[Category],A225),"*Non-scientific*")&gt;0,IF(INDEX(Personnel[Months],A225)*INDEX(Personnel[FTE],A225)&lt;pers_NSP_min_months,$B$138,""),""),"")</f>
        <v/>
      </c>
      <c r="P225" s="218" t="str">
        <f>IFERROR(IF(COUNTIF(INDEX(Personnel[Category],A225),"*Non-scientific*")&gt;0,IF(INDEX(Personnel[Months],A225)*INDEX(Personnel[FTE],A225)&gt;pers_NSP_max_months,$B$139,""),""),"")</f>
        <v/>
      </c>
      <c r="Q225" s="218" t="str">
        <f>IFERROR(IF(COUNTIF(INDEX(Personnel[Category],A225),"*Other scientific*")&gt;0,IF(OR(IFERROR(MATCH("*PhD*",Personnel[Category],0),0)&gt;0,IFERROR(MATCH("*PostDoc*",Personnel[Category],0),0)&gt;0),"",$B$140),""),"")</f>
        <v/>
      </c>
      <c r="R225" s="218" t="str">
        <f>IFERROR(IF(COUNTIF(INDEX(Personnel[Category],A225),"*Other scientific*")&gt;0,IF(Total_OSP&gt;pers_max_OSP,$B$141,""),""),"")</f>
        <v/>
      </c>
      <c r="S225" s="218" t="str">
        <f>IFERROR(IF(COUNTIF(INDEX(Personnel[Category],A225),"*Other scientific*")&gt;0,IF(INDEX(Personnel[Months],A225)*INDEX(Personnel[FTE],A225)&lt;pers_OSP_min_months,$B$142,""),""),"")</f>
        <v/>
      </c>
      <c r="T225" s="218" t="str">
        <f>IFERROR(IF(COUNTIF(INDEX(Personnel[Category],A225),"*Other scientific*")&gt;0,IF(INDEX(Personnel[Months],A225)*INDEX(Personnel[FTE],A225)&gt;pers_OSP_max_months,$B$143,""),""),"")</f>
        <v/>
      </c>
      <c r="U225" s="218" t="str">
        <f>IFERROR(IF(COUNTIF(INDEX(Personnel[Category],A225),"*leave*")&gt;0,IF(Total_Research_leave&gt;pers_leave_maxperc*Total_NWO_funding,$B$144,""),""),"")</f>
        <v/>
      </c>
      <c r="V225" s="218" t="str">
        <f>IFERROR(IF(COUNTIF(INDEX(Personnel[Category],A225),"*leave*")&gt;0,IF(Research_leave_FTE_months&gt;pers_leave_maxduration,$B$145,""),""),"")</f>
        <v/>
      </c>
      <c r="W225" s="218" t="str">
        <f>IFERROR(IF(AND(INDEX(Personnel[Costs],A225)=0,INDEX(salaries_academic[[category]:[1]],MATCH(INDEX(Personnel[Category],A225),salaries_academic[category],0),3)=0),$B$148,""),"")</f>
        <v/>
      </c>
      <c r="X225" s="218" t="e">
        <f>IF(AND(organisation_type="yes",INDEX(Personnel[Amount],A225,1)&lt;&gt;"",ISBLANK(INDEX(Personnel[Organisation type],A225,1))),$B$146,"")</f>
        <v>#REF!</v>
      </c>
      <c r="Y225" s="218" t="e">
        <f>IF(AND(organisation_name="yes",INDEX(Personnel[Amount],A225,1)&lt;&gt;"",ISBLANK(INDEX(Personnel[Name organisation],A225,1))),$B$147,"")</f>
        <v>#REF!</v>
      </c>
      <c r="Z225" s="218" t="str">
        <f>IFERROR(IF(AND(INDEX(Personnel[Costs],A225)&gt;0,INDEX(salaries_academic[[category]:[1]],MATCH(INDEX(Personnel[Category],A225),salaries_academic[category],0),3)&gt;0),$B$149,""),"")</f>
        <v/>
      </c>
      <c r="AA225" s="218"/>
    </row>
    <row r="226" spans="1:27" outlineLevel="1" x14ac:dyDescent="0.35">
      <c r="A226" s="195">
        <v>19</v>
      </c>
      <c r="B226" s="195" t="str">
        <f t="array" ref="B226">IFERROR(INDEX(personnel_ac_notes[[#This Row],[Exceeding nr months]:[Costs specified]],1,MATCH(TRUE,LEN(personnel_ac_notes[[#This Row],[Exceeding nr months]:[Costs specified]])&gt;0,0)),"")</f>
        <v/>
      </c>
      <c r="C226" s="195" t="str">
        <f>IFERROR(IF(INDEX(Personnel[Months],A226)&gt;Max_project_duration,$B$128,""),"")</f>
        <v/>
      </c>
      <c r="D226" s="195" t="str">
        <f>IFERROR(IF(AND(LEN(INDEX(Personnel[Category],A226))+LEN(INDEX(Personnel[FTE],A226))+LEN(INDEX(Personnel[Months],A226))&gt;0,LEN(INDEX(Personnel[Category],A226-1))+LEN(INDEX(Personnel[FTE],A226-1))+LEN(INDEX(Personnel[Months],A226-1))=0),$B$127,""),"")</f>
        <v/>
      </c>
      <c r="E226" s="195" t="str">
        <f>IF(AND(NOT(ISBLANK(INDEX(Personnel[Category],A226))),OR(ISBLANK(INDEX(Personnel[FTE],A226)),ISBLANK(INDEX(Personnel[Months],A226)))),VLOOKUP(INDEX(Personnel[Category],A226),salaries_academic[],2,FALSE),"")</f>
        <v/>
      </c>
      <c r="F226" s="195" t="str">
        <f>IFERROR(IF(COUNTIF(INDEX(Personnel[Category],A226),"*- PhD*")&gt;0,IF(INDEX(Personnel[Months],A226)*INDEX(Personnel[FTE],A226)&lt;pers_PhD_min_months,$B$129,""),""),"")</f>
        <v/>
      </c>
      <c r="G226" s="195" t="str">
        <f>IFERROR(IF(COUNTIF(INDEX(Personnel[Category],$A226),"*- PhD*")&gt;0,IF(INDEX(Personnel[Months],$A226)*INDEX(Personnel[FTE],$A226)&gt;pers_PhD_max_months,$B$130,""),""),"")</f>
        <v/>
      </c>
      <c r="H226" s="195" t="str">
        <f>IFERROR(IF(COUNTIF(INDEX(Personnel[Category],A226),"*year*")&gt;0,IF(INDEX(Personnel[Months],A226)*INDEX(Personnel[FTE],A226)&lt;pers_3yPhD_min_months,$B$131,""),""),"")</f>
        <v/>
      </c>
      <c r="I226" s="218" t="str">
        <f>IFERROR(IF(COUNTIF(INDEX(Personnel[Category],A226),"*PDEng*")&gt;0,IF(OR(IFERROR(MATCH("*PhD*",Personnel[Category],0),0)&gt;0,IFERROR(MATCH("*PostDoc*",Personnel[Category],0),0)&gt;0),"",$B$132),""),"")</f>
        <v/>
      </c>
      <c r="J226" s="218" t="str">
        <f>IFERROR(IF(COUNTIF(INDEX(Personnel[Category],A226),"*PDEng*")&gt;0,IF(INDEX(Personnel[Months],A226)*INDEX(Personnel[FTE],A226)&gt;pers_PDEng_max_months,$B$133,""),""),"")</f>
        <v/>
      </c>
      <c r="K226" s="218" t="str">
        <f>IFERROR(IF(COUNTIF(INDEX(Personnel[Category],A226),"*PostDoc*")&gt;0,IF(INDEX(Personnel[Months],A226)*INDEX(Personnel[FTE],A226)&lt;pers_PD_min_months,$B$134,""),""),"")</f>
        <v/>
      </c>
      <c r="L226" s="218" t="str">
        <f>IFERROR(IF(COUNTIF(INDEX(Personnel[Category],A226),"*PostDoc*")&gt;0,IF(INDEX(Personnel[Months],A226)*INDEX(Personnel[FTE],A226)&gt;pers_PD_max_months,$B$135,""),""),"")</f>
        <v/>
      </c>
      <c r="M226" s="218" t="str">
        <f>IFERROR(IF(COUNTIF(INDEX(Personnel[Category],A226),"*Non-scientific*")&gt;0,IF(OR(IFERROR(MATCH("*PhD*",Personnel[Category],0),0)&gt;0,IFERROR(MATCH("*PostDoc*",Personnel[Category],0),0)&gt;0),"",$B$136),""),"")</f>
        <v/>
      </c>
      <c r="N226" s="218" t="str">
        <f>IFERROR(IF(COUNTIF(INDEX(Personnel[Category],A226),"*Non-scientific*")&gt;0,IF(Total_NSP&gt;pers_max_NSP,$B$137,""),""),"")</f>
        <v/>
      </c>
      <c r="O226" s="218" t="str">
        <f>IFERROR(IF(COUNTIF(INDEX(Personnel[Category],A226),"*Non-scientific*")&gt;0,IF(INDEX(Personnel[Months],A226)*INDEX(Personnel[FTE],A226)&lt;pers_NSP_min_months,$B$138,""),""),"")</f>
        <v/>
      </c>
      <c r="P226" s="218" t="str">
        <f>IFERROR(IF(COUNTIF(INDEX(Personnel[Category],A226),"*Non-scientific*")&gt;0,IF(INDEX(Personnel[Months],A226)*INDEX(Personnel[FTE],A226)&gt;pers_NSP_max_months,$B$139,""),""),"")</f>
        <v/>
      </c>
      <c r="Q226" s="218" t="str">
        <f>IFERROR(IF(COUNTIF(INDEX(Personnel[Category],A226),"*Other scientific*")&gt;0,IF(OR(IFERROR(MATCH("*PhD*",Personnel[Category],0),0)&gt;0,IFERROR(MATCH("*PostDoc*",Personnel[Category],0),0)&gt;0),"",$B$140),""),"")</f>
        <v/>
      </c>
      <c r="R226" s="218" t="str">
        <f>IFERROR(IF(COUNTIF(INDEX(Personnel[Category],A226),"*Other scientific*")&gt;0,IF(Total_OSP&gt;pers_max_OSP,$B$141,""),""),"")</f>
        <v/>
      </c>
      <c r="S226" s="218" t="str">
        <f>IFERROR(IF(COUNTIF(INDEX(Personnel[Category],A226),"*Other scientific*")&gt;0,IF(INDEX(Personnel[Months],A226)*INDEX(Personnel[FTE],A226)&lt;pers_OSP_min_months,$B$142,""),""),"")</f>
        <v/>
      </c>
      <c r="T226" s="218" t="str">
        <f>IFERROR(IF(COUNTIF(INDEX(Personnel[Category],A226),"*Other scientific*")&gt;0,IF(INDEX(Personnel[Months],A226)*INDEX(Personnel[FTE],A226)&gt;pers_OSP_max_months,$B$143,""),""),"")</f>
        <v/>
      </c>
      <c r="U226" s="218" t="str">
        <f>IFERROR(IF(COUNTIF(INDEX(Personnel[Category],A226),"*leave*")&gt;0,IF(Total_Research_leave&gt;pers_leave_maxperc*Total_NWO_funding,$B$144,""),""),"")</f>
        <v/>
      </c>
      <c r="V226" s="218" t="str">
        <f>IFERROR(IF(COUNTIF(INDEX(Personnel[Category],A226),"*leave*")&gt;0,IF(Research_leave_FTE_months&gt;pers_leave_maxduration,$B$145,""),""),"")</f>
        <v/>
      </c>
      <c r="W226" s="218" t="str">
        <f>IFERROR(IF(AND(INDEX(Personnel[Costs],A226)=0,INDEX(salaries_academic[[category]:[1]],MATCH(INDEX(Personnel[Category],A226),salaries_academic[category],0),3)=0),$B$148,""),"")</f>
        <v/>
      </c>
      <c r="X226" s="218" t="e">
        <f>IF(AND(organisation_type="yes",INDEX(Personnel[Amount],A226,1)&lt;&gt;"",ISBLANK(INDEX(Personnel[Organisation type],A226,1))),$B$146,"")</f>
        <v>#REF!</v>
      </c>
      <c r="Y226" s="218" t="e">
        <f>IF(AND(organisation_name="yes",INDEX(Personnel[Amount],A226,1)&lt;&gt;"",ISBLANK(INDEX(Personnel[Name organisation],A226,1))),$B$147,"")</f>
        <v>#REF!</v>
      </c>
      <c r="Z226" s="218" t="str">
        <f>IFERROR(IF(AND(INDEX(Personnel[Costs],A226)&gt;0,INDEX(salaries_academic[[category]:[1]],MATCH(INDEX(Personnel[Category],A226),salaries_academic[category],0),3)&gt;0),$B$149,""),"")</f>
        <v/>
      </c>
      <c r="AA226" s="218"/>
    </row>
    <row r="227" spans="1:27" outlineLevel="1" x14ac:dyDescent="0.35">
      <c r="A227" s="195">
        <v>20</v>
      </c>
      <c r="B227" s="195" t="str">
        <f t="array" ref="B227">IFERROR(INDEX(personnel_ac_notes[[#This Row],[Exceeding nr months]:[Costs specified]],1,MATCH(TRUE,LEN(personnel_ac_notes[[#This Row],[Exceeding nr months]:[Costs specified]])&gt;0,0)),"")</f>
        <v/>
      </c>
      <c r="C227" s="195" t="str">
        <f>IFERROR(IF(INDEX(Personnel[Months],A227)&gt;Max_project_duration,$B$128,""),"")</f>
        <v/>
      </c>
      <c r="D227" s="195" t="str">
        <f>IFERROR(IF(AND(LEN(INDEX(Personnel[Category],A227))+LEN(INDEX(Personnel[FTE],A227))+LEN(INDEX(Personnel[Months],A227))&gt;0,LEN(INDEX(Personnel[Category],A227-1))+LEN(INDEX(Personnel[FTE],A227-1))+LEN(INDEX(Personnel[Months],A227-1))=0),$B$127,""),"")</f>
        <v/>
      </c>
      <c r="E227" s="195" t="str">
        <f>IF(AND(NOT(ISBLANK(INDEX(Personnel[Category],A227))),OR(ISBLANK(INDEX(Personnel[FTE],A227)),ISBLANK(INDEX(Personnel[Months],A227)))),VLOOKUP(INDEX(Personnel[Category],A227),salaries_academic[],2,FALSE),"")</f>
        <v/>
      </c>
      <c r="F227" s="195" t="str">
        <f>IFERROR(IF(COUNTIF(INDEX(Personnel[Category],A227),"*- PhD*")&gt;0,IF(INDEX(Personnel[Months],A227)*INDEX(Personnel[FTE],A227)&lt;pers_PhD_min_months,$B$129,""),""),"")</f>
        <v/>
      </c>
      <c r="G227" s="195" t="str">
        <f>IFERROR(IF(COUNTIF(INDEX(Personnel[Category],$A227),"*- PhD*")&gt;0,IF(INDEX(Personnel[Months],$A227)*INDEX(Personnel[FTE],$A227)&gt;pers_PhD_max_months,$B$130,""),""),"")</f>
        <v/>
      </c>
      <c r="H227" s="195" t="str">
        <f>IFERROR(IF(COUNTIF(INDEX(Personnel[Category],A227),"*year*")&gt;0,IF(INDEX(Personnel[Months],A227)*INDEX(Personnel[FTE],A227)&lt;pers_3yPhD_min_months,$B$131,""),""),"")</f>
        <v/>
      </c>
      <c r="I227" s="218" t="str">
        <f>IFERROR(IF(COUNTIF(INDEX(Personnel[Category],A227),"*PDEng*")&gt;0,IF(OR(IFERROR(MATCH("*PhD*",Personnel[Category],0),0)&gt;0,IFERROR(MATCH("*PostDoc*",Personnel[Category],0),0)&gt;0),"",$B$132),""),"")</f>
        <v/>
      </c>
      <c r="J227" s="218" t="str">
        <f>IFERROR(IF(COUNTIF(INDEX(Personnel[Category],A227),"*PDEng*")&gt;0,IF(INDEX(Personnel[Months],A227)*INDEX(Personnel[FTE],A227)&gt;pers_PDEng_max_months,$B$133,""),""),"")</f>
        <v/>
      </c>
      <c r="K227" s="218" t="str">
        <f>IFERROR(IF(COUNTIF(INDEX(Personnel[Category],A227),"*PostDoc*")&gt;0,IF(INDEX(Personnel[Months],A227)*INDEX(Personnel[FTE],A227)&lt;pers_PD_min_months,$B$134,""),""),"")</f>
        <v/>
      </c>
      <c r="L227" s="218" t="str">
        <f>IFERROR(IF(COUNTIF(INDEX(Personnel[Category],A227),"*PostDoc*")&gt;0,IF(INDEX(Personnel[Months],A227)*INDEX(Personnel[FTE],A227)&gt;pers_PD_max_months,$B$135,""),""),"")</f>
        <v/>
      </c>
      <c r="M227" s="218" t="str">
        <f>IFERROR(IF(COUNTIF(INDEX(Personnel[Category],A227),"*Non-scientific*")&gt;0,IF(OR(IFERROR(MATCH("*PhD*",Personnel[Category],0),0)&gt;0,IFERROR(MATCH("*PostDoc*",Personnel[Category],0),0)&gt;0),"",$B$136),""),"")</f>
        <v/>
      </c>
      <c r="N227" s="218" t="str">
        <f>IFERROR(IF(COUNTIF(INDEX(Personnel[Category],A227),"*Non-scientific*")&gt;0,IF(Total_NSP&gt;pers_max_NSP,$B$137,""),""),"")</f>
        <v/>
      </c>
      <c r="O227" s="218" t="str">
        <f>IFERROR(IF(COUNTIF(INDEX(Personnel[Category],A227),"*Non-scientific*")&gt;0,IF(INDEX(Personnel[Months],A227)*INDEX(Personnel[FTE],A227)&lt;pers_NSP_min_months,$B$138,""),""),"")</f>
        <v/>
      </c>
      <c r="P227" s="218" t="str">
        <f>IFERROR(IF(COUNTIF(INDEX(Personnel[Category],A227),"*Non-scientific*")&gt;0,IF(INDEX(Personnel[Months],A227)*INDEX(Personnel[FTE],A227)&gt;pers_NSP_max_months,$B$139,""),""),"")</f>
        <v/>
      </c>
      <c r="Q227" s="218" t="str">
        <f>IFERROR(IF(COUNTIF(INDEX(Personnel[Category],A227),"*Other scientific*")&gt;0,IF(OR(IFERROR(MATCH("*PhD*",Personnel[Category],0),0)&gt;0,IFERROR(MATCH("*PostDoc*",Personnel[Category],0),0)&gt;0),"",$B$140),""),"")</f>
        <v/>
      </c>
      <c r="R227" s="218" t="str">
        <f>IFERROR(IF(COUNTIF(INDEX(Personnel[Category],A227),"*Other scientific*")&gt;0,IF(Total_OSP&gt;pers_max_OSP,$B$141,""),""),"")</f>
        <v/>
      </c>
      <c r="S227" s="218" t="str">
        <f>IFERROR(IF(COUNTIF(INDEX(Personnel[Category],A227),"*Other scientific*")&gt;0,IF(INDEX(Personnel[Months],A227)*INDEX(Personnel[FTE],A227)&lt;pers_OSP_min_months,$B$142,""),""),"")</f>
        <v/>
      </c>
      <c r="T227" s="218" t="str">
        <f>IFERROR(IF(COUNTIF(INDEX(Personnel[Category],A227),"*Other scientific*")&gt;0,IF(INDEX(Personnel[Months],A227)*INDEX(Personnel[FTE],A227)&gt;pers_OSP_max_months,$B$143,""),""),"")</f>
        <v/>
      </c>
      <c r="U227" s="218" t="str">
        <f>IFERROR(IF(COUNTIF(INDEX(Personnel[Category],A227),"*leave*")&gt;0,IF(Total_Research_leave&gt;pers_leave_maxperc*Total_NWO_funding,$B$144,""),""),"")</f>
        <v/>
      </c>
      <c r="V227" s="218" t="str">
        <f>IFERROR(IF(COUNTIF(INDEX(Personnel[Category],A227),"*leave*")&gt;0,IF(Research_leave_FTE_months&gt;pers_leave_maxduration,$B$145,""),""),"")</f>
        <v/>
      </c>
      <c r="W227" s="218" t="str">
        <f>IFERROR(IF(AND(INDEX(Personnel[Costs],A227)=0,INDEX(salaries_academic[[category]:[1]],MATCH(INDEX(Personnel[Category],A227),salaries_academic[category],0),3)=0),$B$148,""),"")</f>
        <v/>
      </c>
      <c r="X227" s="218" t="e">
        <f>IF(AND(organisation_type="yes",INDEX(Personnel[Amount],A227,1)&lt;&gt;"",ISBLANK(INDEX(Personnel[Organisation type],A227,1))),$B$146,"")</f>
        <v>#REF!</v>
      </c>
      <c r="Y227" s="218" t="e">
        <f>IF(AND(organisation_name="yes",INDEX(Personnel[Amount],A227,1)&lt;&gt;"",ISBLANK(INDEX(Personnel[Name organisation],A227,1))),$B$147,"")</f>
        <v>#REF!</v>
      </c>
      <c r="Z227" s="218" t="str">
        <f>IFERROR(IF(AND(INDEX(Personnel[Costs],A227)&gt;0,INDEX(salaries_academic[[category]:[1]],MATCH(INDEX(Personnel[Category],A227),salaries_academic[category],0),3)&gt;0),$B$149,""),"")</f>
        <v/>
      </c>
      <c r="AA227" s="218"/>
    </row>
    <row r="228" spans="1:27" outlineLevel="1" x14ac:dyDescent="0.35">
      <c r="A228" s="195">
        <v>21</v>
      </c>
      <c r="B228" s="195" t="str">
        <f t="array" ref="B228">IFERROR(INDEX(personnel_ac_notes[[#This Row],[Exceeding nr months]:[Costs specified]],1,MATCH(TRUE,LEN(personnel_ac_notes[[#This Row],[Exceeding nr months]:[Costs specified]])&gt;0,0)),"")</f>
        <v/>
      </c>
      <c r="C228" s="195" t="str">
        <f>IFERROR(IF(INDEX(Personnel[Months],A228)&gt;Max_project_duration,$B$128,""),"")</f>
        <v/>
      </c>
      <c r="D228" s="195" t="str">
        <f>IFERROR(IF(AND(LEN(INDEX(Personnel[Category],A228))+LEN(INDEX(Personnel[FTE],A228))+LEN(INDEX(Personnel[Months],A228))&gt;0,LEN(INDEX(Personnel[Category],A228-1))+LEN(INDEX(Personnel[FTE],A228-1))+LEN(INDEX(Personnel[Months],A228-1))=0),$B$127,""),"")</f>
        <v/>
      </c>
      <c r="E228" s="195" t="str">
        <f>IF(AND(NOT(ISBLANK(INDEX(Personnel[Category],A228))),OR(ISBLANK(INDEX(Personnel[FTE],A228)),ISBLANK(INDEX(Personnel[Months],A228)))),VLOOKUP(INDEX(Personnel[Category],A228),salaries_academic[],2,FALSE),"")</f>
        <v/>
      </c>
      <c r="F228" s="195" t="str">
        <f>IFERROR(IF(COUNTIF(INDEX(Personnel[Category],A228),"*- PhD*")&gt;0,IF(INDEX(Personnel[Months],A228)*INDEX(Personnel[FTE],A228)&lt;pers_PhD_min_months,$B$129,""),""),"")</f>
        <v/>
      </c>
      <c r="G228" s="195" t="str">
        <f>IFERROR(IF(COUNTIF(INDEX(Personnel[Category],$A228),"*- PhD*")&gt;0,IF(INDEX(Personnel[Months],$A228)*INDEX(Personnel[FTE],$A228)&gt;pers_PhD_max_months,$B$130,""),""),"")</f>
        <v/>
      </c>
      <c r="H228" s="195" t="str">
        <f>IFERROR(IF(COUNTIF(INDEX(Personnel[Category],A228),"*year*")&gt;0,IF(INDEX(Personnel[Months],A228)*INDEX(Personnel[FTE],A228)&lt;pers_3yPhD_min_months,$B$131,""),""),"")</f>
        <v/>
      </c>
      <c r="I228" s="218" t="str">
        <f>IFERROR(IF(COUNTIF(INDEX(Personnel[Category],A228),"*PDEng*")&gt;0,IF(OR(IFERROR(MATCH("*PhD*",Personnel[Category],0),0)&gt;0,IFERROR(MATCH("*PostDoc*",Personnel[Category],0),0)&gt;0),"",$B$132),""),"")</f>
        <v/>
      </c>
      <c r="J228" s="218" t="str">
        <f>IFERROR(IF(COUNTIF(INDEX(Personnel[Category],A228),"*PDEng*")&gt;0,IF(INDEX(Personnel[Months],A228)*INDEX(Personnel[FTE],A228)&gt;pers_PDEng_max_months,$B$133,""),""),"")</f>
        <v/>
      </c>
      <c r="K228" s="218" t="str">
        <f>IFERROR(IF(COUNTIF(INDEX(Personnel[Category],A228),"*PostDoc*")&gt;0,IF(INDEX(Personnel[Months],A228)*INDEX(Personnel[FTE],A228)&lt;pers_PD_min_months,$B$134,""),""),"")</f>
        <v/>
      </c>
      <c r="L228" s="218" t="str">
        <f>IFERROR(IF(COUNTIF(INDEX(Personnel[Category],A228),"*PostDoc*")&gt;0,IF(INDEX(Personnel[Months],A228)*INDEX(Personnel[FTE],A228)&gt;pers_PD_max_months,$B$135,""),""),"")</f>
        <v/>
      </c>
      <c r="M228" s="218" t="str">
        <f>IFERROR(IF(COUNTIF(INDEX(Personnel[Category],A228),"*Non-scientific*")&gt;0,IF(OR(IFERROR(MATCH("*PhD*",Personnel[Category],0),0)&gt;0,IFERROR(MATCH("*PostDoc*",Personnel[Category],0),0)&gt;0),"",$B$136),""),"")</f>
        <v/>
      </c>
      <c r="N228" s="218" t="str">
        <f>IFERROR(IF(COUNTIF(INDEX(Personnel[Category],A228),"*Non-scientific*")&gt;0,IF(Total_NSP&gt;pers_max_NSP,$B$137,""),""),"")</f>
        <v/>
      </c>
      <c r="O228" s="218" t="str">
        <f>IFERROR(IF(COUNTIF(INDEX(Personnel[Category],A228),"*Non-scientific*")&gt;0,IF(INDEX(Personnel[Months],A228)*INDEX(Personnel[FTE],A228)&lt;pers_NSP_min_months,$B$138,""),""),"")</f>
        <v/>
      </c>
      <c r="P228" s="218" t="str">
        <f>IFERROR(IF(COUNTIF(INDEX(Personnel[Category],A228),"*Non-scientific*")&gt;0,IF(INDEX(Personnel[Months],A228)*INDEX(Personnel[FTE],A228)&gt;pers_NSP_max_months,$B$139,""),""),"")</f>
        <v/>
      </c>
      <c r="Q228" s="218" t="str">
        <f>IFERROR(IF(COUNTIF(INDEX(Personnel[Category],A228),"*Other scientific*")&gt;0,IF(OR(IFERROR(MATCH("*PhD*",Personnel[Category],0),0)&gt;0,IFERROR(MATCH("*PostDoc*",Personnel[Category],0),0)&gt;0),"",$B$140),""),"")</f>
        <v/>
      </c>
      <c r="R228" s="218" t="str">
        <f>IFERROR(IF(COUNTIF(INDEX(Personnel[Category],A228),"*Other scientific*")&gt;0,IF(Total_OSP&gt;pers_max_OSP,$B$141,""),""),"")</f>
        <v/>
      </c>
      <c r="S228" s="218" t="str">
        <f>IFERROR(IF(COUNTIF(INDEX(Personnel[Category],A228),"*Other scientific*")&gt;0,IF(INDEX(Personnel[Months],A228)*INDEX(Personnel[FTE],A228)&lt;pers_OSP_min_months,$B$142,""),""),"")</f>
        <v/>
      </c>
      <c r="T228" s="218" t="str">
        <f>IFERROR(IF(COUNTIF(INDEX(Personnel[Category],A228),"*Other scientific*")&gt;0,IF(INDEX(Personnel[Months],A228)*INDEX(Personnel[FTE],A228)&gt;pers_OSP_max_months,$B$143,""),""),"")</f>
        <v/>
      </c>
      <c r="U228" s="218" t="str">
        <f>IFERROR(IF(COUNTIF(INDEX(Personnel[Category],A228),"*leave*")&gt;0,IF(Total_Research_leave&gt;pers_leave_maxperc*Total_NWO_funding,$B$144,""),""),"")</f>
        <v/>
      </c>
      <c r="V228" s="218" t="str">
        <f>IFERROR(IF(COUNTIF(INDEX(Personnel[Category],A228),"*leave*")&gt;0,IF(Research_leave_FTE_months&gt;pers_leave_maxduration,$B$145,""),""),"")</f>
        <v/>
      </c>
      <c r="W228" s="218" t="str">
        <f>IFERROR(IF(AND(INDEX(Personnel[Costs],A228)=0,INDEX(salaries_academic[[category]:[1]],MATCH(INDEX(Personnel[Category],A228),salaries_academic[category],0),3)=0),$B$148,""),"")</f>
        <v/>
      </c>
      <c r="X228" s="218" t="e">
        <f>IF(AND(organisation_type="yes",INDEX(Personnel[Amount],A228,1)&lt;&gt;"",ISBLANK(INDEX(Personnel[Organisation type],A228,1))),$B$146,"")</f>
        <v>#REF!</v>
      </c>
      <c r="Y228" s="218" t="e">
        <f>IF(AND(organisation_name="yes",INDEX(Personnel[Amount],A228,1)&lt;&gt;"",ISBLANK(INDEX(Personnel[Name organisation],A228,1))),$B$147,"")</f>
        <v>#REF!</v>
      </c>
      <c r="Z228" s="218" t="str">
        <f>IFERROR(IF(AND(INDEX(Personnel[Costs],A228)&gt;0,INDEX(salaries_academic[[category]:[1]],MATCH(INDEX(Personnel[Category],A228),salaries_academic[category],0),3)&gt;0),$B$149,""),"")</f>
        <v/>
      </c>
      <c r="AA228" s="218"/>
    </row>
    <row r="229" spans="1:27" outlineLevel="1" x14ac:dyDescent="0.35">
      <c r="A229" s="195">
        <v>22</v>
      </c>
      <c r="B229" s="195" t="str">
        <f t="array" ref="B229">IFERROR(INDEX(personnel_ac_notes[[#This Row],[Exceeding nr months]:[Costs specified]],1,MATCH(TRUE,LEN(personnel_ac_notes[[#This Row],[Exceeding nr months]:[Costs specified]])&gt;0,0)),"")</f>
        <v/>
      </c>
      <c r="C229" s="195" t="str">
        <f>IFERROR(IF(INDEX(Personnel[Months],A229)&gt;Max_project_duration,$B$128,""),"")</f>
        <v/>
      </c>
      <c r="D229" s="195" t="str">
        <f>IFERROR(IF(AND(LEN(INDEX(Personnel[Category],A229))+LEN(INDEX(Personnel[FTE],A229))+LEN(INDEX(Personnel[Months],A229))&gt;0,LEN(INDEX(Personnel[Category],A229-1))+LEN(INDEX(Personnel[FTE],A229-1))+LEN(INDEX(Personnel[Months],A229-1))=0),$B$127,""),"")</f>
        <v/>
      </c>
      <c r="E229" s="195" t="str">
        <f>IF(AND(NOT(ISBLANK(INDEX(Personnel[Category],A229))),OR(ISBLANK(INDEX(Personnel[FTE],A229)),ISBLANK(INDEX(Personnel[Months],A229)))),VLOOKUP(INDEX(Personnel[Category],A229),salaries_academic[],2,FALSE),"")</f>
        <v/>
      </c>
      <c r="F229" s="195" t="str">
        <f>IFERROR(IF(COUNTIF(INDEX(Personnel[Category],A229),"*- PhD*")&gt;0,IF(INDEX(Personnel[Months],A229)*INDEX(Personnel[FTE],A229)&lt;pers_PhD_min_months,$B$129,""),""),"")</f>
        <v/>
      </c>
      <c r="G229" s="195" t="str">
        <f>IFERROR(IF(COUNTIF(INDEX(Personnel[Category],$A229),"*- PhD*")&gt;0,IF(INDEX(Personnel[Months],$A229)*INDEX(Personnel[FTE],$A229)&gt;pers_PhD_max_months,$B$130,""),""),"")</f>
        <v/>
      </c>
      <c r="H229" s="195" t="str">
        <f>IFERROR(IF(COUNTIF(INDEX(Personnel[Category],A229),"*year*")&gt;0,IF(INDEX(Personnel[Months],A229)*INDEX(Personnel[FTE],A229)&lt;pers_3yPhD_min_months,$B$131,""),""),"")</f>
        <v/>
      </c>
      <c r="I229" s="218" t="str">
        <f>IFERROR(IF(COUNTIF(INDEX(Personnel[Category],A229),"*PDEng*")&gt;0,IF(OR(IFERROR(MATCH("*PhD*",Personnel[Category],0),0)&gt;0,IFERROR(MATCH("*PostDoc*",Personnel[Category],0),0)&gt;0),"",$B$132),""),"")</f>
        <v/>
      </c>
      <c r="J229" s="218" t="str">
        <f>IFERROR(IF(COUNTIF(INDEX(Personnel[Category],A229),"*PDEng*")&gt;0,IF(INDEX(Personnel[Months],A229)*INDEX(Personnel[FTE],A229)&gt;pers_PDEng_max_months,$B$133,""),""),"")</f>
        <v/>
      </c>
      <c r="K229" s="218" t="str">
        <f>IFERROR(IF(COUNTIF(INDEX(Personnel[Category],A229),"*PostDoc*")&gt;0,IF(INDEX(Personnel[Months],A229)*INDEX(Personnel[FTE],A229)&lt;pers_PD_min_months,$B$134,""),""),"")</f>
        <v/>
      </c>
      <c r="L229" s="218" t="str">
        <f>IFERROR(IF(COUNTIF(INDEX(Personnel[Category],A229),"*PostDoc*")&gt;0,IF(INDEX(Personnel[Months],A229)*INDEX(Personnel[FTE],A229)&gt;pers_PD_max_months,$B$135,""),""),"")</f>
        <v/>
      </c>
      <c r="M229" s="218" t="str">
        <f>IFERROR(IF(COUNTIF(INDEX(Personnel[Category],A229),"*Non-scientific*")&gt;0,IF(OR(IFERROR(MATCH("*PhD*",Personnel[Category],0),0)&gt;0,IFERROR(MATCH("*PostDoc*",Personnel[Category],0),0)&gt;0),"",$B$136),""),"")</f>
        <v/>
      </c>
      <c r="N229" s="218" t="str">
        <f>IFERROR(IF(COUNTIF(INDEX(Personnel[Category],A229),"*Non-scientific*")&gt;0,IF(Total_NSP&gt;pers_max_NSP,$B$137,""),""),"")</f>
        <v/>
      </c>
      <c r="O229" s="218" t="str">
        <f>IFERROR(IF(COUNTIF(INDEX(Personnel[Category],A229),"*Non-scientific*")&gt;0,IF(INDEX(Personnel[Months],A229)*INDEX(Personnel[FTE],A229)&lt;pers_NSP_min_months,$B$138,""),""),"")</f>
        <v/>
      </c>
      <c r="P229" s="218" t="str">
        <f>IFERROR(IF(COUNTIF(INDEX(Personnel[Category],A229),"*Non-scientific*")&gt;0,IF(INDEX(Personnel[Months],A229)*INDEX(Personnel[FTE],A229)&gt;pers_NSP_max_months,$B$139,""),""),"")</f>
        <v/>
      </c>
      <c r="Q229" s="218" t="str">
        <f>IFERROR(IF(COUNTIF(INDEX(Personnel[Category],A229),"*Other scientific*")&gt;0,IF(OR(IFERROR(MATCH("*PhD*",Personnel[Category],0),0)&gt;0,IFERROR(MATCH("*PostDoc*",Personnel[Category],0),0)&gt;0),"",$B$140),""),"")</f>
        <v/>
      </c>
      <c r="R229" s="218" t="str">
        <f>IFERROR(IF(COUNTIF(INDEX(Personnel[Category],A229),"*Other scientific*")&gt;0,IF(Total_OSP&gt;pers_max_OSP,$B$141,""),""),"")</f>
        <v/>
      </c>
      <c r="S229" s="218" t="str">
        <f>IFERROR(IF(COUNTIF(INDEX(Personnel[Category],A229),"*Other scientific*")&gt;0,IF(INDEX(Personnel[Months],A229)*INDEX(Personnel[FTE],A229)&lt;pers_OSP_min_months,$B$142,""),""),"")</f>
        <v/>
      </c>
      <c r="T229" s="218" t="str">
        <f>IFERROR(IF(COUNTIF(INDEX(Personnel[Category],A229),"*Other scientific*")&gt;0,IF(INDEX(Personnel[Months],A229)*INDEX(Personnel[FTE],A229)&gt;pers_OSP_max_months,$B$143,""),""),"")</f>
        <v/>
      </c>
      <c r="U229" s="218" t="str">
        <f>IFERROR(IF(COUNTIF(INDEX(Personnel[Category],A229),"*leave*")&gt;0,IF(Total_Research_leave&gt;pers_leave_maxperc*Total_NWO_funding,$B$144,""),""),"")</f>
        <v/>
      </c>
      <c r="V229" s="218" t="str">
        <f>IFERROR(IF(COUNTIF(INDEX(Personnel[Category],A229),"*leave*")&gt;0,IF(Research_leave_FTE_months&gt;pers_leave_maxduration,$B$145,""),""),"")</f>
        <v/>
      </c>
      <c r="W229" s="218" t="str">
        <f>IFERROR(IF(AND(INDEX(Personnel[Costs],A229)=0,INDEX(salaries_academic[[category]:[1]],MATCH(INDEX(Personnel[Category],A229),salaries_academic[category],0),3)=0),$B$148,""),"")</f>
        <v/>
      </c>
      <c r="X229" s="218" t="e">
        <f>IF(AND(organisation_type="yes",INDEX(Personnel[Amount],A229,1)&lt;&gt;"",ISBLANK(INDEX(Personnel[Organisation type],A229,1))),$B$146,"")</f>
        <v>#REF!</v>
      </c>
      <c r="Y229" s="218" t="e">
        <f>IF(AND(organisation_name="yes",INDEX(Personnel[Amount],A229,1)&lt;&gt;"",ISBLANK(INDEX(Personnel[Name organisation],A229,1))),$B$147,"")</f>
        <v>#REF!</v>
      </c>
      <c r="Z229" s="218" t="str">
        <f>IFERROR(IF(AND(INDEX(Personnel[Costs],A229)&gt;0,INDEX(salaries_academic[[category]:[1]],MATCH(INDEX(Personnel[Category],A229),salaries_academic[category],0),3)&gt;0),$B$149,""),"")</f>
        <v/>
      </c>
      <c r="AA229" s="218"/>
    </row>
    <row r="230" spans="1:27" outlineLevel="1" x14ac:dyDescent="0.35">
      <c r="A230" s="195">
        <v>23</v>
      </c>
      <c r="B230" s="195" t="str">
        <f t="array" ref="B230">IFERROR(INDEX(personnel_ac_notes[[#This Row],[Exceeding nr months]:[Costs specified]],1,MATCH(TRUE,LEN(personnel_ac_notes[[#This Row],[Exceeding nr months]:[Costs specified]])&gt;0,0)),"")</f>
        <v/>
      </c>
      <c r="C230" s="195" t="str">
        <f>IFERROR(IF(INDEX(Personnel[Months],A230)&gt;Max_project_duration,$B$128,""),"")</f>
        <v/>
      </c>
      <c r="D230" s="195" t="str">
        <f>IFERROR(IF(AND(LEN(INDEX(Personnel[Category],A230))+LEN(INDEX(Personnel[FTE],A230))+LEN(INDEX(Personnel[Months],A230))&gt;0,LEN(INDEX(Personnel[Category],A230-1))+LEN(INDEX(Personnel[FTE],A230-1))+LEN(INDEX(Personnel[Months],A230-1))=0),$B$127,""),"")</f>
        <v/>
      </c>
      <c r="E230" s="195" t="str">
        <f>IF(AND(NOT(ISBLANK(INDEX(Personnel[Category],A230))),OR(ISBLANK(INDEX(Personnel[FTE],A230)),ISBLANK(INDEX(Personnel[Months],A230)))),VLOOKUP(INDEX(Personnel[Category],A230),salaries_academic[],2,FALSE),"")</f>
        <v/>
      </c>
      <c r="F230" s="195" t="str">
        <f>IFERROR(IF(COUNTIF(INDEX(Personnel[Category],A230),"*- PhD*")&gt;0,IF(INDEX(Personnel[Months],A230)*INDEX(Personnel[FTE],A230)&lt;pers_PhD_min_months,$B$129,""),""),"")</f>
        <v/>
      </c>
      <c r="G230" s="195" t="str">
        <f>IFERROR(IF(COUNTIF(INDEX(Personnel[Category],$A230),"*- PhD*")&gt;0,IF(INDEX(Personnel[Months],$A230)*INDEX(Personnel[FTE],$A230)&gt;pers_PhD_max_months,$B$130,""),""),"")</f>
        <v/>
      </c>
      <c r="H230" s="195" t="str">
        <f>IFERROR(IF(COUNTIF(INDEX(Personnel[Category],A230),"*year*")&gt;0,IF(INDEX(Personnel[Months],A230)*INDEX(Personnel[FTE],A230)&lt;pers_3yPhD_min_months,$B$131,""),""),"")</f>
        <v/>
      </c>
      <c r="I230" s="218" t="str">
        <f>IFERROR(IF(COUNTIF(INDEX(Personnel[Category],A230),"*PDEng*")&gt;0,IF(OR(IFERROR(MATCH("*PhD*",Personnel[Category],0),0)&gt;0,IFERROR(MATCH("*PostDoc*",Personnel[Category],0),0)&gt;0),"",$B$132),""),"")</f>
        <v/>
      </c>
      <c r="J230" s="218" t="str">
        <f>IFERROR(IF(COUNTIF(INDEX(Personnel[Category],A230),"*PDEng*")&gt;0,IF(INDEX(Personnel[Months],A230)*INDEX(Personnel[FTE],A230)&gt;pers_PDEng_max_months,$B$133,""),""),"")</f>
        <v/>
      </c>
      <c r="K230" s="218" t="str">
        <f>IFERROR(IF(COUNTIF(INDEX(Personnel[Category],A230),"*PostDoc*")&gt;0,IF(INDEX(Personnel[Months],A230)*INDEX(Personnel[FTE],A230)&lt;pers_PD_min_months,$B$134,""),""),"")</f>
        <v/>
      </c>
      <c r="L230" s="218" t="str">
        <f>IFERROR(IF(COUNTIF(INDEX(Personnel[Category],A230),"*PostDoc*")&gt;0,IF(INDEX(Personnel[Months],A230)*INDEX(Personnel[FTE],A230)&gt;pers_PD_max_months,$B$135,""),""),"")</f>
        <v/>
      </c>
      <c r="M230" s="218" t="str">
        <f>IFERROR(IF(COUNTIF(INDEX(Personnel[Category],A230),"*Non-scientific*")&gt;0,IF(OR(IFERROR(MATCH("*PhD*",Personnel[Category],0),0)&gt;0,IFERROR(MATCH("*PostDoc*",Personnel[Category],0),0)&gt;0),"",$B$136),""),"")</f>
        <v/>
      </c>
      <c r="N230" s="218" t="str">
        <f>IFERROR(IF(COUNTIF(INDEX(Personnel[Category],A230),"*Non-scientific*")&gt;0,IF(Total_NSP&gt;pers_max_NSP,$B$137,""),""),"")</f>
        <v/>
      </c>
      <c r="O230" s="218" t="str">
        <f>IFERROR(IF(COUNTIF(INDEX(Personnel[Category],A230),"*Non-scientific*")&gt;0,IF(INDEX(Personnel[Months],A230)*INDEX(Personnel[FTE],A230)&lt;pers_NSP_min_months,$B$138,""),""),"")</f>
        <v/>
      </c>
      <c r="P230" s="218" t="str">
        <f>IFERROR(IF(COUNTIF(INDEX(Personnel[Category],A230),"*Non-scientific*")&gt;0,IF(INDEX(Personnel[Months],A230)*INDEX(Personnel[FTE],A230)&gt;pers_NSP_max_months,$B$139,""),""),"")</f>
        <v/>
      </c>
      <c r="Q230" s="218" t="str">
        <f>IFERROR(IF(COUNTIF(INDEX(Personnel[Category],A230),"*Other scientific*")&gt;0,IF(OR(IFERROR(MATCH("*PhD*",Personnel[Category],0),0)&gt;0,IFERROR(MATCH("*PostDoc*",Personnel[Category],0),0)&gt;0),"",$B$140),""),"")</f>
        <v/>
      </c>
      <c r="R230" s="218" t="str">
        <f>IFERROR(IF(COUNTIF(INDEX(Personnel[Category],A230),"*Other scientific*")&gt;0,IF(Total_OSP&gt;pers_max_OSP,$B$141,""),""),"")</f>
        <v/>
      </c>
      <c r="S230" s="218" t="str">
        <f>IFERROR(IF(COUNTIF(INDEX(Personnel[Category],A230),"*Other scientific*")&gt;0,IF(INDEX(Personnel[Months],A230)*INDEX(Personnel[FTE],A230)&lt;pers_OSP_min_months,$B$142,""),""),"")</f>
        <v/>
      </c>
      <c r="T230" s="218" t="str">
        <f>IFERROR(IF(COUNTIF(INDEX(Personnel[Category],A230),"*Other scientific*")&gt;0,IF(INDEX(Personnel[Months],A230)*INDEX(Personnel[FTE],A230)&gt;pers_OSP_max_months,$B$143,""),""),"")</f>
        <v/>
      </c>
      <c r="U230" s="218" t="str">
        <f>IFERROR(IF(COUNTIF(INDEX(Personnel[Category],A230),"*leave*")&gt;0,IF(Total_Research_leave&gt;pers_leave_maxperc*Total_NWO_funding,$B$144,""),""),"")</f>
        <v/>
      </c>
      <c r="V230" s="218" t="str">
        <f>IFERROR(IF(COUNTIF(INDEX(Personnel[Category],A230),"*leave*")&gt;0,IF(Research_leave_FTE_months&gt;pers_leave_maxduration,$B$145,""),""),"")</f>
        <v/>
      </c>
      <c r="W230" s="218" t="str">
        <f>IFERROR(IF(AND(INDEX(Personnel[Costs],A230)=0,INDEX(salaries_academic[[category]:[1]],MATCH(INDEX(Personnel[Category],A230),salaries_academic[category],0),3)=0),$B$148,""),"")</f>
        <v/>
      </c>
      <c r="X230" s="218" t="e">
        <f>IF(AND(organisation_type="yes",INDEX(Personnel[Amount],A230,1)&lt;&gt;"",ISBLANK(INDEX(Personnel[Organisation type],A230,1))),$B$146,"")</f>
        <v>#REF!</v>
      </c>
      <c r="Y230" s="218" t="e">
        <f>IF(AND(organisation_name="yes",INDEX(Personnel[Amount],A230,1)&lt;&gt;"",ISBLANK(INDEX(Personnel[Name organisation],A230,1))),$B$147,"")</f>
        <v>#REF!</v>
      </c>
      <c r="Z230" s="218" t="str">
        <f>IFERROR(IF(AND(INDEX(Personnel[Costs],A230)&gt;0,INDEX(salaries_academic[[category]:[1]],MATCH(INDEX(Personnel[Category],A230),salaries_academic[category],0),3)&gt;0),$B$149,""),"")</f>
        <v/>
      </c>
      <c r="AA230" s="218"/>
    </row>
    <row r="231" spans="1:27" outlineLevel="1" x14ac:dyDescent="0.35">
      <c r="A231" s="195">
        <v>24</v>
      </c>
      <c r="B231" s="195" t="str">
        <f t="array" ref="B231">IFERROR(INDEX(personnel_ac_notes[[#This Row],[Exceeding nr months]:[Costs specified]],1,MATCH(TRUE,LEN(personnel_ac_notes[[#This Row],[Exceeding nr months]:[Costs specified]])&gt;0,0)),"")</f>
        <v/>
      </c>
      <c r="C231" s="195" t="str">
        <f>IFERROR(IF(INDEX(Personnel[Months],A231)&gt;Max_project_duration,$B$128,""),"")</f>
        <v/>
      </c>
      <c r="D231" s="195" t="str">
        <f>IFERROR(IF(AND(LEN(INDEX(Personnel[Category],A231))+LEN(INDEX(Personnel[FTE],A231))+LEN(INDEX(Personnel[Months],A231))&gt;0,LEN(INDEX(Personnel[Category],A231-1))+LEN(INDEX(Personnel[FTE],A231-1))+LEN(INDEX(Personnel[Months],A231-1))=0),$B$127,""),"")</f>
        <v/>
      </c>
      <c r="E231" s="195" t="str">
        <f>IF(AND(NOT(ISBLANK(INDEX(Personnel[Category],A231))),OR(ISBLANK(INDEX(Personnel[FTE],A231)),ISBLANK(INDEX(Personnel[Months],A231)))),VLOOKUP(INDEX(Personnel[Category],A231),salaries_academic[],2,FALSE),"")</f>
        <v/>
      </c>
      <c r="F231" s="195" t="str">
        <f>IFERROR(IF(COUNTIF(INDEX(Personnel[Category],A231),"*- PhD*")&gt;0,IF(INDEX(Personnel[Months],A231)*INDEX(Personnel[FTE],A231)&lt;pers_PhD_min_months,$B$129,""),""),"")</f>
        <v/>
      </c>
      <c r="G231" s="195" t="str">
        <f>IFERROR(IF(COUNTIF(INDEX(Personnel[Category],$A231),"*- PhD*")&gt;0,IF(INDEX(Personnel[Months],$A231)*INDEX(Personnel[FTE],$A231)&gt;pers_PhD_max_months,$B$130,""),""),"")</f>
        <v/>
      </c>
      <c r="H231" s="195" t="str">
        <f>IFERROR(IF(COUNTIF(INDEX(Personnel[Category],A231),"*year*")&gt;0,IF(INDEX(Personnel[Months],A231)*INDEX(Personnel[FTE],A231)&lt;pers_3yPhD_min_months,$B$131,""),""),"")</f>
        <v/>
      </c>
      <c r="I231" s="218" t="str">
        <f>IFERROR(IF(COUNTIF(INDEX(Personnel[Category],A231),"*PDEng*")&gt;0,IF(OR(IFERROR(MATCH("*PhD*",Personnel[Category],0),0)&gt;0,IFERROR(MATCH("*PostDoc*",Personnel[Category],0),0)&gt;0),"",$B$132),""),"")</f>
        <v/>
      </c>
      <c r="J231" s="218" t="str">
        <f>IFERROR(IF(COUNTIF(INDEX(Personnel[Category],A231),"*PDEng*")&gt;0,IF(INDEX(Personnel[Months],A231)*INDEX(Personnel[FTE],A231)&gt;pers_PDEng_max_months,$B$133,""),""),"")</f>
        <v/>
      </c>
      <c r="K231" s="218" t="str">
        <f>IFERROR(IF(COUNTIF(INDEX(Personnel[Category],A231),"*PostDoc*")&gt;0,IF(INDEX(Personnel[Months],A231)*INDEX(Personnel[FTE],A231)&lt;pers_PD_min_months,$B$134,""),""),"")</f>
        <v/>
      </c>
      <c r="L231" s="218" t="str">
        <f>IFERROR(IF(COUNTIF(INDEX(Personnel[Category],A231),"*PostDoc*")&gt;0,IF(INDEX(Personnel[Months],A231)*INDEX(Personnel[FTE],A231)&gt;pers_PD_max_months,$B$135,""),""),"")</f>
        <v/>
      </c>
      <c r="M231" s="218" t="str">
        <f>IFERROR(IF(COUNTIF(INDEX(Personnel[Category],A231),"*Non-scientific*")&gt;0,IF(OR(IFERROR(MATCH("*PhD*",Personnel[Category],0),0)&gt;0,IFERROR(MATCH("*PostDoc*",Personnel[Category],0),0)&gt;0),"",$B$136),""),"")</f>
        <v/>
      </c>
      <c r="N231" s="218" t="str">
        <f>IFERROR(IF(COUNTIF(INDEX(Personnel[Category],A231),"*Non-scientific*")&gt;0,IF(Total_NSP&gt;pers_max_NSP,$B$137,""),""),"")</f>
        <v/>
      </c>
      <c r="O231" s="218" t="str">
        <f>IFERROR(IF(COUNTIF(INDEX(Personnel[Category],A231),"*Non-scientific*")&gt;0,IF(INDEX(Personnel[Months],A231)*INDEX(Personnel[FTE],A231)&lt;pers_NSP_min_months,$B$138,""),""),"")</f>
        <v/>
      </c>
      <c r="P231" s="218" t="str">
        <f>IFERROR(IF(COUNTIF(INDEX(Personnel[Category],A231),"*Non-scientific*")&gt;0,IF(INDEX(Personnel[Months],A231)*INDEX(Personnel[FTE],A231)&gt;pers_NSP_max_months,$B$139,""),""),"")</f>
        <v/>
      </c>
      <c r="Q231" s="218" t="str">
        <f>IFERROR(IF(COUNTIF(INDEX(Personnel[Category],A231),"*Other scientific*")&gt;0,IF(OR(IFERROR(MATCH("*PhD*",Personnel[Category],0),0)&gt;0,IFERROR(MATCH("*PostDoc*",Personnel[Category],0),0)&gt;0),"",$B$140),""),"")</f>
        <v/>
      </c>
      <c r="R231" s="218" t="str">
        <f>IFERROR(IF(COUNTIF(INDEX(Personnel[Category],A231),"*Other scientific*")&gt;0,IF(Total_OSP&gt;pers_max_OSP,$B$141,""),""),"")</f>
        <v/>
      </c>
      <c r="S231" s="218" t="str">
        <f>IFERROR(IF(COUNTIF(INDEX(Personnel[Category],A231),"*Other scientific*")&gt;0,IF(INDEX(Personnel[Months],A231)*INDEX(Personnel[FTE],A231)&lt;pers_OSP_min_months,$B$142,""),""),"")</f>
        <v/>
      </c>
      <c r="T231" s="218" t="str">
        <f>IFERROR(IF(COUNTIF(INDEX(Personnel[Category],A231),"*Other scientific*")&gt;0,IF(INDEX(Personnel[Months],A231)*INDEX(Personnel[FTE],A231)&gt;pers_OSP_max_months,$B$143,""),""),"")</f>
        <v/>
      </c>
      <c r="U231" s="218" t="str">
        <f>IFERROR(IF(COUNTIF(INDEX(Personnel[Category],A231),"*leave*")&gt;0,IF(Total_Research_leave&gt;pers_leave_maxperc*Total_NWO_funding,$B$144,""),""),"")</f>
        <v/>
      </c>
      <c r="V231" s="218" t="str">
        <f>IFERROR(IF(COUNTIF(INDEX(Personnel[Category],A231),"*leave*")&gt;0,IF(Research_leave_FTE_months&gt;pers_leave_maxduration,$B$145,""),""),"")</f>
        <v/>
      </c>
      <c r="W231" s="218" t="str">
        <f>IFERROR(IF(AND(INDEX(Personnel[Costs],A231)=0,INDEX(salaries_academic[[category]:[1]],MATCH(INDEX(Personnel[Category],A231),salaries_academic[category],0),3)=0),$B$148,""),"")</f>
        <v/>
      </c>
      <c r="X231" s="218" t="e">
        <f>IF(AND(organisation_type="yes",INDEX(Personnel[Amount],A231,1)&lt;&gt;"",ISBLANK(INDEX(Personnel[Organisation type],A231,1))),$B$146,"")</f>
        <v>#REF!</v>
      </c>
      <c r="Y231" s="218" t="e">
        <f>IF(AND(organisation_name="yes",INDEX(Personnel[Amount],A231,1)&lt;&gt;"",ISBLANK(INDEX(Personnel[Name organisation],A231,1))),$B$147,"")</f>
        <v>#REF!</v>
      </c>
      <c r="Z231" s="218" t="str">
        <f>IFERROR(IF(AND(INDEX(Personnel[Costs],A231)&gt;0,INDEX(salaries_academic[[category]:[1]],MATCH(INDEX(Personnel[Category],A231),salaries_academic[category],0),3)&gt;0),$B$149,""),"")</f>
        <v/>
      </c>
      <c r="AA231" s="218"/>
    </row>
    <row r="232" spans="1:27" outlineLevel="1" x14ac:dyDescent="0.35">
      <c r="A232" s="195">
        <v>25</v>
      </c>
      <c r="B232" s="195" t="str">
        <f t="array" ref="B232">IFERROR(INDEX(personnel_ac_notes[[#This Row],[Exceeding nr months]:[Costs specified]],1,MATCH(TRUE,LEN(personnel_ac_notes[[#This Row],[Exceeding nr months]:[Costs specified]])&gt;0,0)),"")</f>
        <v/>
      </c>
      <c r="C232" s="195" t="str">
        <f>IFERROR(IF(INDEX(Personnel[Months],A232)&gt;Max_project_duration,$B$128,""),"")</f>
        <v/>
      </c>
      <c r="D232" s="195" t="str">
        <f>IFERROR(IF(AND(LEN(INDEX(Personnel[Category],A232))+LEN(INDEX(Personnel[FTE],A232))+LEN(INDEX(Personnel[Months],A232))&gt;0,LEN(INDEX(Personnel[Category],A232-1))+LEN(INDEX(Personnel[FTE],A232-1))+LEN(INDEX(Personnel[Months],A232-1))=0),$B$127,""),"")</f>
        <v/>
      </c>
      <c r="E232" s="195" t="str">
        <f>IF(AND(NOT(ISBLANK(INDEX(Personnel[Category],A232))),OR(ISBLANK(INDEX(Personnel[FTE],A232)),ISBLANK(INDEX(Personnel[Months],A232)))),VLOOKUP(INDEX(Personnel[Category],A232),salaries_academic[],2,FALSE),"")</f>
        <v/>
      </c>
      <c r="F232" s="195" t="str">
        <f>IFERROR(IF(COUNTIF(INDEX(Personnel[Category],A232),"*- PhD*")&gt;0,IF(INDEX(Personnel[Months],A232)*INDEX(Personnel[FTE],A232)&lt;pers_PhD_min_months,$B$129,""),""),"")</f>
        <v/>
      </c>
      <c r="G232" s="195" t="str">
        <f>IFERROR(IF(COUNTIF(INDEX(Personnel[Category],$A232),"*- PhD*")&gt;0,IF(INDEX(Personnel[Months],$A232)*INDEX(Personnel[FTE],$A232)&gt;pers_PhD_max_months,$B$130,""),""),"")</f>
        <v/>
      </c>
      <c r="H232" s="195" t="str">
        <f>IFERROR(IF(COUNTIF(INDEX(Personnel[Category],A232),"*year*")&gt;0,IF(INDEX(Personnel[Months],A232)*INDEX(Personnel[FTE],A232)&lt;pers_3yPhD_min_months,$B$131,""),""),"")</f>
        <v/>
      </c>
      <c r="I232" s="218" t="str">
        <f>IFERROR(IF(COUNTIF(INDEX(Personnel[Category],A232),"*PDEng*")&gt;0,IF(OR(IFERROR(MATCH("*PhD*",Personnel[Category],0),0)&gt;0,IFERROR(MATCH("*PostDoc*",Personnel[Category],0),0)&gt;0),"",$B$132),""),"")</f>
        <v/>
      </c>
      <c r="J232" s="218" t="str">
        <f>IFERROR(IF(COUNTIF(INDEX(Personnel[Category],A232),"*PDEng*")&gt;0,IF(INDEX(Personnel[Months],A232)*INDEX(Personnel[FTE],A232)&gt;pers_PDEng_max_months,$B$133,""),""),"")</f>
        <v/>
      </c>
      <c r="K232" s="218" t="str">
        <f>IFERROR(IF(COUNTIF(INDEX(Personnel[Category],A232),"*PostDoc*")&gt;0,IF(INDEX(Personnel[Months],A232)*INDEX(Personnel[FTE],A232)&lt;pers_PD_min_months,$B$134,""),""),"")</f>
        <v/>
      </c>
      <c r="L232" s="218" t="str">
        <f>IFERROR(IF(COUNTIF(INDEX(Personnel[Category],A232),"*PostDoc*")&gt;0,IF(INDEX(Personnel[Months],A232)*INDEX(Personnel[FTE],A232)&gt;pers_PD_max_months,$B$135,""),""),"")</f>
        <v/>
      </c>
      <c r="M232" s="218" t="str">
        <f>IFERROR(IF(COUNTIF(INDEX(Personnel[Category],A232),"*Non-scientific*")&gt;0,IF(OR(IFERROR(MATCH("*PhD*",Personnel[Category],0),0)&gt;0,IFERROR(MATCH("*PostDoc*",Personnel[Category],0),0)&gt;0),"",$B$136),""),"")</f>
        <v/>
      </c>
      <c r="N232" s="218" t="str">
        <f>IFERROR(IF(COUNTIF(INDEX(Personnel[Category],A232),"*Non-scientific*")&gt;0,IF(Total_NSP&gt;pers_max_NSP,$B$137,""),""),"")</f>
        <v/>
      </c>
      <c r="O232" s="218" t="str">
        <f>IFERROR(IF(COUNTIF(INDEX(Personnel[Category],A232),"*Non-scientific*")&gt;0,IF(INDEX(Personnel[Months],A232)*INDEX(Personnel[FTE],A232)&lt;pers_NSP_min_months,$B$138,""),""),"")</f>
        <v/>
      </c>
      <c r="P232" s="218" t="str">
        <f>IFERROR(IF(COUNTIF(INDEX(Personnel[Category],A232),"*Non-scientific*")&gt;0,IF(INDEX(Personnel[Months],A232)*INDEX(Personnel[FTE],A232)&gt;pers_NSP_max_months,$B$139,""),""),"")</f>
        <v/>
      </c>
      <c r="Q232" s="218" t="str">
        <f>IFERROR(IF(COUNTIF(INDEX(Personnel[Category],A232),"*Other scientific*")&gt;0,IF(OR(IFERROR(MATCH("*PhD*",Personnel[Category],0),0)&gt;0,IFERROR(MATCH("*PostDoc*",Personnel[Category],0),0)&gt;0),"",$B$140),""),"")</f>
        <v/>
      </c>
      <c r="R232" s="218" t="str">
        <f>IFERROR(IF(COUNTIF(INDEX(Personnel[Category],A232),"*Other scientific*")&gt;0,IF(Total_OSP&gt;pers_max_OSP,$B$141,""),""),"")</f>
        <v/>
      </c>
      <c r="S232" s="218" t="str">
        <f>IFERROR(IF(COUNTIF(INDEX(Personnel[Category],A232),"*Other scientific*")&gt;0,IF(INDEX(Personnel[Months],A232)*INDEX(Personnel[FTE],A232)&lt;pers_OSP_min_months,$B$142,""),""),"")</f>
        <v/>
      </c>
      <c r="T232" s="218" t="str">
        <f>IFERROR(IF(COUNTIF(INDEX(Personnel[Category],A232),"*Other scientific*")&gt;0,IF(INDEX(Personnel[Months],A232)*INDEX(Personnel[FTE],A232)&gt;pers_OSP_max_months,$B$143,""),""),"")</f>
        <v/>
      </c>
      <c r="U232" s="218" t="str">
        <f>IFERROR(IF(COUNTIF(INDEX(Personnel[Category],A232),"*leave*")&gt;0,IF(Total_Research_leave&gt;pers_leave_maxperc*Total_NWO_funding,$B$144,""),""),"")</f>
        <v/>
      </c>
      <c r="V232" s="218" t="str">
        <f>IFERROR(IF(COUNTIF(INDEX(Personnel[Category],A232),"*leave*")&gt;0,IF(Research_leave_FTE_months&gt;pers_leave_maxduration,$B$145,""),""),"")</f>
        <v/>
      </c>
      <c r="W232" s="218" t="str">
        <f>IFERROR(IF(AND(INDEX(Personnel[Costs],A232)=0,INDEX(salaries_academic[[category]:[1]],MATCH(INDEX(Personnel[Category],A232),salaries_academic[category],0),3)=0),$B$148,""),"")</f>
        <v/>
      </c>
      <c r="X232" s="218" t="e">
        <f>IF(AND(organisation_type="yes",INDEX(Personnel[Amount],A232,1)&lt;&gt;"",ISBLANK(INDEX(Personnel[Organisation type],A232,1))),$B$146,"")</f>
        <v>#REF!</v>
      </c>
      <c r="Y232" s="218" t="e">
        <f>IF(AND(organisation_name="yes",INDEX(Personnel[Amount],A232,1)&lt;&gt;"",ISBLANK(INDEX(Personnel[Name organisation],A232,1))),$B$147,"")</f>
        <v>#REF!</v>
      </c>
      <c r="Z232" s="218" t="str">
        <f>IFERROR(IF(AND(INDEX(Personnel[Costs],A232)&gt;0,INDEX(salaries_academic[[category]:[1]],MATCH(INDEX(Personnel[Category],A232),salaries_academic[category],0),3)&gt;0),$B$149,""),"")</f>
        <v/>
      </c>
      <c r="AA232" s="218"/>
    </row>
    <row r="233" spans="1:27" outlineLevel="1" x14ac:dyDescent="0.35">
      <c r="A233" s="195">
        <v>26</v>
      </c>
      <c r="B233" s="195" t="str">
        <f t="array" ref="B233">IFERROR(INDEX(personnel_ac_notes[[#This Row],[Exceeding nr months]:[Costs specified]],1,MATCH(TRUE,LEN(personnel_ac_notes[[#This Row],[Exceeding nr months]:[Costs specified]])&gt;0,0)),"")</f>
        <v/>
      </c>
      <c r="C233" s="195" t="str">
        <f>IFERROR(IF(INDEX(Personnel[Months],A233)&gt;Max_project_duration,$B$128,""),"")</f>
        <v/>
      </c>
      <c r="D233" s="195" t="str">
        <f>IFERROR(IF(AND(LEN(INDEX(Personnel[Category],A233))+LEN(INDEX(Personnel[FTE],A233))+LEN(INDEX(Personnel[Months],A233))&gt;0,LEN(INDEX(Personnel[Category],A233-1))+LEN(INDEX(Personnel[FTE],A233-1))+LEN(INDEX(Personnel[Months],A233-1))=0),$B$127,""),"")</f>
        <v/>
      </c>
      <c r="E233" s="195" t="str">
        <f>IF(AND(NOT(ISBLANK(INDEX(Personnel[Category],A233))),OR(ISBLANK(INDEX(Personnel[FTE],A233)),ISBLANK(INDEX(Personnel[Months],A233)))),VLOOKUP(INDEX(Personnel[Category],A233),salaries_academic[],2,FALSE),"")</f>
        <v/>
      </c>
      <c r="F233" s="195" t="str">
        <f>IFERROR(IF(COUNTIF(INDEX(Personnel[Category],A233),"*- PhD*")&gt;0,IF(INDEX(Personnel[Months],A233)*INDEX(Personnel[FTE],A233)&lt;pers_PhD_min_months,$B$129,""),""),"")</f>
        <v/>
      </c>
      <c r="G233" s="195" t="str">
        <f>IFERROR(IF(COUNTIF(INDEX(Personnel[Category],$A233),"*- PhD*")&gt;0,IF(INDEX(Personnel[Months],$A233)*INDEX(Personnel[FTE],$A233)&gt;pers_PhD_max_months,$B$130,""),""),"")</f>
        <v/>
      </c>
      <c r="H233" s="195" t="str">
        <f>IFERROR(IF(COUNTIF(INDEX(Personnel[Category],A233),"*year*")&gt;0,IF(INDEX(Personnel[Months],A233)*INDEX(Personnel[FTE],A233)&lt;pers_3yPhD_min_months,$B$131,""),""),"")</f>
        <v/>
      </c>
      <c r="I233" s="218" t="str">
        <f>IFERROR(IF(COUNTIF(INDEX(Personnel[Category],A233),"*PDEng*")&gt;0,IF(OR(IFERROR(MATCH("*PhD*",Personnel[Category],0),0)&gt;0,IFERROR(MATCH("*PostDoc*",Personnel[Category],0),0)&gt;0),"",$B$132),""),"")</f>
        <v/>
      </c>
      <c r="J233" s="218" t="str">
        <f>IFERROR(IF(COUNTIF(INDEX(Personnel[Category],A233),"*PDEng*")&gt;0,IF(INDEX(Personnel[Months],A233)*INDEX(Personnel[FTE],A233)&gt;pers_PDEng_max_months,$B$133,""),""),"")</f>
        <v/>
      </c>
      <c r="K233" s="218" t="str">
        <f>IFERROR(IF(COUNTIF(INDEX(Personnel[Category],A233),"*PostDoc*")&gt;0,IF(INDEX(Personnel[Months],A233)*INDEX(Personnel[FTE],A233)&lt;pers_PD_min_months,$B$134,""),""),"")</f>
        <v/>
      </c>
      <c r="L233" s="218" t="str">
        <f>IFERROR(IF(COUNTIF(INDEX(Personnel[Category],A233),"*PostDoc*")&gt;0,IF(INDEX(Personnel[Months],A233)*INDEX(Personnel[FTE],A233)&gt;pers_PD_max_months,$B$135,""),""),"")</f>
        <v/>
      </c>
      <c r="M233" s="218" t="str">
        <f>IFERROR(IF(COUNTIF(INDEX(Personnel[Category],A233),"*Non-scientific*")&gt;0,IF(OR(IFERROR(MATCH("*PhD*",Personnel[Category],0),0)&gt;0,IFERROR(MATCH("*PostDoc*",Personnel[Category],0),0)&gt;0),"",$B$136),""),"")</f>
        <v/>
      </c>
      <c r="N233" s="218" t="str">
        <f>IFERROR(IF(COUNTIF(INDEX(Personnel[Category],A233),"*Non-scientific*")&gt;0,IF(Total_NSP&gt;pers_max_NSP,$B$137,""),""),"")</f>
        <v/>
      </c>
      <c r="O233" s="218" t="str">
        <f>IFERROR(IF(COUNTIF(INDEX(Personnel[Category],A233),"*Non-scientific*")&gt;0,IF(INDEX(Personnel[Months],A233)*INDEX(Personnel[FTE],A233)&lt;pers_NSP_min_months,$B$138,""),""),"")</f>
        <v/>
      </c>
      <c r="P233" s="218" t="str">
        <f>IFERROR(IF(COUNTIF(INDEX(Personnel[Category],A233),"*Non-scientific*")&gt;0,IF(INDEX(Personnel[Months],A233)*INDEX(Personnel[FTE],A233)&gt;pers_NSP_max_months,$B$139,""),""),"")</f>
        <v/>
      </c>
      <c r="Q233" s="218" t="str">
        <f>IFERROR(IF(COUNTIF(INDEX(Personnel[Category],A233),"*Other scientific*")&gt;0,IF(OR(IFERROR(MATCH("*PhD*",Personnel[Category],0),0)&gt;0,IFERROR(MATCH("*PostDoc*",Personnel[Category],0),0)&gt;0),"",$B$140),""),"")</f>
        <v/>
      </c>
      <c r="R233" s="218" t="str">
        <f>IFERROR(IF(COUNTIF(INDEX(Personnel[Category],A233),"*Other scientific*")&gt;0,IF(Total_OSP&gt;pers_max_OSP,$B$141,""),""),"")</f>
        <v/>
      </c>
      <c r="S233" s="218" t="str">
        <f>IFERROR(IF(COUNTIF(INDEX(Personnel[Category],A233),"*Other scientific*")&gt;0,IF(INDEX(Personnel[Months],A233)*INDEX(Personnel[FTE],A233)&lt;pers_OSP_min_months,$B$142,""),""),"")</f>
        <v/>
      </c>
      <c r="T233" s="218" t="str">
        <f>IFERROR(IF(COUNTIF(INDEX(Personnel[Category],A233),"*Other scientific*")&gt;0,IF(INDEX(Personnel[Months],A233)*INDEX(Personnel[FTE],A233)&gt;pers_OSP_max_months,$B$143,""),""),"")</f>
        <v/>
      </c>
      <c r="U233" s="218" t="str">
        <f>IFERROR(IF(COUNTIF(INDEX(Personnel[Category],A233),"*leave*")&gt;0,IF(Total_Research_leave&gt;pers_leave_maxperc*Total_NWO_funding,$B$144,""),""),"")</f>
        <v/>
      </c>
      <c r="V233" s="218" t="str">
        <f>IFERROR(IF(COUNTIF(INDEX(Personnel[Category],A233),"*leave*")&gt;0,IF(Research_leave_FTE_months&gt;pers_leave_maxduration,$B$145,""),""),"")</f>
        <v/>
      </c>
      <c r="W233" s="218" t="str">
        <f>IFERROR(IF(AND(INDEX(Personnel[Costs],A233)=0,INDEX(salaries_academic[[category]:[1]],MATCH(INDEX(Personnel[Category],A233),salaries_academic[category],0),3)=0),$B$148,""),"")</f>
        <v/>
      </c>
      <c r="X233" s="218" t="e">
        <f>IF(AND(organisation_type="yes",INDEX(Personnel[Amount],A233,1)&lt;&gt;"",ISBLANK(INDEX(Personnel[Organisation type],A233,1))),$B$146,"")</f>
        <v>#REF!</v>
      </c>
      <c r="Y233" s="218" t="e">
        <f>IF(AND(organisation_name="yes",INDEX(Personnel[Amount],A233,1)&lt;&gt;"",ISBLANK(INDEX(Personnel[Name organisation],A233,1))),$B$147,"")</f>
        <v>#REF!</v>
      </c>
      <c r="Z233" s="218" t="str">
        <f>IFERROR(IF(AND(INDEX(Personnel[Costs],A233)&gt;0,INDEX(salaries_academic[[category]:[1]],MATCH(INDEX(Personnel[Category],A233),salaries_academic[category],0),3)&gt;0),$B$149,""),"")</f>
        <v/>
      </c>
      <c r="AA233" s="218"/>
    </row>
    <row r="234" spans="1:27" outlineLevel="1" x14ac:dyDescent="0.35">
      <c r="A234" s="195">
        <v>27</v>
      </c>
      <c r="B234" s="195" t="str">
        <f t="array" ref="B234">IFERROR(INDEX(personnel_ac_notes[[#This Row],[Exceeding nr months]:[Costs specified]],1,MATCH(TRUE,LEN(personnel_ac_notes[[#This Row],[Exceeding nr months]:[Costs specified]])&gt;0,0)),"")</f>
        <v/>
      </c>
      <c r="C234" s="195" t="str">
        <f>IFERROR(IF(INDEX(Personnel[Months],A234)&gt;Max_project_duration,$B$128,""),"")</f>
        <v/>
      </c>
      <c r="D234" s="195" t="str">
        <f>IFERROR(IF(AND(LEN(INDEX(Personnel[Category],A234))+LEN(INDEX(Personnel[FTE],A234))+LEN(INDEX(Personnel[Months],A234))&gt;0,LEN(INDEX(Personnel[Category],A234-1))+LEN(INDEX(Personnel[FTE],A234-1))+LEN(INDEX(Personnel[Months],A234-1))=0),$B$127,""),"")</f>
        <v/>
      </c>
      <c r="E234" s="195" t="str">
        <f>IF(AND(NOT(ISBLANK(INDEX(Personnel[Category],A234))),OR(ISBLANK(INDEX(Personnel[FTE],A234)),ISBLANK(INDEX(Personnel[Months],A234)))),VLOOKUP(INDEX(Personnel[Category],A234),salaries_academic[],2,FALSE),"")</f>
        <v/>
      </c>
      <c r="F234" s="195" t="str">
        <f>IFERROR(IF(COUNTIF(INDEX(Personnel[Category],A234),"*- PhD*")&gt;0,IF(INDEX(Personnel[Months],A234)*INDEX(Personnel[FTE],A234)&lt;pers_PhD_min_months,$B$129,""),""),"")</f>
        <v/>
      </c>
      <c r="G234" s="195" t="str">
        <f>IFERROR(IF(COUNTIF(INDEX(Personnel[Category],$A234),"*- PhD*")&gt;0,IF(INDEX(Personnel[Months],$A234)*INDEX(Personnel[FTE],$A234)&gt;pers_PhD_max_months,$B$130,""),""),"")</f>
        <v/>
      </c>
      <c r="H234" s="195" t="str">
        <f>IFERROR(IF(COUNTIF(INDEX(Personnel[Category],A234),"*year*")&gt;0,IF(INDEX(Personnel[Months],A234)*INDEX(Personnel[FTE],A234)&lt;pers_3yPhD_min_months,$B$131,""),""),"")</f>
        <v/>
      </c>
      <c r="I234" s="218" t="str">
        <f>IFERROR(IF(COUNTIF(INDEX(Personnel[Category],A234),"*PDEng*")&gt;0,IF(OR(IFERROR(MATCH("*PhD*",Personnel[Category],0),0)&gt;0,IFERROR(MATCH("*PostDoc*",Personnel[Category],0),0)&gt;0),"",$B$132),""),"")</f>
        <v/>
      </c>
      <c r="J234" s="218" t="str">
        <f>IFERROR(IF(COUNTIF(INDEX(Personnel[Category],A234),"*PDEng*")&gt;0,IF(INDEX(Personnel[Months],A234)*INDEX(Personnel[FTE],A234)&gt;pers_PDEng_max_months,$B$133,""),""),"")</f>
        <v/>
      </c>
      <c r="K234" s="218" t="str">
        <f>IFERROR(IF(COUNTIF(INDEX(Personnel[Category],A234),"*PostDoc*")&gt;0,IF(INDEX(Personnel[Months],A234)*INDEX(Personnel[FTE],A234)&lt;pers_PD_min_months,$B$134,""),""),"")</f>
        <v/>
      </c>
      <c r="L234" s="218" t="str">
        <f>IFERROR(IF(COUNTIF(INDEX(Personnel[Category],A234),"*PostDoc*")&gt;0,IF(INDEX(Personnel[Months],A234)*INDEX(Personnel[FTE],A234)&gt;pers_PD_max_months,$B$135,""),""),"")</f>
        <v/>
      </c>
      <c r="M234" s="218" t="str">
        <f>IFERROR(IF(COUNTIF(INDEX(Personnel[Category],A234),"*Non-scientific*")&gt;0,IF(OR(IFERROR(MATCH("*PhD*",Personnel[Category],0),0)&gt;0,IFERROR(MATCH("*PostDoc*",Personnel[Category],0),0)&gt;0),"",$B$136),""),"")</f>
        <v/>
      </c>
      <c r="N234" s="218" t="str">
        <f>IFERROR(IF(COUNTIF(INDEX(Personnel[Category],A234),"*Non-scientific*")&gt;0,IF(Total_NSP&gt;pers_max_NSP,$B$137,""),""),"")</f>
        <v/>
      </c>
      <c r="O234" s="218" t="str">
        <f>IFERROR(IF(COUNTIF(INDEX(Personnel[Category],A234),"*Non-scientific*")&gt;0,IF(INDEX(Personnel[Months],A234)*INDEX(Personnel[FTE],A234)&lt;pers_NSP_min_months,$B$138,""),""),"")</f>
        <v/>
      </c>
      <c r="P234" s="218" t="str">
        <f>IFERROR(IF(COUNTIF(INDEX(Personnel[Category],A234),"*Non-scientific*")&gt;0,IF(INDEX(Personnel[Months],A234)*INDEX(Personnel[FTE],A234)&gt;pers_NSP_max_months,$B$139,""),""),"")</f>
        <v/>
      </c>
      <c r="Q234" s="218" t="str">
        <f>IFERROR(IF(COUNTIF(INDEX(Personnel[Category],A234),"*Other scientific*")&gt;0,IF(OR(IFERROR(MATCH("*PhD*",Personnel[Category],0),0)&gt;0,IFERROR(MATCH("*PostDoc*",Personnel[Category],0),0)&gt;0),"",$B$140),""),"")</f>
        <v/>
      </c>
      <c r="R234" s="218" t="str">
        <f>IFERROR(IF(COUNTIF(INDEX(Personnel[Category],A234),"*Other scientific*")&gt;0,IF(Total_OSP&gt;pers_max_OSP,$B$141,""),""),"")</f>
        <v/>
      </c>
      <c r="S234" s="218" t="str">
        <f>IFERROR(IF(COUNTIF(INDEX(Personnel[Category],A234),"*Other scientific*")&gt;0,IF(INDEX(Personnel[Months],A234)*INDEX(Personnel[FTE],A234)&lt;pers_OSP_min_months,$B$142,""),""),"")</f>
        <v/>
      </c>
      <c r="T234" s="218" t="str">
        <f>IFERROR(IF(COUNTIF(INDEX(Personnel[Category],A234),"*Other scientific*")&gt;0,IF(INDEX(Personnel[Months],A234)*INDEX(Personnel[FTE],A234)&gt;pers_OSP_max_months,$B$143,""),""),"")</f>
        <v/>
      </c>
      <c r="U234" s="218" t="str">
        <f>IFERROR(IF(COUNTIF(INDEX(Personnel[Category],A234),"*leave*")&gt;0,IF(Total_Research_leave&gt;pers_leave_maxperc*Total_NWO_funding,$B$144,""),""),"")</f>
        <v/>
      </c>
      <c r="V234" s="218" t="str">
        <f>IFERROR(IF(COUNTIF(INDEX(Personnel[Category],A234),"*leave*")&gt;0,IF(Research_leave_FTE_months&gt;pers_leave_maxduration,$B$145,""),""),"")</f>
        <v/>
      </c>
      <c r="W234" s="218" t="str">
        <f>IFERROR(IF(AND(INDEX(Personnel[Costs],A234)=0,INDEX(salaries_academic[[category]:[1]],MATCH(INDEX(Personnel[Category],A234),salaries_academic[category],0),3)=0),$B$148,""),"")</f>
        <v/>
      </c>
      <c r="X234" s="218" t="e">
        <f>IF(AND(organisation_type="yes",INDEX(Personnel[Amount],A234,1)&lt;&gt;"",ISBLANK(INDEX(Personnel[Organisation type],A234,1))),$B$146,"")</f>
        <v>#REF!</v>
      </c>
      <c r="Y234" s="218" t="e">
        <f>IF(AND(organisation_name="yes",INDEX(Personnel[Amount],A234,1)&lt;&gt;"",ISBLANK(INDEX(Personnel[Name organisation],A234,1))),$B$147,"")</f>
        <v>#REF!</v>
      </c>
      <c r="Z234" s="218" t="str">
        <f>IFERROR(IF(AND(INDEX(Personnel[Costs],A234)&gt;0,INDEX(salaries_academic[[category]:[1]],MATCH(INDEX(Personnel[Category],A234),salaries_academic[category],0),3)&gt;0),$B$149,""),"")</f>
        <v/>
      </c>
      <c r="AA234" s="218"/>
    </row>
    <row r="235" spans="1:27" outlineLevel="1" x14ac:dyDescent="0.35">
      <c r="A235" s="195">
        <v>28</v>
      </c>
      <c r="B235" s="195" t="str">
        <f t="array" ref="B235">IFERROR(INDEX(personnel_ac_notes[[#This Row],[Exceeding nr months]:[Costs specified]],1,MATCH(TRUE,LEN(personnel_ac_notes[[#This Row],[Exceeding nr months]:[Costs specified]])&gt;0,0)),"")</f>
        <v/>
      </c>
      <c r="C235" s="195" t="str">
        <f>IFERROR(IF(INDEX(Personnel[Months],A235)&gt;Max_project_duration,$B$128,""),"")</f>
        <v/>
      </c>
      <c r="D235" s="195" t="str">
        <f>IFERROR(IF(AND(LEN(INDEX(Personnel[Category],A235))+LEN(INDEX(Personnel[FTE],A235))+LEN(INDEX(Personnel[Months],A235))&gt;0,LEN(INDEX(Personnel[Category],A235-1))+LEN(INDEX(Personnel[FTE],A235-1))+LEN(INDEX(Personnel[Months],A235-1))=0),$B$127,""),"")</f>
        <v/>
      </c>
      <c r="E235" s="195" t="str">
        <f>IF(AND(NOT(ISBLANK(INDEX(Personnel[Category],A235))),OR(ISBLANK(INDEX(Personnel[FTE],A235)),ISBLANK(INDEX(Personnel[Months],A235)))),VLOOKUP(INDEX(Personnel[Category],A235),salaries_academic[],2,FALSE),"")</f>
        <v/>
      </c>
      <c r="F235" s="195" t="str">
        <f>IFERROR(IF(COUNTIF(INDEX(Personnel[Category],A235),"*- PhD*")&gt;0,IF(INDEX(Personnel[Months],A235)*INDEX(Personnel[FTE],A235)&lt;pers_PhD_min_months,$B$129,""),""),"")</f>
        <v/>
      </c>
      <c r="G235" s="195" t="str">
        <f>IFERROR(IF(COUNTIF(INDEX(Personnel[Category],$A235),"*- PhD*")&gt;0,IF(INDEX(Personnel[Months],$A235)*INDEX(Personnel[FTE],$A235)&gt;pers_PhD_max_months,$B$130,""),""),"")</f>
        <v/>
      </c>
      <c r="H235" s="195" t="str">
        <f>IFERROR(IF(COUNTIF(INDEX(Personnel[Category],A235),"*year*")&gt;0,IF(INDEX(Personnel[Months],A235)*INDEX(Personnel[FTE],A235)&lt;pers_3yPhD_min_months,$B$131,""),""),"")</f>
        <v/>
      </c>
      <c r="I235" s="218" t="str">
        <f>IFERROR(IF(COUNTIF(INDEX(Personnel[Category],A235),"*PDEng*")&gt;0,IF(OR(IFERROR(MATCH("*PhD*",Personnel[Category],0),0)&gt;0,IFERROR(MATCH("*PostDoc*",Personnel[Category],0),0)&gt;0),"",$B$132),""),"")</f>
        <v/>
      </c>
      <c r="J235" s="218" t="str">
        <f>IFERROR(IF(COUNTIF(INDEX(Personnel[Category],A235),"*PDEng*")&gt;0,IF(INDEX(Personnel[Months],A235)*INDEX(Personnel[FTE],A235)&gt;pers_PDEng_max_months,$B$133,""),""),"")</f>
        <v/>
      </c>
      <c r="K235" s="218" t="str">
        <f>IFERROR(IF(COUNTIF(INDEX(Personnel[Category],A235),"*PostDoc*")&gt;0,IF(INDEX(Personnel[Months],A235)*INDEX(Personnel[FTE],A235)&lt;pers_PD_min_months,$B$134,""),""),"")</f>
        <v/>
      </c>
      <c r="L235" s="218" t="str">
        <f>IFERROR(IF(COUNTIF(INDEX(Personnel[Category],A235),"*PostDoc*")&gt;0,IF(INDEX(Personnel[Months],A235)*INDEX(Personnel[FTE],A235)&gt;pers_PD_max_months,$B$135,""),""),"")</f>
        <v/>
      </c>
      <c r="M235" s="218" t="str">
        <f>IFERROR(IF(COUNTIF(INDEX(Personnel[Category],A235),"*Non-scientific*")&gt;0,IF(OR(IFERROR(MATCH("*PhD*",Personnel[Category],0),0)&gt;0,IFERROR(MATCH("*PostDoc*",Personnel[Category],0),0)&gt;0),"",$B$136),""),"")</f>
        <v/>
      </c>
      <c r="N235" s="218" t="str">
        <f>IFERROR(IF(COUNTIF(INDEX(Personnel[Category],A235),"*Non-scientific*")&gt;0,IF(Total_NSP&gt;pers_max_NSP,$B$137,""),""),"")</f>
        <v/>
      </c>
      <c r="O235" s="218" t="str">
        <f>IFERROR(IF(COUNTIF(INDEX(Personnel[Category],A235),"*Non-scientific*")&gt;0,IF(INDEX(Personnel[Months],A235)*INDEX(Personnel[FTE],A235)&lt;pers_NSP_min_months,$B$138,""),""),"")</f>
        <v/>
      </c>
      <c r="P235" s="218" t="str">
        <f>IFERROR(IF(COUNTIF(INDEX(Personnel[Category],A235),"*Non-scientific*")&gt;0,IF(INDEX(Personnel[Months],A235)*INDEX(Personnel[FTE],A235)&gt;pers_NSP_max_months,$B$139,""),""),"")</f>
        <v/>
      </c>
      <c r="Q235" s="218" t="str">
        <f>IFERROR(IF(COUNTIF(INDEX(Personnel[Category],A235),"*Other scientific*")&gt;0,IF(OR(IFERROR(MATCH("*PhD*",Personnel[Category],0),0)&gt;0,IFERROR(MATCH("*PostDoc*",Personnel[Category],0),0)&gt;0),"",$B$140),""),"")</f>
        <v/>
      </c>
      <c r="R235" s="218" t="str">
        <f>IFERROR(IF(COUNTIF(INDEX(Personnel[Category],A235),"*Other scientific*")&gt;0,IF(Total_OSP&gt;pers_max_OSP,$B$141,""),""),"")</f>
        <v/>
      </c>
      <c r="S235" s="218" t="str">
        <f>IFERROR(IF(COUNTIF(INDEX(Personnel[Category],A235),"*Other scientific*")&gt;0,IF(INDEX(Personnel[Months],A235)*INDEX(Personnel[FTE],A235)&lt;pers_OSP_min_months,$B$142,""),""),"")</f>
        <v/>
      </c>
      <c r="T235" s="218" t="str">
        <f>IFERROR(IF(COUNTIF(INDEX(Personnel[Category],A235),"*Other scientific*")&gt;0,IF(INDEX(Personnel[Months],A235)*INDEX(Personnel[FTE],A235)&gt;pers_OSP_max_months,$B$143,""),""),"")</f>
        <v/>
      </c>
      <c r="U235" s="218" t="str">
        <f>IFERROR(IF(COUNTIF(INDEX(Personnel[Category],A235),"*leave*")&gt;0,IF(Total_Research_leave&gt;pers_leave_maxperc*Total_NWO_funding,$B$144,""),""),"")</f>
        <v/>
      </c>
      <c r="V235" s="218" t="str">
        <f>IFERROR(IF(COUNTIF(INDEX(Personnel[Category],A235),"*leave*")&gt;0,IF(Research_leave_FTE_months&gt;pers_leave_maxduration,$B$145,""),""),"")</f>
        <v/>
      </c>
      <c r="W235" s="218" t="str">
        <f>IFERROR(IF(AND(INDEX(Personnel[Costs],A235)=0,INDEX(salaries_academic[[category]:[1]],MATCH(INDEX(Personnel[Category],A235),salaries_academic[category],0),3)=0),$B$148,""),"")</f>
        <v/>
      </c>
      <c r="X235" s="218" t="e">
        <f>IF(AND(organisation_type="yes",INDEX(Personnel[Amount],A235,1)&lt;&gt;"",ISBLANK(INDEX(Personnel[Organisation type],A235,1))),$B$146,"")</f>
        <v>#REF!</v>
      </c>
      <c r="Y235" s="218" t="e">
        <f>IF(AND(organisation_name="yes",INDEX(Personnel[Amount],A235,1)&lt;&gt;"",ISBLANK(INDEX(Personnel[Name organisation],A235,1))),$B$147,"")</f>
        <v>#REF!</v>
      </c>
      <c r="Z235" s="218" t="str">
        <f>IFERROR(IF(AND(INDEX(Personnel[Costs],A235)&gt;0,INDEX(salaries_academic[[category]:[1]],MATCH(INDEX(Personnel[Category],A235),salaries_academic[category],0),3)&gt;0),$B$149,""),"")</f>
        <v/>
      </c>
      <c r="AA235" s="218"/>
    </row>
    <row r="236" spans="1:27" outlineLevel="1" x14ac:dyDescent="0.35">
      <c r="A236" s="195">
        <v>29</v>
      </c>
      <c r="B236" s="195" t="str">
        <f t="array" ref="B236">IFERROR(INDEX(personnel_ac_notes[[#This Row],[Exceeding nr months]:[Costs specified]],1,MATCH(TRUE,LEN(personnel_ac_notes[[#This Row],[Exceeding nr months]:[Costs specified]])&gt;0,0)),"")</f>
        <v/>
      </c>
      <c r="C236" s="195" t="str">
        <f>IFERROR(IF(INDEX(Personnel[Months],A236)&gt;Max_project_duration,$B$128,""),"")</f>
        <v/>
      </c>
      <c r="D236" s="195" t="str">
        <f>IFERROR(IF(AND(LEN(INDEX(Personnel[Category],A236))+LEN(INDEX(Personnel[FTE],A236))+LEN(INDEX(Personnel[Months],A236))&gt;0,LEN(INDEX(Personnel[Category],A236-1))+LEN(INDEX(Personnel[FTE],A236-1))+LEN(INDEX(Personnel[Months],A236-1))=0),$B$127,""),"")</f>
        <v/>
      </c>
      <c r="E236" s="195" t="str">
        <f>IF(AND(NOT(ISBLANK(INDEX(Personnel[Category],A236))),OR(ISBLANK(INDEX(Personnel[FTE],A236)),ISBLANK(INDEX(Personnel[Months],A236)))),VLOOKUP(INDEX(Personnel[Category],A236),salaries_academic[],2,FALSE),"")</f>
        <v/>
      </c>
      <c r="F236" s="195" t="str">
        <f>IFERROR(IF(COUNTIF(INDEX(Personnel[Category],A236),"*- PhD*")&gt;0,IF(INDEX(Personnel[Months],A236)*INDEX(Personnel[FTE],A236)&lt;pers_PhD_min_months,$B$129,""),""),"")</f>
        <v/>
      </c>
      <c r="G236" s="195" t="str">
        <f>IFERROR(IF(COUNTIF(INDEX(Personnel[Category],$A236),"*- PhD*")&gt;0,IF(INDEX(Personnel[Months],$A236)*INDEX(Personnel[FTE],$A236)&gt;pers_PhD_max_months,$B$130,""),""),"")</f>
        <v/>
      </c>
      <c r="H236" s="195" t="str">
        <f>IFERROR(IF(COUNTIF(INDEX(Personnel[Category],A236),"*year*")&gt;0,IF(INDEX(Personnel[Months],A236)*INDEX(Personnel[FTE],A236)&lt;pers_3yPhD_min_months,$B$131,""),""),"")</f>
        <v/>
      </c>
      <c r="I236" s="218" t="str">
        <f>IFERROR(IF(COUNTIF(INDEX(Personnel[Category],A236),"*PDEng*")&gt;0,IF(OR(IFERROR(MATCH("*PhD*",Personnel[Category],0),0)&gt;0,IFERROR(MATCH("*PostDoc*",Personnel[Category],0),0)&gt;0),"",$B$132),""),"")</f>
        <v/>
      </c>
      <c r="J236" s="218" t="str">
        <f>IFERROR(IF(COUNTIF(INDEX(Personnel[Category],A236),"*PDEng*")&gt;0,IF(INDEX(Personnel[Months],A236)*INDEX(Personnel[FTE],A236)&gt;pers_PDEng_max_months,$B$133,""),""),"")</f>
        <v/>
      </c>
      <c r="K236" s="218" t="str">
        <f>IFERROR(IF(COUNTIF(INDEX(Personnel[Category],A236),"*PostDoc*")&gt;0,IF(INDEX(Personnel[Months],A236)*INDEX(Personnel[FTE],A236)&lt;pers_PD_min_months,$B$134,""),""),"")</f>
        <v/>
      </c>
      <c r="L236" s="218" t="str">
        <f>IFERROR(IF(COUNTIF(INDEX(Personnel[Category],A236),"*PostDoc*")&gt;0,IF(INDEX(Personnel[Months],A236)*INDEX(Personnel[FTE],A236)&gt;pers_PD_max_months,$B$135,""),""),"")</f>
        <v/>
      </c>
      <c r="M236" s="218" t="str">
        <f>IFERROR(IF(COUNTIF(INDEX(Personnel[Category],A236),"*Non-scientific*")&gt;0,IF(OR(IFERROR(MATCH("*PhD*",Personnel[Category],0),0)&gt;0,IFERROR(MATCH("*PostDoc*",Personnel[Category],0),0)&gt;0),"",$B$136),""),"")</f>
        <v/>
      </c>
      <c r="N236" s="218" t="str">
        <f>IFERROR(IF(COUNTIF(INDEX(Personnel[Category],A236),"*Non-scientific*")&gt;0,IF(Total_NSP&gt;pers_max_NSP,$B$137,""),""),"")</f>
        <v/>
      </c>
      <c r="O236" s="218" t="str">
        <f>IFERROR(IF(COUNTIF(INDEX(Personnel[Category],A236),"*Non-scientific*")&gt;0,IF(INDEX(Personnel[Months],A236)*INDEX(Personnel[FTE],A236)&lt;pers_NSP_min_months,$B$138,""),""),"")</f>
        <v/>
      </c>
      <c r="P236" s="218" t="str">
        <f>IFERROR(IF(COUNTIF(INDEX(Personnel[Category],A236),"*Non-scientific*")&gt;0,IF(INDEX(Personnel[Months],A236)*INDEX(Personnel[FTE],A236)&gt;pers_NSP_max_months,$B$139,""),""),"")</f>
        <v/>
      </c>
      <c r="Q236" s="218" t="str">
        <f>IFERROR(IF(COUNTIF(INDEX(Personnel[Category],A236),"*Other scientific*")&gt;0,IF(OR(IFERROR(MATCH("*PhD*",Personnel[Category],0),0)&gt;0,IFERROR(MATCH("*PostDoc*",Personnel[Category],0),0)&gt;0),"",$B$140),""),"")</f>
        <v/>
      </c>
      <c r="R236" s="218" t="str">
        <f>IFERROR(IF(COUNTIF(INDEX(Personnel[Category],A236),"*Other scientific*")&gt;0,IF(Total_OSP&gt;pers_max_OSP,$B$141,""),""),"")</f>
        <v/>
      </c>
      <c r="S236" s="218" t="str">
        <f>IFERROR(IF(COUNTIF(INDEX(Personnel[Category],A236),"*Other scientific*")&gt;0,IF(INDEX(Personnel[Months],A236)*INDEX(Personnel[FTE],A236)&lt;pers_OSP_min_months,$B$142,""),""),"")</f>
        <v/>
      </c>
      <c r="T236" s="218" t="str">
        <f>IFERROR(IF(COUNTIF(INDEX(Personnel[Category],A236),"*Other scientific*")&gt;0,IF(INDEX(Personnel[Months],A236)*INDEX(Personnel[FTE],A236)&gt;pers_OSP_max_months,$B$143,""),""),"")</f>
        <v/>
      </c>
      <c r="U236" s="218" t="str">
        <f>IFERROR(IF(COUNTIF(INDEX(Personnel[Category],A236),"*leave*")&gt;0,IF(Total_Research_leave&gt;pers_leave_maxperc*Total_NWO_funding,$B$144,""),""),"")</f>
        <v/>
      </c>
      <c r="V236" s="218" t="str">
        <f>IFERROR(IF(COUNTIF(INDEX(Personnel[Category],A236),"*leave*")&gt;0,IF(Research_leave_FTE_months&gt;pers_leave_maxduration,$B$145,""),""),"")</f>
        <v/>
      </c>
      <c r="W236" s="218" t="str">
        <f>IFERROR(IF(AND(INDEX(Personnel[Costs],A236)=0,INDEX(salaries_academic[[category]:[1]],MATCH(INDEX(Personnel[Category],A236),salaries_academic[category],0),3)=0),$B$148,""),"")</f>
        <v/>
      </c>
      <c r="X236" s="218" t="e">
        <f>IF(AND(organisation_type="yes",INDEX(Personnel[Amount],A236,1)&lt;&gt;"",ISBLANK(INDEX(Personnel[Organisation type],A236,1))),$B$146,"")</f>
        <v>#REF!</v>
      </c>
      <c r="Y236" s="218" t="e">
        <f>IF(AND(organisation_name="yes",INDEX(Personnel[Amount],A236,1)&lt;&gt;"",ISBLANK(INDEX(Personnel[Name organisation],A236,1))),$B$147,"")</f>
        <v>#REF!</v>
      </c>
      <c r="Z236" s="218" t="str">
        <f>IFERROR(IF(AND(INDEX(Personnel[Costs],A236)&gt;0,INDEX(salaries_academic[[category]:[1]],MATCH(INDEX(Personnel[Category],A236),salaries_academic[category],0),3)&gt;0),$B$149,""),"")</f>
        <v/>
      </c>
      <c r="AA236" s="218"/>
    </row>
    <row r="237" spans="1:27" outlineLevel="1" x14ac:dyDescent="0.35">
      <c r="A237" s="195">
        <v>30</v>
      </c>
      <c r="B237" s="195" t="str">
        <f t="array" ref="B237">IFERROR(INDEX(personnel_ac_notes[[#This Row],[Exceeding nr months]:[Costs specified]],1,MATCH(TRUE,LEN(personnel_ac_notes[[#This Row],[Exceeding nr months]:[Costs specified]])&gt;0,0)),"")</f>
        <v/>
      </c>
      <c r="C237" s="195" t="str">
        <f>IFERROR(IF(INDEX(Personnel[Months],A237)&gt;Max_project_duration,$B$128,""),"")</f>
        <v/>
      </c>
      <c r="D237" s="195" t="str">
        <f>IFERROR(IF(AND(LEN(INDEX(Personnel[Category],A237))+LEN(INDEX(Personnel[FTE],A237))+LEN(INDEX(Personnel[Months],A237))&gt;0,LEN(INDEX(Personnel[Category],A237-1))+LEN(INDEX(Personnel[FTE],A237-1))+LEN(INDEX(Personnel[Months],A237-1))=0),$B$127,""),"")</f>
        <v/>
      </c>
      <c r="E237" s="195" t="str">
        <f>IF(AND(NOT(ISBLANK(INDEX(Personnel[Category],A237))),OR(ISBLANK(INDEX(Personnel[FTE],A237)),ISBLANK(INDEX(Personnel[Months],A237)))),VLOOKUP(INDEX(Personnel[Category],A237),salaries_academic[],2,FALSE),"")</f>
        <v/>
      </c>
      <c r="F237" s="195" t="str">
        <f>IFERROR(IF(COUNTIF(INDEX(Personnel[Category],A237),"*- PhD*")&gt;0,IF(INDEX(Personnel[Months],A237)*INDEX(Personnel[FTE],A237)&lt;pers_PhD_min_months,$B$129,""),""),"")</f>
        <v/>
      </c>
      <c r="G237" s="195" t="str">
        <f>IFERROR(IF(COUNTIF(INDEX(Personnel[Category],$A237),"*- PhD*")&gt;0,IF(INDEX(Personnel[Months],$A237)*INDEX(Personnel[FTE],$A237)&gt;pers_PhD_max_months,$B$130,""),""),"")</f>
        <v/>
      </c>
      <c r="H237" s="195" t="str">
        <f>IFERROR(IF(COUNTIF(INDEX(Personnel[Category],A237),"*year*")&gt;0,IF(INDEX(Personnel[Months],A237)*INDEX(Personnel[FTE],A237)&lt;pers_3yPhD_min_months,$B$131,""),""),"")</f>
        <v/>
      </c>
      <c r="I237" s="218" t="str">
        <f>IFERROR(IF(COUNTIF(INDEX(Personnel[Category],A237),"*PDEng*")&gt;0,IF(OR(IFERROR(MATCH("*PhD*",Personnel[Category],0),0)&gt;0,IFERROR(MATCH("*PostDoc*",Personnel[Category],0),0)&gt;0),"",$B$132),""),"")</f>
        <v/>
      </c>
      <c r="J237" s="218" t="str">
        <f>IFERROR(IF(COUNTIF(INDEX(Personnel[Category],A237),"*PDEng*")&gt;0,IF(INDEX(Personnel[Months],A237)*INDEX(Personnel[FTE],A237)&gt;pers_PDEng_max_months,$B$133,""),""),"")</f>
        <v/>
      </c>
      <c r="K237" s="218" t="str">
        <f>IFERROR(IF(COUNTIF(INDEX(Personnel[Category],A237),"*PostDoc*")&gt;0,IF(INDEX(Personnel[Months],A237)*INDEX(Personnel[FTE],A237)&lt;pers_PD_min_months,$B$134,""),""),"")</f>
        <v/>
      </c>
      <c r="L237" s="218" t="str">
        <f>IFERROR(IF(COUNTIF(INDEX(Personnel[Category],A237),"*PostDoc*")&gt;0,IF(INDEX(Personnel[Months],A237)*INDEX(Personnel[FTE],A237)&gt;pers_PD_max_months,$B$135,""),""),"")</f>
        <v/>
      </c>
      <c r="M237" s="218" t="str">
        <f>IFERROR(IF(COUNTIF(INDEX(Personnel[Category],A237),"*Non-scientific*")&gt;0,IF(OR(IFERROR(MATCH("*PhD*",Personnel[Category],0),0)&gt;0,IFERROR(MATCH("*PostDoc*",Personnel[Category],0),0)&gt;0),"",$B$136),""),"")</f>
        <v/>
      </c>
      <c r="N237" s="218" t="str">
        <f>IFERROR(IF(COUNTIF(INDEX(Personnel[Category],A237),"*Non-scientific*")&gt;0,IF(Total_NSP&gt;pers_max_NSP,$B$137,""),""),"")</f>
        <v/>
      </c>
      <c r="O237" s="218" t="str">
        <f>IFERROR(IF(COUNTIF(INDEX(Personnel[Category],A237),"*Non-scientific*")&gt;0,IF(INDEX(Personnel[Months],A237)*INDEX(Personnel[FTE],A237)&lt;pers_NSP_min_months,$B$138,""),""),"")</f>
        <v/>
      </c>
      <c r="P237" s="218" t="str">
        <f>IFERROR(IF(COUNTIF(INDEX(Personnel[Category],A237),"*Non-scientific*")&gt;0,IF(INDEX(Personnel[Months],A237)*INDEX(Personnel[FTE],A237)&gt;pers_NSP_max_months,$B$139,""),""),"")</f>
        <v/>
      </c>
      <c r="Q237" s="218" t="str">
        <f>IFERROR(IF(COUNTIF(INDEX(Personnel[Category],A237),"*Other scientific*")&gt;0,IF(OR(IFERROR(MATCH("*PhD*",Personnel[Category],0),0)&gt;0,IFERROR(MATCH("*PostDoc*",Personnel[Category],0),0)&gt;0),"",$B$140),""),"")</f>
        <v/>
      </c>
      <c r="R237" s="218" t="str">
        <f>IFERROR(IF(COUNTIF(INDEX(Personnel[Category],A237),"*Other scientific*")&gt;0,IF(Total_OSP&gt;pers_max_OSP,$B$141,""),""),"")</f>
        <v/>
      </c>
      <c r="S237" s="218" t="str">
        <f>IFERROR(IF(COUNTIF(INDEX(Personnel[Category],A237),"*Other scientific*")&gt;0,IF(INDEX(Personnel[Months],A237)*INDEX(Personnel[FTE],A237)&lt;pers_OSP_min_months,$B$142,""),""),"")</f>
        <v/>
      </c>
      <c r="T237" s="218" t="str">
        <f>IFERROR(IF(COUNTIF(INDEX(Personnel[Category],A237),"*Other scientific*")&gt;0,IF(INDEX(Personnel[Months],A237)*INDEX(Personnel[FTE],A237)&gt;pers_OSP_max_months,$B$143,""),""),"")</f>
        <v/>
      </c>
      <c r="U237" s="218" t="str">
        <f>IFERROR(IF(COUNTIF(INDEX(Personnel[Category],A237),"*leave*")&gt;0,IF(Total_Research_leave&gt;pers_leave_maxperc*Total_NWO_funding,$B$144,""),""),"")</f>
        <v/>
      </c>
      <c r="V237" s="218" t="str">
        <f>IFERROR(IF(COUNTIF(INDEX(Personnel[Category],A237),"*leave*")&gt;0,IF(Research_leave_FTE_months&gt;pers_leave_maxduration,$B$145,""),""),"")</f>
        <v/>
      </c>
      <c r="W237" s="218" t="str">
        <f>IFERROR(IF(AND(INDEX(Personnel[Costs],A237)=0,INDEX(salaries_academic[[category]:[1]],MATCH(INDEX(Personnel[Category],A237),salaries_academic[category],0),3)=0),$B$148,""),"")</f>
        <v/>
      </c>
      <c r="X237" s="218" t="e">
        <f>IF(AND(organisation_type="yes",INDEX(Personnel[Amount],A237,1)&lt;&gt;"",ISBLANK(INDEX(Personnel[Organisation type],A237,1))),$B$146,"")</f>
        <v>#REF!</v>
      </c>
      <c r="Y237" s="218" t="e">
        <f>IF(AND(organisation_name="yes",INDEX(Personnel[Amount],A237,1)&lt;&gt;"",ISBLANK(INDEX(Personnel[Name organisation],A237,1))),$B$147,"")</f>
        <v>#REF!</v>
      </c>
      <c r="Z237" s="218" t="str">
        <f>IFERROR(IF(AND(INDEX(Personnel[Costs],A237)&gt;0,INDEX(salaries_academic[[category]:[1]],MATCH(INDEX(Personnel[Category],A237),salaries_academic[category],0),3)&gt;0),$B$149,""),"")</f>
        <v/>
      </c>
      <c r="AA237" s="218"/>
    </row>
    <row r="238" spans="1:27" outlineLevel="1" x14ac:dyDescent="0.35">
      <c r="A238" s="195">
        <v>31</v>
      </c>
      <c r="B238" s="195" t="str">
        <f t="array" ref="B238">IFERROR(INDEX(personnel_ac_notes[[#This Row],[Exceeding nr months]:[Costs specified]],1,MATCH(TRUE,LEN(personnel_ac_notes[[#This Row],[Exceeding nr months]:[Costs specified]])&gt;0,0)),"")</f>
        <v/>
      </c>
      <c r="C238" s="195" t="str">
        <f>IFERROR(IF(INDEX(Personnel[Months],A238)&gt;Max_project_duration,$B$128,""),"")</f>
        <v/>
      </c>
      <c r="D238" s="195" t="str">
        <f>IFERROR(IF(AND(LEN(INDEX(Personnel[Category],A238))+LEN(INDEX(Personnel[FTE],A238))+LEN(INDEX(Personnel[Months],A238))&gt;0,LEN(INDEX(Personnel[Category],A238-1))+LEN(INDEX(Personnel[FTE],A238-1))+LEN(INDEX(Personnel[Months],A238-1))=0),$B$127,""),"")</f>
        <v/>
      </c>
      <c r="E238" s="195" t="str">
        <f>IF(AND(NOT(ISBLANK(INDEX(Personnel[Category],A238))),OR(ISBLANK(INDEX(Personnel[FTE],A238)),ISBLANK(INDEX(Personnel[Months],A238)))),VLOOKUP(INDEX(Personnel[Category],A238),salaries_academic[],2,FALSE),"")</f>
        <v/>
      </c>
      <c r="F238" s="195" t="str">
        <f>IFERROR(IF(COUNTIF(INDEX(Personnel[Category],A238),"*- PhD*")&gt;0,IF(INDEX(Personnel[Months],A238)*INDEX(Personnel[FTE],A238)&lt;pers_PhD_min_months,$B$129,""),""),"")</f>
        <v/>
      </c>
      <c r="G238" s="195" t="str">
        <f>IFERROR(IF(COUNTIF(INDEX(Personnel[Category],$A238),"*- PhD*")&gt;0,IF(INDEX(Personnel[Months],$A238)*INDEX(Personnel[FTE],$A238)&gt;pers_PhD_max_months,$B$130,""),""),"")</f>
        <v/>
      </c>
      <c r="H238" s="195" t="str">
        <f>IFERROR(IF(COUNTIF(INDEX(Personnel[Category],A238),"*year*")&gt;0,IF(INDEX(Personnel[Months],A238)*INDEX(Personnel[FTE],A238)&lt;pers_3yPhD_min_months,$B$131,""),""),"")</f>
        <v/>
      </c>
      <c r="I238" s="218" t="str">
        <f>IFERROR(IF(COUNTIF(INDEX(Personnel[Category],A238),"*PDEng*")&gt;0,IF(OR(IFERROR(MATCH("*PhD*",Personnel[Category],0),0)&gt;0,IFERROR(MATCH("*PostDoc*",Personnel[Category],0),0)&gt;0),"",$B$132),""),"")</f>
        <v/>
      </c>
      <c r="J238" s="218" t="str">
        <f>IFERROR(IF(COUNTIF(INDEX(Personnel[Category],A238),"*PDEng*")&gt;0,IF(INDEX(Personnel[Months],A238)*INDEX(Personnel[FTE],A238)&gt;pers_PDEng_max_months,$B$133,""),""),"")</f>
        <v/>
      </c>
      <c r="K238" s="218" t="str">
        <f>IFERROR(IF(COUNTIF(INDEX(Personnel[Category],A238),"*PostDoc*")&gt;0,IF(INDEX(Personnel[Months],A238)*INDEX(Personnel[FTE],A238)&lt;pers_PD_min_months,$B$134,""),""),"")</f>
        <v/>
      </c>
      <c r="L238" s="218" t="str">
        <f>IFERROR(IF(COUNTIF(INDEX(Personnel[Category],A238),"*PostDoc*")&gt;0,IF(INDEX(Personnel[Months],A238)*INDEX(Personnel[FTE],A238)&gt;pers_PD_max_months,$B$135,""),""),"")</f>
        <v/>
      </c>
      <c r="M238" s="218" t="str">
        <f>IFERROR(IF(COUNTIF(INDEX(Personnel[Category],A238),"*Non-scientific*")&gt;0,IF(OR(IFERROR(MATCH("*PhD*",Personnel[Category],0),0)&gt;0,IFERROR(MATCH("*PostDoc*",Personnel[Category],0),0)&gt;0),"",$B$136),""),"")</f>
        <v/>
      </c>
      <c r="N238" s="218" t="str">
        <f>IFERROR(IF(COUNTIF(INDEX(Personnel[Category],A238),"*Non-scientific*")&gt;0,IF(Total_NSP&gt;pers_max_NSP,$B$137,""),""),"")</f>
        <v/>
      </c>
      <c r="O238" s="218" t="str">
        <f>IFERROR(IF(COUNTIF(INDEX(Personnel[Category],A238),"*Non-scientific*")&gt;0,IF(INDEX(Personnel[Months],A238)*INDEX(Personnel[FTE],A238)&lt;pers_NSP_min_months,$B$138,""),""),"")</f>
        <v/>
      </c>
      <c r="P238" s="218" t="str">
        <f>IFERROR(IF(COUNTIF(INDEX(Personnel[Category],A238),"*Non-scientific*")&gt;0,IF(INDEX(Personnel[Months],A238)*INDEX(Personnel[FTE],A238)&gt;pers_NSP_max_months,$B$139,""),""),"")</f>
        <v/>
      </c>
      <c r="Q238" s="218" t="str">
        <f>IFERROR(IF(COUNTIF(INDEX(Personnel[Category],A238),"*Other scientific*")&gt;0,IF(OR(IFERROR(MATCH("*PhD*",Personnel[Category],0),0)&gt;0,IFERROR(MATCH("*PostDoc*",Personnel[Category],0),0)&gt;0),"",$B$140),""),"")</f>
        <v/>
      </c>
      <c r="R238" s="218" t="str">
        <f>IFERROR(IF(COUNTIF(INDEX(Personnel[Category],A238),"*Other scientific*")&gt;0,IF(Total_OSP&gt;pers_max_OSP,$B$141,""),""),"")</f>
        <v/>
      </c>
      <c r="S238" s="218" t="str">
        <f>IFERROR(IF(COUNTIF(INDEX(Personnel[Category],A238),"*Other scientific*")&gt;0,IF(INDEX(Personnel[Months],A238)*INDEX(Personnel[FTE],A238)&lt;pers_OSP_min_months,$B$142,""),""),"")</f>
        <v/>
      </c>
      <c r="T238" s="218" t="str">
        <f>IFERROR(IF(COUNTIF(INDEX(Personnel[Category],A238),"*Other scientific*")&gt;0,IF(INDEX(Personnel[Months],A238)*INDEX(Personnel[FTE],A238)&gt;pers_OSP_max_months,$B$143,""),""),"")</f>
        <v/>
      </c>
      <c r="U238" s="218" t="str">
        <f>IFERROR(IF(COUNTIF(INDEX(Personnel[Category],A238),"*leave*")&gt;0,IF(Total_Research_leave&gt;pers_leave_maxperc*Total_NWO_funding,$B$144,""),""),"")</f>
        <v/>
      </c>
      <c r="V238" s="218" t="str">
        <f>IFERROR(IF(COUNTIF(INDEX(Personnel[Category],A238),"*leave*")&gt;0,IF(Research_leave_FTE_months&gt;pers_leave_maxduration,$B$145,""),""),"")</f>
        <v/>
      </c>
      <c r="W238" s="218" t="str">
        <f>IFERROR(IF(AND(INDEX(Personnel[Costs],A238)=0,INDEX(salaries_academic[[category]:[1]],MATCH(INDEX(Personnel[Category],A238),salaries_academic[category],0),3)=0),$B$148,""),"")</f>
        <v/>
      </c>
      <c r="X238" s="218" t="e">
        <f>IF(AND(organisation_type="yes",INDEX(Personnel[Amount],A238,1)&lt;&gt;"",ISBLANK(INDEX(Personnel[Organisation type],A238,1))),$B$146,"")</f>
        <v>#REF!</v>
      </c>
      <c r="Y238" s="218" t="e">
        <f>IF(AND(organisation_name="yes",INDEX(Personnel[Amount],A238,1)&lt;&gt;"",ISBLANK(INDEX(Personnel[Name organisation],A238,1))),$B$147,"")</f>
        <v>#REF!</v>
      </c>
      <c r="Z238" s="218" t="str">
        <f>IFERROR(IF(AND(INDEX(Personnel[Costs],A238)&gt;0,INDEX(salaries_academic[[category]:[1]],MATCH(INDEX(Personnel[Category],A238),salaries_academic[category],0),3)&gt;0),$B$149,""),"")</f>
        <v/>
      </c>
      <c r="AA238" s="218"/>
    </row>
    <row r="239" spans="1:27" outlineLevel="1" x14ac:dyDescent="0.35">
      <c r="A239" s="195">
        <v>32</v>
      </c>
      <c r="B239" s="195" t="str">
        <f t="array" ref="B239">IFERROR(INDEX(personnel_ac_notes[[#This Row],[Exceeding nr months]:[Costs specified]],1,MATCH(TRUE,LEN(personnel_ac_notes[[#This Row],[Exceeding nr months]:[Costs specified]])&gt;0,0)),"")</f>
        <v/>
      </c>
      <c r="C239" s="195" t="str">
        <f>IFERROR(IF(INDEX(Personnel[Months],A239)&gt;Max_project_duration,$B$128,""),"")</f>
        <v/>
      </c>
      <c r="D239" s="195" t="str">
        <f>IFERROR(IF(AND(LEN(INDEX(Personnel[Category],A239))+LEN(INDEX(Personnel[FTE],A239))+LEN(INDEX(Personnel[Months],A239))&gt;0,LEN(INDEX(Personnel[Category],A239-1))+LEN(INDEX(Personnel[FTE],A239-1))+LEN(INDEX(Personnel[Months],A239-1))=0),$B$127,""),"")</f>
        <v/>
      </c>
      <c r="E239" s="195" t="str">
        <f>IF(AND(NOT(ISBLANK(INDEX(Personnel[Category],A239))),OR(ISBLANK(INDEX(Personnel[FTE],A239)),ISBLANK(INDEX(Personnel[Months],A239)))),VLOOKUP(INDEX(Personnel[Category],A239),salaries_academic[],2,FALSE),"")</f>
        <v/>
      </c>
      <c r="F239" s="195" t="str">
        <f>IFERROR(IF(COUNTIF(INDEX(Personnel[Category],A239),"*- PhD*")&gt;0,IF(INDEX(Personnel[Months],A239)*INDEX(Personnel[FTE],A239)&lt;pers_PhD_min_months,$B$129,""),""),"")</f>
        <v/>
      </c>
      <c r="G239" s="195" t="str">
        <f>IFERROR(IF(COUNTIF(INDEX(Personnel[Category],$A239),"*- PhD*")&gt;0,IF(INDEX(Personnel[Months],$A239)*INDEX(Personnel[FTE],$A239)&gt;pers_PhD_max_months,$B$130,""),""),"")</f>
        <v/>
      </c>
      <c r="H239" s="195" t="str">
        <f>IFERROR(IF(COUNTIF(INDEX(Personnel[Category],A239),"*year*")&gt;0,IF(INDEX(Personnel[Months],A239)*INDEX(Personnel[FTE],A239)&lt;pers_3yPhD_min_months,$B$131,""),""),"")</f>
        <v/>
      </c>
      <c r="I239" s="218" t="str">
        <f>IFERROR(IF(COUNTIF(INDEX(Personnel[Category],A239),"*PDEng*")&gt;0,IF(OR(IFERROR(MATCH("*PhD*",Personnel[Category],0),0)&gt;0,IFERROR(MATCH("*PostDoc*",Personnel[Category],0),0)&gt;0),"",$B$132),""),"")</f>
        <v/>
      </c>
      <c r="J239" s="218" t="str">
        <f>IFERROR(IF(COUNTIF(INDEX(Personnel[Category],A239),"*PDEng*")&gt;0,IF(INDEX(Personnel[Months],A239)*INDEX(Personnel[FTE],A239)&gt;pers_PDEng_max_months,$B$133,""),""),"")</f>
        <v/>
      </c>
      <c r="K239" s="218" t="str">
        <f>IFERROR(IF(COUNTIF(INDEX(Personnel[Category],A239),"*PostDoc*")&gt;0,IF(INDEX(Personnel[Months],A239)*INDEX(Personnel[FTE],A239)&lt;pers_PD_min_months,$B$134,""),""),"")</f>
        <v/>
      </c>
      <c r="L239" s="218" t="str">
        <f>IFERROR(IF(COUNTIF(INDEX(Personnel[Category],A239),"*PostDoc*")&gt;0,IF(INDEX(Personnel[Months],A239)*INDEX(Personnel[FTE],A239)&gt;pers_PD_max_months,$B$135,""),""),"")</f>
        <v/>
      </c>
      <c r="M239" s="218" t="str">
        <f>IFERROR(IF(COUNTIF(INDEX(Personnel[Category],A239),"*Non-scientific*")&gt;0,IF(OR(IFERROR(MATCH("*PhD*",Personnel[Category],0),0)&gt;0,IFERROR(MATCH("*PostDoc*",Personnel[Category],0),0)&gt;0),"",$B$136),""),"")</f>
        <v/>
      </c>
      <c r="N239" s="218" t="str">
        <f>IFERROR(IF(COUNTIF(INDEX(Personnel[Category],A239),"*Non-scientific*")&gt;0,IF(Total_NSP&gt;pers_max_NSP,$B$137,""),""),"")</f>
        <v/>
      </c>
      <c r="O239" s="218" t="str">
        <f>IFERROR(IF(COUNTIF(INDEX(Personnel[Category],A239),"*Non-scientific*")&gt;0,IF(INDEX(Personnel[Months],A239)*INDEX(Personnel[FTE],A239)&lt;pers_NSP_min_months,$B$138,""),""),"")</f>
        <v/>
      </c>
      <c r="P239" s="218" t="str">
        <f>IFERROR(IF(COUNTIF(INDEX(Personnel[Category],A239),"*Non-scientific*")&gt;0,IF(INDEX(Personnel[Months],A239)*INDEX(Personnel[FTE],A239)&gt;pers_NSP_max_months,$B$139,""),""),"")</f>
        <v/>
      </c>
      <c r="Q239" s="218" t="str">
        <f>IFERROR(IF(COUNTIF(INDEX(Personnel[Category],A239),"*Other scientific*")&gt;0,IF(OR(IFERROR(MATCH("*PhD*",Personnel[Category],0),0)&gt;0,IFERROR(MATCH("*PostDoc*",Personnel[Category],0),0)&gt;0),"",$B$140),""),"")</f>
        <v/>
      </c>
      <c r="R239" s="218" t="str">
        <f>IFERROR(IF(COUNTIF(INDEX(Personnel[Category],A239),"*Other scientific*")&gt;0,IF(Total_OSP&gt;pers_max_OSP,$B$141,""),""),"")</f>
        <v/>
      </c>
      <c r="S239" s="218" t="str">
        <f>IFERROR(IF(COUNTIF(INDEX(Personnel[Category],A239),"*Other scientific*")&gt;0,IF(INDEX(Personnel[Months],A239)*INDEX(Personnel[FTE],A239)&lt;pers_OSP_min_months,$B$142,""),""),"")</f>
        <v/>
      </c>
      <c r="T239" s="218" t="str">
        <f>IFERROR(IF(COUNTIF(INDEX(Personnel[Category],A239),"*Other scientific*")&gt;0,IF(INDEX(Personnel[Months],A239)*INDEX(Personnel[FTE],A239)&gt;pers_OSP_max_months,$B$143,""),""),"")</f>
        <v/>
      </c>
      <c r="U239" s="218" t="str">
        <f>IFERROR(IF(COUNTIF(INDEX(Personnel[Category],A239),"*leave*")&gt;0,IF(Total_Research_leave&gt;pers_leave_maxperc*Total_NWO_funding,$B$144,""),""),"")</f>
        <v/>
      </c>
      <c r="V239" s="218" t="str">
        <f>IFERROR(IF(COUNTIF(INDEX(Personnel[Category],A239),"*leave*")&gt;0,IF(Research_leave_FTE_months&gt;pers_leave_maxduration,$B$145,""),""),"")</f>
        <v/>
      </c>
      <c r="W239" s="218" t="str">
        <f>IFERROR(IF(AND(INDEX(Personnel[Costs],A239)=0,INDEX(salaries_academic[[category]:[1]],MATCH(INDEX(Personnel[Category],A239),salaries_academic[category],0),3)=0),$B$148,""),"")</f>
        <v/>
      </c>
      <c r="X239" s="218" t="e">
        <f>IF(AND(organisation_type="yes",INDEX(Personnel[Amount],A239,1)&lt;&gt;"",ISBLANK(INDEX(Personnel[Organisation type],A239,1))),$B$146,"")</f>
        <v>#REF!</v>
      </c>
      <c r="Y239" s="218" t="e">
        <f>IF(AND(organisation_name="yes",INDEX(Personnel[Amount],A239,1)&lt;&gt;"",ISBLANK(INDEX(Personnel[Name organisation],A239,1))),$B$147,"")</f>
        <v>#REF!</v>
      </c>
      <c r="Z239" s="218" t="str">
        <f>IFERROR(IF(AND(INDEX(Personnel[Costs],A239)&gt;0,INDEX(salaries_academic[[category]:[1]],MATCH(INDEX(Personnel[Category],A239),salaries_academic[category],0),3)&gt;0),$B$149,""),"")</f>
        <v/>
      </c>
      <c r="AA239" s="218"/>
    </row>
    <row r="240" spans="1:27" outlineLevel="1" x14ac:dyDescent="0.35">
      <c r="A240" s="195">
        <v>33</v>
      </c>
      <c r="B240" s="195" t="str">
        <f t="array" ref="B240">IFERROR(INDEX(personnel_ac_notes[[#This Row],[Exceeding nr months]:[Costs specified]],1,MATCH(TRUE,LEN(personnel_ac_notes[[#This Row],[Exceeding nr months]:[Costs specified]])&gt;0,0)),"")</f>
        <v/>
      </c>
      <c r="C240" s="195" t="str">
        <f>IFERROR(IF(INDEX(Personnel[Months],A240)&gt;Max_project_duration,$B$128,""),"")</f>
        <v/>
      </c>
      <c r="D240" s="195" t="str">
        <f>IFERROR(IF(AND(LEN(INDEX(Personnel[Category],A240))+LEN(INDEX(Personnel[FTE],A240))+LEN(INDEX(Personnel[Months],A240))&gt;0,LEN(INDEX(Personnel[Category],A240-1))+LEN(INDEX(Personnel[FTE],A240-1))+LEN(INDEX(Personnel[Months],A240-1))=0),$B$127,""),"")</f>
        <v/>
      </c>
      <c r="E240" s="195" t="str">
        <f>IF(AND(NOT(ISBLANK(INDEX(Personnel[Category],A240))),OR(ISBLANK(INDEX(Personnel[FTE],A240)),ISBLANK(INDEX(Personnel[Months],A240)))),VLOOKUP(INDEX(Personnel[Category],A240),salaries_academic[],2,FALSE),"")</f>
        <v/>
      </c>
      <c r="F240" s="195" t="str">
        <f>IFERROR(IF(COUNTIF(INDEX(Personnel[Category],A240),"*- PhD*")&gt;0,IF(INDEX(Personnel[Months],A240)*INDEX(Personnel[FTE],A240)&lt;pers_PhD_min_months,$B$129,""),""),"")</f>
        <v/>
      </c>
      <c r="G240" s="195" t="str">
        <f>IFERROR(IF(COUNTIF(INDEX(Personnel[Category],$A240),"*- PhD*")&gt;0,IF(INDEX(Personnel[Months],$A240)*INDEX(Personnel[FTE],$A240)&gt;pers_PhD_max_months,$B$130,""),""),"")</f>
        <v/>
      </c>
      <c r="H240" s="195" t="str">
        <f>IFERROR(IF(COUNTIF(INDEX(Personnel[Category],A240),"*year*")&gt;0,IF(INDEX(Personnel[Months],A240)*INDEX(Personnel[FTE],A240)&lt;pers_3yPhD_min_months,$B$131,""),""),"")</f>
        <v/>
      </c>
      <c r="I240" s="218" t="str">
        <f>IFERROR(IF(COUNTIF(INDEX(Personnel[Category],A240),"*PDEng*")&gt;0,IF(OR(IFERROR(MATCH("*PhD*",Personnel[Category],0),0)&gt;0,IFERROR(MATCH("*PostDoc*",Personnel[Category],0),0)&gt;0),"",$B$132),""),"")</f>
        <v/>
      </c>
      <c r="J240" s="218" t="str">
        <f>IFERROR(IF(COUNTIF(INDEX(Personnel[Category],A240),"*PDEng*")&gt;0,IF(INDEX(Personnel[Months],A240)*INDEX(Personnel[FTE],A240)&gt;pers_PDEng_max_months,$B$133,""),""),"")</f>
        <v/>
      </c>
      <c r="K240" s="218" t="str">
        <f>IFERROR(IF(COUNTIF(INDEX(Personnel[Category],A240),"*PostDoc*")&gt;0,IF(INDEX(Personnel[Months],A240)*INDEX(Personnel[FTE],A240)&lt;pers_PD_min_months,$B$134,""),""),"")</f>
        <v/>
      </c>
      <c r="L240" s="218" t="str">
        <f>IFERROR(IF(COUNTIF(INDEX(Personnel[Category],A240),"*PostDoc*")&gt;0,IF(INDEX(Personnel[Months],A240)*INDEX(Personnel[FTE],A240)&gt;pers_PD_max_months,$B$135,""),""),"")</f>
        <v/>
      </c>
      <c r="M240" s="218" t="str">
        <f>IFERROR(IF(COUNTIF(INDEX(Personnel[Category],A240),"*Non-scientific*")&gt;0,IF(OR(IFERROR(MATCH("*PhD*",Personnel[Category],0),0)&gt;0,IFERROR(MATCH("*PostDoc*",Personnel[Category],0),0)&gt;0),"",$B$136),""),"")</f>
        <v/>
      </c>
      <c r="N240" s="218" t="str">
        <f>IFERROR(IF(COUNTIF(INDEX(Personnel[Category],A240),"*Non-scientific*")&gt;0,IF(Total_NSP&gt;pers_max_NSP,$B$137,""),""),"")</f>
        <v/>
      </c>
      <c r="O240" s="218" t="str">
        <f>IFERROR(IF(COUNTIF(INDEX(Personnel[Category],A240),"*Non-scientific*")&gt;0,IF(INDEX(Personnel[Months],A240)*INDEX(Personnel[FTE],A240)&lt;pers_NSP_min_months,$B$138,""),""),"")</f>
        <v/>
      </c>
      <c r="P240" s="218" t="str">
        <f>IFERROR(IF(COUNTIF(INDEX(Personnel[Category],A240),"*Non-scientific*")&gt;0,IF(INDEX(Personnel[Months],A240)*INDEX(Personnel[FTE],A240)&gt;pers_NSP_max_months,$B$139,""),""),"")</f>
        <v/>
      </c>
      <c r="Q240" s="218" t="str">
        <f>IFERROR(IF(COUNTIF(INDEX(Personnel[Category],A240),"*Other scientific*")&gt;0,IF(OR(IFERROR(MATCH("*PhD*",Personnel[Category],0),0)&gt;0,IFERROR(MATCH("*PostDoc*",Personnel[Category],0),0)&gt;0),"",$B$140),""),"")</f>
        <v/>
      </c>
      <c r="R240" s="218" t="str">
        <f>IFERROR(IF(COUNTIF(INDEX(Personnel[Category],A240),"*Other scientific*")&gt;0,IF(Total_OSP&gt;pers_max_OSP,$B$141,""),""),"")</f>
        <v/>
      </c>
      <c r="S240" s="218" t="str">
        <f>IFERROR(IF(COUNTIF(INDEX(Personnel[Category],A240),"*Other scientific*")&gt;0,IF(INDEX(Personnel[Months],A240)*INDEX(Personnel[FTE],A240)&lt;pers_OSP_min_months,$B$142,""),""),"")</f>
        <v/>
      </c>
      <c r="T240" s="218" t="str">
        <f>IFERROR(IF(COUNTIF(INDEX(Personnel[Category],A240),"*Other scientific*")&gt;0,IF(INDEX(Personnel[Months],A240)*INDEX(Personnel[FTE],A240)&gt;pers_OSP_max_months,$B$143,""),""),"")</f>
        <v/>
      </c>
      <c r="U240" s="218" t="str">
        <f>IFERROR(IF(COUNTIF(INDEX(Personnel[Category],A240),"*leave*")&gt;0,IF(Total_Research_leave&gt;pers_leave_maxperc*Total_NWO_funding,$B$144,""),""),"")</f>
        <v/>
      </c>
      <c r="V240" s="218" t="str">
        <f>IFERROR(IF(COUNTIF(INDEX(Personnel[Category],A240),"*leave*")&gt;0,IF(Research_leave_FTE_months&gt;pers_leave_maxduration,$B$145,""),""),"")</f>
        <v/>
      </c>
      <c r="W240" s="218" t="str">
        <f>IFERROR(IF(AND(INDEX(Personnel[Costs],A240)=0,INDEX(salaries_academic[[category]:[1]],MATCH(INDEX(Personnel[Category],A240),salaries_academic[category],0),3)=0),$B$148,""),"")</f>
        <v/>
      </c>
      <c r="X240" s="218" t="e">
        <f>IF(AND(organisation_type="yes",INDEX(Personnel[Amount],A240,1)&lt;&gt;"",ISBLANK(INDEX(Personnel[Organisation type],A240,1))),$B$146,"")</f>
        <v>#REF!</v>
      </c>
      <c r="Y240" s="218" t="e">
        <f>IF(AND(organisation_name="yes",INDEX(Personnel[Amount],A240,1)&lt;&gt;"",ISBLANK(INDEX(Personnel[Name organisation],A240,1))),$B$147,"")</f>
        <v>#REF!</v>
      </c>
      <c r="Z240" s="218" t="str">
        <f>IFERROR(IF(AND(INDEX(Personnel[Costs],A240)&gt;0,INDEX(salaries_academic[[category]:[1]],MATCH(INDEX(Personnel[Category],A240),salaries_academic[category],0),3)&gt;0),$B$149,""),"")</f>
        <v/>
      </c>
      <c r="AA240" s="218"/>
    </row>
    <row r="241" spans="1:27" outlineLevel="1" x14ac:dyDescent="0.35">
      <c r="A241" s="195">
        <v>34</v>
      </c>
      <c r="B241" s="195" t="str">
        <f t="array" ref="B241">IFERROR(INDEX(personnel_ac_notes[[#This Row],[Exceeding nr months]:[Costs specified]],1,MATCH(TRUE,LEN(personnel_ac_notes[[#This Row],[Exceeding nr months]:[Costs specified]])&gt;0,0)),"")</f>
        <v/>
      </c>
      <c r="C241" s="195" t="str">
        <f>IFERROR(IF(INDEX(Personnel[Months],A241)&gt;Max_project_duration,$B$128,""),"")</f>
        <v/>
      </c>
      <c r="D241" s="195" t="str">
        <f>IFERROR(IF(AND(LEN(INDEX(Personnel[Category],A241))+LEN(INDEX(Personnel[FTE],A241))+LEN(INDEX(Personnel[Months],A241))&gt;0,LEN(INDEX(Personnel[Category],A241-1))+LEN(INDEX(Personnel[FTE],A241-1))+LEN(INDEX(Personnel[Months],A241-1))=0),$B$127,""),"")</f>
        <v/>
      </c>
      <c r="E241" s="195" t="str">
        <f>IF(AND(NOT(ISBLANK(INDEX(Personnel[Category],A241))),OR(ISBLANK(INDEX(Personnel[FTE],A241)),ISBLANK(INDEX(Personnel[Months],A241)))),VLOOKUP(INDEX(Personnel[Category],A241),salaries_academic[],2,FALSE),"")</f>
        <v/>
      </c>
      <c r="F241" s="195" t="str">
        <f>IFERROR(IF(COUNTIF(INDEX(Personnel[Category],A241),"*- PhD*")&gt;0,IF(INDEX(Personnel[Months],A241)*INDEX(Personnel[FTE],A241)&lt;pers_PhD_min_months,$B$129,""),""),"")</f>
        <v/>
      </c>
      <c r="G241" s="195" t="str">
        <f>IFERROR(IF(COUNTIF(INDEX(Personnel[Category],$A241),"*- PhD*")&gt;0,IF(INDEX(Personnel[Months],$A241)*INDEX(Personnel[FTE],$A241)&gt;pers_PhD_max_months,$B$130,""),""),"")</f>
        <v/>
      </c>
      <c r="H241" s="195" t="str">
        <f>IFERROR(IF(COUNTIF(INDEX(Personnel[Category],A241),"*year*")&gt;0,IF(INDEX(Personnel[Months],A241)*INDEX(Personnel[FTE],A241)&lt;pers_3yPhD_min_months,$B$131,""),""),"")</f>
        <v/>
      </c>
      <c r="I241" s="218" t="str">
        <f>IFERROR(IF(COUNTIF(INDEX(Personnel[Category],A241),"*PDEng*")&gt;0,IF(OR(IFERROR(MATCH("*PhD*",Personnel[Category],0),0)&gt;0,IFERROR(MATCH("*PostDoc*",Personnel[Category],0),0)&gt;0),"",$B$132),""),"")</f>
        <v/>
      </c>
      <c r="J241" s="218" t="str">
        <f>IFERROR(IF(COUNTIF(INDEX(Personnel[Category],A241),"*PDEng*")&gt;0,IF(INDEX(Personnel[Months],A241)*INDEX(Personnel[FTE],A241)&gt;pers_PDEng_max_months,$B$133,""),""),"")</f>
        <v/>
      </c>
      <c r="K241" s="218" t="str">
        <f>IFERROR(IF(COUNTIF(INDEX(Personnel[Category],A241),"*PostDoc*")&gt;0,IF(INDEX(Personnel[Months],A241)*INDEX(Personnel[FTE],A241)&lt;pers_PD_min_months,$B$134,""),""),"")</f>
        <v/>
      </c>
      <c r="L241" s="218" t="str">
        <f>IFERROR(IF(COUNTIF(INDEX(Personnel[Category],A241),"*PostDoc*")&gt;0,IF(INDEX(Personnel[Months],A241)*INDEX(Personnel[FTE],A241)&gt;pers_PD_max_months,$B$135,""),""),"")</f>
        <v/>
      </c>
      <c r="M241" s="218" t="str">
        <f>IFERROR(IF(COUNTIF(INDEX(Personnel[Category],A241),"*Non-scientific*")&gt;0,IF(OR(IFERROR(MATCH("*PhD*",Personnel[Category],0),0)&gt;0,IFERROR(MATCH("*PostDoc*",Personnel[Category],0),0)&gt;0),"",$B$136),""),"")</f>
        <v/>
      </c>
      <c r="N241" s="218" t="str">
        <f>IFERROR(IF(COUNTIF(INDEX(Personnel[Category],A241),"*Non-scientific*")&gt;0,IF(Total_NSP&gt;pers_max_NSP,$B$137,""),""),"")</f>
        <v/>
      </c>
      <c r="O241" s="218" t="str">
        <f>IFERROR(IF(COUNTIF(INDEX(Personnel[Category],A241),"*Non-scientific*")&gt;0,IF(INDEX(Personnel[Months],A241)*INDEX(Personnel[FTE],A241)&lt;pers_NSP_min_months,$B$138,""),""),"")</f>
        <v/>
      </c>
      <c r="P241" s="218" t="str">
        <f>IFERROR(IF(COUNTIF(INDEX(Personnel[Category],A241),"*Non-scientific*")&gt;0,IF(INDEX(Personnel[Months],A241)*INDEX(Personnel[FTE],A241)&gt;pers_NSP_max_months,$B$139,""),""),"")</f>
        <v/>
      </c>
      <c r="Q241" s="218" t="str">
        <f>IFERROR(IF(COUNTIF(INDEX(Personnel[Category],A241),"*Other scientific*")&gt;0,IF(OR(IFERROR(MATCH("*PhD*",Personnel[Category],0),0)&gt;0,IFERROR(MATCH("*PostDoc*",Personnel[Category],0),0)&gt;0),"",$B$140),""),"")</f>
        <v/>
      </c>
      <c r="R241" s="218" t="str">
        <f>IFERROR(IF(COUNTIF(INDEX(Personnel[Category],A241),"*Other scientific*")&gt;0,IF(Total_OSP&gt;pers_max_OSP,$B$141,""),""),"")</f>
        <v/>
      </c>
      <c r="S241" s="218" t="str">
        <f>IFERROR(IF(COUNTIF(INDEX(Personnel[Category],A241),"*Other scientific*")&gt;0,IF(INDEX(Personnel[Months],A241)*INDEX(Personnel[FTE],A241)&lt;pers_OSP_min_months,$B$142,""),""),"")</f>
        <v/>
      </c>
      <c r="T241" s="218" t="str">
        <f>IFERROR(IF(COUNTIF(INDEX(Personnel[Category],A241),"*Other scientific*")&gt;0,IF(INDEX(Personnel[Months],A241)*INDEX(Personnel[FTE],A241)&gt;pers_OSP_max_months,$B$143,""),""),"")</f>
        <v/>
      </c>
      <c r="U241" s="218" t="str">
        <f>IFERROR(IF(COUNTIF(INDEX(Personnel[Category],A241),"*leave*")&gt;0,IF(Total_Research_leave&gt;pers_leave_maxperc*Total_NWO_funding,$B$144,""),""),"")</f>
        <v/>
      </c>
      <c r="V241" s="218" t="str">
        <f>IFERROR(IF(COUNTIF(INDEX(Personnel[Category],A241),"*leave*")&gt;0,IF(Research_leave_FTE_months&gt;pers_leave_maxduration,$B$145,""),""),"")</f>
        <v/>
      </c>
      <c r="W241" s="218" t="str">
        <f>IFERROR(IF(AND(INDEX(Personnel[Costs],A241)=0,INDEX(salaries_academic[[category]:[1]],MATCH(INDEX(Personnel[Category],A241),salaries_academic[category],0),3)=0),$B$148,""),"")</f>
        <v/>
      </c>
      <c r="X241" s="218" t="e">
        <f>IF(AND(organisation_type="yes",INDEX(Personnel[Amount],A241,1)&lt;&gt;"",ISBLANK(INDEX(Personnel[Organisation type],A241,1))),$B$146,"")</f>
        <v>#REF!</v>
      </c>
      <c r="Y241" s="218" t="e">
        <f>IF(AND(organisation_name="yes",INDEX(Personnel[Amount],A241,1)&lt;&gt;"",ISBLANK(INDEX(Personnel[Name organisation],A241,1))),$B$147,"")</f>
        <v>#REF!</v>
      </c>
      <c r="Z241" s="218" t="str">
        <f>IFERROR(IF(AND(INDEX(Personnel[Costs],A241)&gt;0,INDEX(salaries_academic[[category]:[1]],MATCH(INDEX(Personnel[Category],A241),salaries_academic[category],0),3)&gt;0),$B$149,""),"")</f>
        <v/>
      </c>
      <c r="AA241" s="218"/>
    </row>
    <row r="242" spans="1:27" outlineLevel="1" x14ac:dyDescent="0.35">
      <c r="A242" s="195">
        <v>35</v>
      </c>
      <c r="B242" s="195" t="str">
        <f t="array" ref="B242">IFERROR(INDEX(personnel_ac_notes[[#This Row],[Exceeding nr months]:[Costs specified]],1,MATCH(TRUE,LEN(personnel_ac_notes[[#This Row],[Exceeding nr months]:[Costs specified]])&gt;0,0)),"")</f>
        <v/>
      </c>
      <c r="C242" s="195" t="str">
        <f>IFERROR(IF(INDEX(Personnel[Months],A242)&gt;Max_project_duration,$B$128,""),"")</f>
        <v/>
      </c>
      <c r="D242" s="195" t="str">
        <f>IFERROR(IF(AND(LEN(INDEX(Personnel[Category],A242))+LEN(INDEX(Personnel[FTE],A242))+LEN(INDEX(Personnel[Months],A242))&gt;0,LEN(INDEX(Personnel[Category],A242-1))+LEN(INDEX(Personnel[FTE],A242-1))+LEN(INDEX(Personnel[Months],A242-1))=0),$B$127,""),"")</f>
        <v/>
      </c>
      <c r="E242" s="195" t="str">
        <f>IF(AND(NOT(ISBLANK(INDEX(Personnel[Category],A242))),OR(ISBLANK(INDEX(Personnel[FTE],A242)),ISBLANK(INDEX(Personnel[Months],A242)))),VLOOKUP(INDEX(Personnel[Category],A242),salaries_academic[],2,FALSE),"")</f>
        <v/>
      </c>
      <c r="F242" s="195" t="str">
        <f>IFERROR(IF(COUNTIF(INDEX(Personnel[Category],A242),"*- PhD*")&gt;0,IF(INDEX(Personnel[Months],A242)*INDEX(Personnel[FTE],A242)&lt;pers_PhD_min_months,$B$129,""),""),"")</f>
        <v/>
      </c>
      <c r="G242" s="195" t="str">
        <f>IFERROR(IF(COUNTIF(INDEX(Personnel[Category],$A242),"*- PhD*")&gt;0,IF(INDEX(Personnel[Months],$A242)*INDEX(Personnel[FTE],$A242)&gt;pers_PhD_max_months,$B$130,""),""),"")</f>
        <v/>
      </c>
      <c r="H242" s="195" t="str">
        <f>IFERROR(IF(COUNTIF(INDEX(Personnel[Category],A242),"*year*")&gt;0,IF(INDEX(Personnel[Months],A242)*INDEX(Personnel[FTE],A242)&lt;pers_3yPhD_min_months,$B$131,""),""),"")</f>
        <v/>
      </c>
      <c r="I242" s="218" t="str">
        <f>IFERROR(IF(COUNTIF(INDEX(Personnel[Category],A242),"*PDEng*")&gt;0,IF(OR(IFERROR(MATCH("*PhD*",Personnel[Category],0),0)&gt;0,IFERROR(MATCH("*PostDoc*",Personnel[Category],0),0)&gt;0),"",$B$132),""),"")</f>
        <v/>
      </c>
      <c r="J242" s="218" t="str">
        <f>IFERROR(IF(COUNTIF(INDEX(Personnel[Category],A242),"*PDEng*")&gt;0,IF(INDEX(Personnel[Months],A242)*INDEX(Personnel[FTE],A242)&gt;pers_PDEng_max_months,$B$133,""),""),"")</f>
        <v/>
      </c>
      <c r="K242" s="218" t="str">
        <f>IFERROR(IF(COUNTIF(INDEX(Personnel[Category],A242),"*PostDoc*")&gt;0,IF(INDEX(Personnel[Months],A242)*INDEX(Personnel[FTE],A242)&lt;pers_PD_min_months,$B$134,""),""),"")</f>
        <v/>
      </c>
      <c r="L242" s="218" t="str">
        <f>IFERROR(IF(COUNTIF(INDEX(Personnel[Category],A242),"*PostDoc*")&gt;0,IF(INDEX(Personnel[Months],A242)*INDEX(Personnel[FTE],A242)&gt;pers_PD_max_months,$B$135,""),""),"")</f>
        <v/>
      </c>
      <c r="M242" s="218" t="str">
        <f>IFERROR(IF(COUNTIF(INDEX(Personnel[Category],A242),"*Non-scientific*")&gt;0,IF(OR(IFERROR(MATCH("*PhD*",Personnel[Category],0),0)&gt;0,IFERROR(MATCH("*PostDoc*",Personnel[Category],0),0)&gt;0),"",$B$136),""),"")</f>
        <v/>
      </c>
      <c r="N242" s="218" t="str">
        <f>IFERROR(IF(COUNTIF(INDEX(Personnel[Category],A242),"*Non-scientific*")&gt;0,IF(Total_NSP&gt;pers_max_NSP,$B$137,""),""),"")</f>
        <v/>
      </c>
      <c r="O242" s="218" t="str">
        <f>IFERROR(IF(COUNTIF(INDEX(Personnel[Category],A242),"*Non-scientific*")&gt;0,IF(INDEX(Personnel[Months],A242)*INDEX(Personnel[FTE],A242)&lt;pers_NSP_min_months,$B$138,""),""),"")</f>
        <v/>
      </c>
      <c r="P242" s="218" t="str">
        <f>IFERROR(IF(COUNTIF(INDEX(Personnel[Category],A242),"*Non-scientific*")&gt;0,IF(INDEX(Personnel[Months],A242)*INDEX(Personnel[FTE],A242)&gt;pers_NSP_max_months,$B$139,""),""),"")</f>
        <v/>
      </c>
      <c r="Q242" s="218" t="str">
        <f>IFERROR(IF(COUNTIF(INDEX(Personnel[Category],A242),"*Other scientific*")&gt;0,IF(OR(IFERROR(MATCH("*PhD*",Personnel[Category],0),0)&gt;0,IFERROR(MATCH("*PostDoc*",Personnel[Category],0),0)&gt;0),"",$B$140),""),"")</f>
        <v/>
      </c>
      <c r="R242" s="218" t="str">
        <f>IFERROR(IF(COUNTIF(INDEX(Personnel[Category],A242),"*Other scientific*")&gt;0,IF(Total_OSP&gt;pers_max_OSP,$B$141,""),""),"")</f>
        <v/>
      </c>
      <c r="S242" s="218" t="str">
        <f>IFERROR(IF(COUNTIF(INDEX(Personnel[Category],A242),"*Other scientific*")&gt;0,IF(INDEX(Personnel[Months],A242)*INDEX(Personnel[FTE],A242)&lt;pers_OSP_min_months,$B$142,""),""),"")</f>
        <v/>
      </c>
      <c r="T242" s="218" t="str">
        <f>IFERROR(IF(COUNTIF(INDEX(Personnel[Category],A242),"*Other scientific*")&gt;0,IF(INDEX(Personnel[Months],A242)*INDEX(Personnel[FTE],A242)&gt;pers_OSP_max_months,$B$143,""),""),"")</f>
        <v/>
      </c>
      <c r="U242" s="218" t="str">
        <f>IFERROR(IF(COUNTIF(INDEX(Personnel[Category],A242),"*leave*")&gt;0,IF(Total_Research_leave&gt;pers_leave_maxperc*Total_NWO_funding,$B$144,""),""),"")</f>
        <v/>
      </c>
      <c r="V242" s="218" t="str">
        <f>IFERROR(IF(COUNTIF(INDEX(Personnel[Category],A242),"*leave*")&gt;0,IF(Research_leave_FTE_months&gt;pers_leave_maxduration,$B$145,""),""),"")</f>
        <v/>
      </c>
      <c r="W242" s="218" t="str">
        <f>IFERROR(IF(AND(INDEX(Personnel[Costs],A242)=0,INDEX(salaries_academic[[category]:[1]],MATCH(INDEX(Personnel[Category],A242),salaries_academic[category],0),3)=0),$B$148,""),"")</f>
        <v/>
      </c>
      <c r="X242" s="218" t="e">
        <f>IF(AND(organisation_type="yes",INDEX(Personnel[Amount],A242,1)&lt;&gt;"",ISBLANK(INDEX(Personnel[Organisation type],A242,1))),$B$146,"")</f>
        <v>#REF!</v>
      </c>
      <c r="Y242" s="218" t="e">
        <f>IF(AND(organisation_name="yes",INDEX(Personnel[Amount],A242,1)&lt;&gt;"",ISBLANK(INDEX(Personnel[Name organisation],A242,1))),$B$147,"")</f>
        <v>#REF!</v>
      </c>
      <c r="Z242" s="218" t="str">
        <f>IFERROR(IF(AND(INDEX(Personnel[Costs],A242)&gt;0,INDEX(salaries_academic[[category]:[1]],MATCH(INDEX(Personnel[Category],A242),salaries_academic[category],0),3)&gt;0),$B$149,""),"")</f>
        <v/>
      </c>
      <c r="AA242" s="218"/>
    </row>
    <row r="243" spans="1:27" outlineLevel="1" x14ac:dyDescent="0.35">
      <c r="A243" s="195">
        <v>36</v>
      </c>
      <c r="B243" s="195" t="str">
        <f t="array" ref="B243">IFERROR(INDEX(personnel_ac_notes[[#This Row],[Exceeding nr months]:[Costs specified]],1,MATCH(TRUE,LEN(personnel_ac_notes[[#This Row],[Exceeding nr months]:[Costs specified]])&gt;0,0)),"")</f>
        <v/>
      </c>
      <c r="C243" s="195" t="str">
        <f>IFERROR(IF(INDEX(Personnel[Months],A243)&gt;Max_project_duration,$B$128,""),"")</f>
        <v/>
      </c>
      <c r="D243" s="195" t="str">
        <f>IFERROR(IF(AND(LEN(INDEX(Personnel[Category],A243))+LEN(INDEX(Personnel[FTE],A243))+LEN(INDEX(Personnel[Months],A243))&gt;0,LEN(INDEX(Personnel[Category],A243-1))+LEN(INDEX(Personnel[FTE],A243-1))+LEN(INDEX(Personnel[Months],A243-1))=0),$B$127,""),"")</f>
        <v/>
      </c>
      <c r="E243" s="195" t="str">
        <f>IF(AND(NOT(ISBLANK(INDEX(Personnel[Category],A243))),OR(ISBLANK(INDEX(Personnel[FTE],A243)),ISBLANK(INDEX(Personnel[Months],A243)))),VLOOKUP(INDEX(Personnel[Category],A243),salaries_academic[],2,FALSE),"")</f>
        <v/>
      </c>
      <c r="F243" s="195" t="str">
        <f>IFERROR(IF(COUNTIF(INDEX(Personnel[Category],A243),"*- PhD*")&gt;0,IF(INDEX(Personnel[Months],A243)*INDEX(Personnel[FTE],A243)&lt;pers_PhD_min_months,$B$129,""),""),"")</f>
        <v/>
      </c>
      <c r="G243" s="195" t="str">
        <f>IFERROR(IF(COUNTIF(INDEX(Personnel[Category],$A243),"*- PhD*")&gt;0,IF(INDEX(Personnel[Months],$A243)*INDEX(Personnel[FTE],$A243)&gt;pers_PhD_max_months,$B$130,""),""),"")</f>
        <v/>
      </c>
      <c r="H243" s="195" t="str">
        <f>IFERROR(IF(COUNTIF(INDEX(Personnel[Category],A243),"*year*")&gt;0,IF(INDEX(Personnel[Months],A243)*INDEX(Personnel[FTE],A243)&lt;pers_3yPhD_min_months,$B$131,""),""),"")</f>
        <v/>
      </c>
      <c r="I243" s="218" t="str">
        <f>IFERROR(IF(COUNTIF(INDEX(Personnel[Category],A243),"*PDEng*")&gt;0,IF(OR(IFERROR(MATCH("*PhD*",Personnel[Category],0),0)&gt;0,IFERROR(MATCH("*PostDoc*",Personnel[Category],0),0)&gt;0),"",$B$132),""),"")</f>
        <v/>
      </c>
      <c r="J243" s="218" t="str">
        <f>IFERROR(IF(COUNTIF(INDEX(Personnel[Category],A243),"*PDEng*")&gt;0,IF(INDEX(Personnel[Months],A243)*INDEX(Personnel[FTE],A243)&gt;pers_PDEng_max_months,$B$133,""),""),"")</f>
        <v/>
      </c>
      <c r="K243" s="218" t="str">
        <f>IFERROR(IF(COUNTIF(INDEX(Personnel[Category],A243),"*PostDoc*")&gt;0,IF(INDEX(Personnel[Months],A243)*INDEX(Personnel[FTE],A243)&lt;pers_PD_min_months,$B$134,""),""),"")</f>
        <v/>
      </c>
      <c r="L243" s="218" t="str">
        <f>IFERROR(IF(COUNTIF(INDEX(Personnel[Category],A243),"*PostDoc*")&gt;0,IF(INDEX(Personnel[Months],A243)*INDEX(Personnel[FTE],A243)&gt;pers_PD_max_months,$B$135,""),""),"")</f>
        <v/>
      </c>
      <c r="M243" s="218" t="str">
        <f>IFERROR(IF(COUNTIF(INDEX(Personnel[Category],A243),"*Non-scientific*")&gt;0,IF(OR(IFERROR(MATCH("*PhD*",Personnel[Category],0),0)&gt;0,IFERROR(MATCH("*PostDoc*",Personnel[Category],0),0)&gt;0),"",$B$136),""),"")</f>
        <v/>
      </c>
      <c r="N243" s="218" t="str">
        <f>IFERROR(IF(COUNTIF(INDEX(Personnel[Category],A243),"*Non-scientific*")&gt;0,IF(Total_NSP&gt;pers_max_NSP,$B$137,""),""),"")</f>
        <v/>
      </c>
      <c r="O243" s="218" t="str">
        <f>IFERROR(IF(COUNTIF(INDEX(Personnel[Category],A243),"*Non-scientific*")&gt;0,IF(INDEX(Personnel[Months],A243)*INDEX(Personnel[FTE],A243)&lt;pers_NSP_min_months,$B$138,""),""),"")</f>
        <v/>
      </c>
      <c r="P243" s="218" t="str">
        <f>IFERROR(IF(COUNTIF(INDEX(Personnel[Category],A243),"*Non-scientific*")&gt;0,IF(INDEX(Personnel[Months],A243)*INDEX(Personnel[FTE],A243)&gt;pers_NSP_max_months,$B$139,""),""),"")</f>
        <v/>
      </c>
      <c r="Q243" s="218" t="str">
        <f>IFERROR(IF(COUNTIF(INDEX(Personnel[Category],A243),"*Other scientific*")&gt;0,IF(OR(IFERROR(MATCH("*PhD*",Personnel[Category],0),0)&gt;0,IFERROR(MATCH("*PostDoc*",Personnel[Category],0),0)&gt;0),"",$B$140),""),"")</f>
        <v/>
      </c>
      <c r="R243" s="218" t="str">
        <f>IFERROR(IF(COUNTIF(INDEX(Personnel[Category],A243),"*Other scientific*")&gt;0,IF(Total_OSP&gt;pers_max_OSP,$B$141,""),""),"")</f>
        <v/>
      </c>
      <c r="S243" s="218" t="str">
        <f>IFERROR(IF(COUNTIF(INDEX(Personnel[Category],A243),"*Other scientific*")&gt;0,IF(INDEX(Personnel[Months],A243)*INDEX(Personnel[FTE],A243)&lt;pers_OSP_min_months,$B$142,""),""),"")</f>
        <v/>
      </c>
      <c r="T243" s="218" t="str">
        <f>IFERROR(IF(COUNTIF(INDEX(Personnel[Category],A243),"*Other scientific*")&gt;0,IF(INDEX(Personnel[Months],A243)*INDEX(Personnel[FTE],A243)&gt;pers_OSP_max_months,$B$143,""),""),"")</f>
        <v/>
      </c>
      <c r="U243" s="218" t="str">
        <f>IFERROR(IF(COUNTIF(INDEX(Personnel[Category],A243),"*leave*")&gt;0,IF(Total_Research_leave&gt;pers_leave_maxperc*Total_NWO_funding,$B$144,""),""),"")</f>
        <v/>
      </c>
      <c r="V243" s="218" t="str">
        <f>IFERROR(IF(COUNTIF(INDEX(Personnel[Category],A243),"*leave*")&gt;0,IF(Research_leave_FTE_months&gt;pers_leave_maxduration,$B$145,""),""),"")</f>
        <v/>
      </c>
      <c r="W243" s="218" t="str">
        <f>IFERROR(IF(AND(INDEX(Personnel[Costs],A243)=0,INDEX(salaries_academic[[category]:[1]],MATCH(INDEX(Personnel[Category],A243),salaries_academic[category],0),3)=0),$B$148,""),"")</f>
        <v/>
      </c>
      <c r="X243" s="218" t="e">
        <f>IF(AND(organisation_type="yes",INDEX(Personnel[Amount],A243,1)&lt;&gt;"",ISBLANK(INDEX(Personnel[Organisation type],A243,1))),$B$146,"")</f>
        <v>#REF!</v>
      </c>
      <c r="Y243" s="218" t="e">
        <f>IF(AND(organisation_name="yes",INDEX(Personnel[Amount],A243,1)&lt;&gt;"",ISBLANK(INDEX(Personnel[Name organisation],A243,1))),$B$147,"")</f>
        <v>#REF!</v>
      </c>
      <c r="Z243" s="218" t="str">
        <f>IFERROR(IF(AND(INDEX(Personnel[Costs],A243)&gt;0,INDEX(salaries_academic[[category]:[1]],MATCH(INDEX(Personnel[Category],A243),salaries_academic[category],0),3)&gt;0),$B$149,""),"")</f>
        <v/>
      </c>
      <c r="AA243" s="218"/>
    </row>
    <row r="244" spans="1:27" outlineLevel="1" x14ac:dyDescent="0.35">
      <c r="A244" s="195">
        <v>37</v>
      </c>
      <c r="B244" s="195" t="str">
        <f t="array" ref="B244">IFERROR(INDEX(personnel_ac_notes[[#This Row],[Exceeding nr months]:[Costs specified]],1,MATCH(TRUE,LEN(personnel_ac_notes[[#This Row],[Exceeding nr months]:[Costs specified]])&gt;0,0)),"")</f>
        <v/>
      </c>
      <c r="C244" s="195" t="str">
        <f>IFERROR(IF(INDEX(Personnel[Months],A244)&gt;Max_project_duration,$B$128,""),"")</f>
        <v/>
      </c>
      <c r="D244" s="195" t="str">
        <f>IFERROR(IF(AND(LEN(INDEX(Personnel[Category],A244))+LEN(INDEX(Personnel[FTE],A244))+LEN(INDEX(Personnel[Months],A244))&gt;0,LEN(INDEX(Personnel[Category],A244-1))+LEN(INDEX(Personnel[FTE],A244-1))+LEN(INDEX(Personnel[Months],A244-1))=0),$B$127,""),"")</f>
        <v/>
      </c>
      <c r="E244" s="195" t="str">
        <f>IF(AND(NOT(ISBLANK(INDEX(Personnel[Category],A244))),OR(ISBLANK(INDEX(Personnel[FTE],A244)),ISBLANK(INDEX(Personnel[Months],A244)))),VLOOKUP(INDEX(Personnel[Category],A244),salaries_academic[],2,FALSE),"")</f>
        <v/>
      </c>
      <c r="F244" s="195" t="str">
        <f>IFERROR(IF(COUNTIF(INDEX(Personnel[Category],A244),"*- PhD*")&gt;0,IF(INDEX(Personnel[Months],A244)*INDEX(Personnel[FTE],A244)&lt;pers_PhD_min_months,$B$129,""),""),"")</f>
        <v/>
      </c>
      <c r="G244" s="195" t="str">
        <f>IFERROR(IF(COUNTIF(INDEX(Personnel[Category],$A244),"*- PhD*")&gt;0,IF(INDEX(Personnel[Months],$A244)*INDEX(Personnel[FTE],$A244)&gt;pers_PhD_max_months,$B$130,""),""),"")</f>
        <v/>
      </c>
      <c r="H244" s="195" t="str">
        <f>IFERROR(IF(COUNTIF(INDEX(Personnel[Category],A244),"*year*")&gt;0,IF(INDEX(Personnel[Months],A244)*INDEX(Personnel[FTE],A244)&lt;pers_3yPhD_min_months,$B$131,""),""),"")</f>
        <v/>
      </c>
      <c r="I244" s="218" t="str">
        <f>IFERROR(IF(COUNTIF(INDEX(Personnel[Category],A244),"*PDEng*")&gt;0,IF(OR(IFERROR(MATCH("*PhD*",Personnel[Category],0),0)&gt;0,IFERROR(MATCH("*PostDoc*",Personnel[Category],0),0)&gt;0),"",$B$132),""),"")</f>
        <v/>
      </c>
      <c r="J244" s="218" t="str">
        <f>IFERROR(IF(COUNTIF(INDEX(Personnel[Category],A244),"*PDEng*")&gt;0,IF(INDEX(Personnel[Months],A244)*INDEX(Personnel[FTE],A244)&gt;pers_PDEng_max_months,$B$133,""),""),"")</f>
        <v/>
      </c>
      <c r="K244" s="218" t="str">
        <f>IFERROR(IF(COUNTIF(INDEX(Personnel[Category],A244),"*PostDoc*")&gt;0,IF(INDEX(Personnel[Months],A244)*INDEX(Personnel[FTE],A244)&lt;pers_PD_min_months,$B$134,""),""),"")</f>
        <v/>
      </c>
      <c r="L244" s="218" t="str">
        <f>IFERROR(IF(COUNTIF(INDEX(Personnel[Category],A244),"*PostDoc*")&gt;0,IF(INDEX(Personnel[Months],A244)*INDEX(Personnel[FTE],A244)&gt;pers_PD_max_months,$B$135,""),""),"")</f>
        <v/>
      </c>
      <c r="M244" s="218" t="str">
        <f>IFERROR(IF(COUNTIF(INDEX(Personnel[Category],A244),"*Non-scientific*")&gt;0,IF(OR(IFERROR(MATCH("*PhD*",Personnel[Category],0),0)&gt;0,IFERROR(MATCH("*PostDoc*",Personnel[Category],0),0)&gt;0),"",$B$136),""),"")</f>
        <v/>
      </c>
      <c r="N244" s="218" t="str">
        <f>IFERROR(IF(COUNTIF(INDEX(Personnel[Category],A244),"*Non-scientific*")&gt;0,IF(Total_NSP&gt;pers_max_NSP,$B$137,""),""),"")</f>
        <v/>
      </c>
      <c r="O244" s="218" t="str">
        <f>IFERROR(IF(COUNTIF(INDEX(Personnel[Category],A244),"*Non-scientific*")&gt;0,IF(INDEX(Personnel[Months],A244)*INDEX(Personnel[FTE],A244)&lt;pers_NSP_min_months,$B$138,""),""),"")</f>
        <v/>
      </c>
      <c r="P244" s="218" t="str">
        <f>IFERROR(IF(COUNTIF(INDEX(Personnel[Category],A244),"*Non-scientific*")&gt;0,IF(INDEX(Personnel[Months],A244)*INDEX(Personnel[FTE],A244)&gt;pers_NSP_max_months,$B$139,""),""),"")</f>
        <v/>
      </c>
      <c r="Q244" s="218" t="str">
        <f>IFERROR(IF(COUNTIF(INDEX(Personnel[Category],A244),"*Other scientific*")&gt;0,IF(OR(IFERROR(MATCH("*PhD*",Personnel[Category],0),0)&gt;0,IFERROR(MATCH("*PostDoc*",Personnel[Category],0),0)&gt;0),"",$B$140),""),"")</f>
        <v/>
      </c>
      <c r="R244" s="218" t="str">
        <f>IFERROR(IF(COUNTIF(INDEX(Personnel[Category],A244),"*Other scientific*")&gt;0,IF(Total_OSP&gt;pers_max_OSP,$B$141,""),""),"")</f>
        <v/>
      </c>
      <c r="S244" s="218" t="str">
        <f>IFERROR(IF(COUNTIF(INDEX(Personnel[Category],A244),"*Other scientific*")&gt;0,IF(INDEX(Personnel[Months],A244)*INDEX(Personnel[FTE],A244)&lt;pers_OSP_min_months,$B$142,""),""),"")</f>
        <v/>
      </c>
      <c r="T244" s="218" t="str">
        <f>IFERROR(IF(COUNTIF(INDEX(Personnel[Category],A244),"*Other scientific*")&gt;0,IF(INDEX(Personnel[Months],A244)*INDEX(Personnel[FTE],A244)&gt;pers_OSP_max_months,$B$143,""),""),"")</f>
        <v/>
      </c>
      <c r="U244" s="218" t="str">
        <f>IFERROR(IF(COUNTIF(INDEX(Personnel[Category],A244),"*leave*")&gt;0,IF(Total_Research_leave&gt;pers_leave_maxperc*Total_NWO_funding,$B$144,""),""),"")</f>
        <v/>
      </c>
      <c r="V244" s="218" t="str">
        <f>IFERROR(IF(COUNTIF(INDEX(Personnel[Category],A244),"*leave*")&gt;0,IF(Research_leave_FTE_months&gt;pers_leave_maxduration,$B$145,""),""),"")</f>
        <v/>
      </c>
      <c r="W244" s="218" t="str">
        <f>IFERROR(IF(AND(INDEX(Personnel[Costs],A244)=0,INDEX(salaries_academic[[category]:[1]],MATCH(INDEX(Personnel[Category],A244),salaries_academic[category],0),3)=0),$B$148,""),"")</f>
        <v/>
      </c>
      <c r="X244" s="218" t="e">
        <f>IF(AND(organisation_type="yes",INDEX(Personnel[Amount],A244,1)&lt;&gt;"",ISBLANK(INDEX(Personnel[Organisation type],A244,1))),$B$146,"")</f>
        <v>#REF!</v>
      </c>
      <c r="Y244" s="218" t="e">
        <f>IF(AND(organisation_name="yes",INDEX(Personnel[Amount],A244,1)&lt;&gt;"",ISBLANK(INDEX(Personnel[Name organisation],A244,1))),$B$147,"")</f>
        <v>#REF!</v>
      </c>
      <c r="Z244" s="218" t="str">
        <f>IFERROR(IF(AND(INDEX(Personnel[Costs],A244)&gt;0,INDEX(salaries_academic[[category]:[1]],MATCH(INDEX(Personnel[Category],A244),salaries_academic[category],0),3)&gt;0),$B$149,""),"")</f>
        <v/>
      </c>
      <c r="AA244" s="218"/>
    </row>
    <row r="245" spans="1:27" outlineLevel="1" x14ac:dyDescent="0.35">
      <c r="A245" s="195">
        <v>38</v>
      </c>
      <c r="B245" s="195" t="str">
        <f t="array" ref="B245">IFERROR(INDEX(personnel_ac_notes[[#This Row],[Exceeding nr months]:[Costs specified]],1,MATCH(TRUE,LEN(personnel_ac_notes[[#This Row],[Exceeding nr months]:[Costs specified]])&gt;0,0)),"")</f>
        <v/>
      </c>
      <c r="C245" s="195" t="str">
        <f>IFERROR(IF(INDEX(Personnel[Months],A245)&gt;Max_project_duration,$B$128,""),"")</f>
        <v/>
      </c>
      <c r="D245" s="195" t="str">
        <f>IFERROR(IF(AND(LEN(INDEX(Personnel[Category],A245))+LEN(INDEX(Personnel[FTE],A245))+LEN(INDEX(Personnel[Months],A245))&gt;0,LEN(INDEX(Personnel[Category],A245-1))+LEN(INDEX(Personnel[FTE],A245-1))+LEN(INDEX(Personnel[Months],A245-1))=0),$B$127,""),"")</f>
        <v/>
      </c>
      <c r="E245" s="195" t="str">
        <f>IF(AND(NOT(ISBLANK(INDEX(Personnel[Category],A245))),OR(ISBLANK(INDEX(Personnel[FTE],A245)),ISBLANK(INDEX(Personnel[Months],A245)))),VLOOKUP(INDEX(Personnel[Category],A245),salaries_academic[],2,FALSE),"")</f>
        <v/>
      </c>
      <c r="F245" s="195" t="str">
        <f>IFERROR(IF(COUNTIF(INDEX(Personnel[Category],A245),"*- PhD*")&gt;0,IF(INDEX(Personnel[Months],A245)*INDEX(Personnel[FTE],A245)&lt;pers_PhD_min_months,$B$129,""),""),"")</f>
        <v/>
      </c>
      <c r="G245" s="195" t="str">
        <f>IFERROR(IF(COUNTIF(INDEX(Personnel[Category],$A245),"*- PhD*")&gt;0,IF(INDEX(Personnel[Months],$A245)*INDEX(Personnel[FTE],$A245)&gt;pers_PhD_max_months,$B$130,""),""),"")</f>
        <v/>
      </c>
      <c r="H245" s="195" t="str">
        <f>IFERROR(IF(COUNTIF(INDEX(Personnel[Category],A245),"*year*")&gt;0,IF(INDEX(Personnel[Months],A245)*INDEX(Personnel[FTE],A245)&lt;pers_3yPhD_min_months,$B$131,""),""),"")</f>
        <v/>
      </c>
      <c r="I245" s="218" t="str">
        <f>IFERROR(IF(COUNTIF(INDEX(Personnel[Category],A245),"*PDEng*")&gt;0,IF(OR(IFERROR(MATCH("*PhD*",Personnel[Category],0),0)&gt;0,IFERROR(MATCH("*PostDoc*",Personnel[Category],0),0)&gt;0),"",$B$132),""),"")</f>
        <v/>
      </c>
      <c r="J245" s="218" t="str">
        <f>IFERROR(IF(COUNTIF(INDEX(Personnel[Category],A245),"*PDEng*")&gt;0,IF(INDEX(Personnel[Months],A245)*INDEX(Personnel[FTE],A245)&gt;pers_PDEng_max_months,$B$133,""),""),"")</f>
        <v/>
      </c>
      <c r="K245" s="218" t="str">
        <f>IFERROR(IF(COUNTIF(INDEX(Personnel[Category],A245),"*PostDoc*")&gt;0,IF(INDEX(Personnel[Months],A245)*INDEX(Personnel[FTE],A245)&lt;pers_PD_min_months,$B$134,""),""),"")</f>
        <v/>
      </c>
      <c r="L245" s="218" t="str">
        <f>IFERROR(IF(COUNTIF(INDEX(Personnel[Category],A245),"*PostDoc*")&gt;0,IF(INDEX(Personnel[Months],A245)*INDEX(Personnel[FTE],A245)&gt;pers_PD_max_months,$B$135,""),""),"")</f>
        <v/>
      </c>
      <c r="M245" s="218" t="str">
        <f>IFERROR(IF(COUNTIF(INDEX(Personnel[Category],A245),"*Non-scientific*")&gt;0,IF(OR(IFERROR(MATCH("*PhD*",Personnel[Category],0),0)&gt;0,IFERROR(MATCH("*PostDoc*",Personnel[Category],0),0)&gt;0),"",$B$136),""),"")</f>
        <v/>
      </c>
      <c r="N245" s="218" t="str">
        <f>IFERROR(IF(COUNTIF(INDEX(Personnel[Category],A245),"*Non-scientific*")&gt;0,IF(Total_NSP&gt;pers_max_NSP,$B$137,""),""),"")</f>
        <v/>
      </c>
      <c r="O245" s="218" t="str">
        <f>IFERROR(IF(COUNTIF(INDEX(Personnel[Category],A245),"*Non-scientific*")&gt;0,IF(INDEX(Personnel[Months],A245)*INDEX(Personnel[FTE],A245)&lt;pers_NSP_min_months,$B$138,""),""),"")</f>
        <v/>
      </c>
      <c r="P245" s="218" t="str">
        <f>IFERROR(IF(COUNTIF(INDEX(Personnel[Category],A245),"*Non-scientific*")&gt;0,IF(INDEX(Personnel[Months],A245)*INDEX(Personnel[FTE],A245)&gt;pers_NSP_max_months,$B$139,""),""),"")</f>
        <v/>
      </c>
      <c r="Q245" s="218" t="str">
        <f>IFERROR(IF(COUNTIF(INDEX(Personnel[Category],A245),"*Other scientific*")&gt;0,IF(OR(IFERROR(MATCH("*PhD*",Personnel[Category],0),0)&gt;0,IFERROR(MATCH("*PostDoc*",Personnel[Category],0),0)&gt;0),"",$B$140),""),"")</f>
        <v/>
      </c>
      <c r="R245" s="218" t="str">
        <f>IFERROR(IF(COUNTIF(INDEX(Personnel[Category],A245),"*Other scientific*")&gt;0,IF(Total_OSP&gt;pers_max_OSP,$B$141,""),""),"")</f>
        <v/>
      </c>
      <c r="S245" s="218" t="str">
        <f>IFERROR(IF(COUNTIF(INDEX(Personnel[Category],A245),"*Other scientific*")&gt;0,IF(INDEX(Personnel[Months],A245)*INDEX(Personnel[FTE],A245)&lt;pers_OSP_min_months,$B$142,""),""),"")</f>
        <v/>
      </c>
      <c r="T245" s="218" t="str">
        <f>IFERROR(IF(COUNTIF(INDEX(Personnel[Category],A245),"*Other scientific*")&gt;0,IF(INDEX(Personnel[Months],A245)*INDEX(Personnel[FTE],A245)&gt;pers_OSP_max_months,$B$143,""),""),"")</f>
        <v/>
      </c>
      <c r="U245" s="218" t="str">
        <f>IFERROR(IF(COUNTIF(INDEX(Personnel[Category],A245),"*leave*")&gt;0,IF(Total_Research_leave&gt;pers_leave_maxperc*Total_NWO_funding,$B$144,""),""),"")</f>
        <v/>
      </c>
      <c r="V245" s="218" t="str">
        <f>IFERROR(IF(COUNTIF(INDEX(Personnel[Category],A245),"*leave*")&gt;0,IF(Research_leave_FTE_months&gt;pers_leave_maxduration,$B$145,""),""),"")</f>
        <v/>
      </c>
      <c r="W245" s="218" t="str">
        <f>IFERROR(IF(AND(INDEX(Personnel[Costs],A245)=0,INDEX(salaries_academic[[category]:[1]],MATCH(INDEX(Personnel[Category],A245),salaries_academic[category],0),3)=0),$B$148,""),"")</f>
        <v/>
      </c>
      <c r="X245" s="218" t="e">
        <f>IF(AND(organisation_type="yes",INDEX(Personnel[Amount],A245,1)&lt;&gt;"",ISBLANK(INDEX(Personnel[Organisation type],A245,1))),$B$146,"")</f>
        <v>#REF!</v>
      </c>
      <c r="Y245" s="218" t="e">
        <f>IF(AND(organisation_name="yes",INDEX(Personnel[Amount],A245,1)&lt;&gt;"",ISBLANK(INDEX(Personnel[Name organisation],A245,1))),$B$147,"")</f>
        <v>#REF!</v>
      </c>
      <c r="Z245" s="218" t="str">
        <f>IFERROR(IF(AND(INDEX(Personnel[Costs],A245)&gt;0,INDEX(salaries_academic[[category]:[1]],MATCH(INDEX(Personnel[Category],A245),salaries_academic[category],0),3)&gt;0),$B$149,""),"")</f>
        <v/>
      </c>
      <c r="AA245" s="218"/>
    </row>
    <row r="246" spans="1:27" outlineLevel="1" x14ac:dyDescent="0.35">
      <c r="A246" s="195">
        <v>39</v>
      </c>
      <c r="B246" s="195" t="str">
        <f t="array" ref="B246">IFERROR(INDEX(personnel_ac_notes[[#This Row],[Exceeding nr months]:[Costs specified]],1,MATCH(TRUE,LEN(personnel_ac_notes[[#This Row],[Exceeding nr months]:[Costs specified]])&gt;0,0)),"")</f>
        <v/>
      </c>
      <c r="C246" s="195" t="str">
        <f>IFERROR(IF(INDEX(Personnel[Months],A246)&gt;Max_project_duration,$B$128,""),"")</f>
        <v/>
      </c>
      <c r="D246" s="195" t="str">
        <f>IFERROR(IF(AND(LEN(INDEX(Personnel[Category],A246))+LEN(INDEX(Personnel[FTE],A246))+LEN(INDEX(Personnel[Months],A246))&gt;0,LEN(INDEX(Personnel[Category],A246-1))+LEN(INDEX(Personnel[FTE],A246-1))+LEN(INDEX(Personnel[Months],A246-1))=0),$B$127,""),"")</f>
        <v/>
      </c>
      <c r="E246" s="195" t="str">
        <f>IF(AND(NOT(ISBLANK(INDEX(Personnel[Category],A246))),OR(ISBLANK(INDEX(Personnel[FTE],A246)),ISBLANK(INDEX(Personnel[Months],A246)))),VLOOKUP(INDEX(Personnel[Category],A246),salaries_academic[],2,FALSE),"")</f>
        <v/>
      </c>
      <c r="F246" s="195" t="str">
        <f>IFERROR(IF(COUNTIF(INDEX(Personnel[Category],A246),"*- PhD*")&gt;0,IF(INDEX(Personnel[Months],A246)*INDEX(Personnel[FTE],A246)&lt;pers_PhD_min_months,$B$129,""),""),"")</f>
        <v/>
      </c>
      <c r="G246" s="195" t="str">
        <f>IFERROR(IF(COUNTIF(INDEX(Personnel[Category],$A246),"*- PhD*")&gt;0,IF(INDEX(Personnel[Months],$A246)*INDEX(Personnel[FTE],$A246)&gt;pers_PhD_max_months,$B$130,""),""),"")</f>
        <v/>
      </c>
      <c r="H246" s="195" t="str">
        <f>IFERROR(IF(COUNTIF(INDEX(Personnel[Category],A246),"*year*")&gt;0,IF(INDEX(Personnel[Months],A246)*INDEX(Personnel[FTE],A246)&lt;pers_3yPhD_min_months,$B$131,""),""),"")</f>
        <v/>
      </c>
      <c r="I246" s="218" t="str">
        <f>IFERROR(IF(COUNTIF(INDEX(Personnel[Category],A246),"*PDEng*")&gt;0,IF(OR(IFERROR(MATCH("*PhD*",Personnel[Category],0),0)&gt;0,IFERROR(MATCH("*PostDoc*",Personnel[Category],0),0)&gt;0),"",$B$132),""),"")</f>
        <v/>
      </c>
      <c r="J246" s="218" t="str">
        <f>IFERROR(IF(COUNTIF(INDEX(Personnel[Category],A246),"*PDEng*")&gt;0,IF(INDEX(Personnel[Months],A246)*INDEX(Personnel[FTE],A246)&gt;pers_PDEng_max_months,$B$133,""),""),"")</f>
        <v/>
      </c>
      <c r="K246" s="218" t="str">
        <f>IFERROR(IF(COUNTIF(INDEX(Personnel[Category],A246),"*PostDoc*")&gt;0,IF(INDEX(Personnel[Months],A246)*INDEX(Personnel[FTE],A246)&lt;pers_PD_min_months,$B$134,""),""),"")</f>
        <v/>
      </c>
      <c r="L246" s="218" t="str">
        <f>IFERROR(IF(COUNTIF(INDEX(Personnel[Category],A246),"*PostDoc*")&gt;0,IF(INDEX(Personnel[Months],A246)*INDEX(Personnel[FTE],A246)&gt;pers_PD_max_months,$B$135,""),""),"")</f>
        <v/>
      </c>
      <c r="M246" s="218" t="str">
        <f>IFERROR(IF(COUNTIF(INDEX(Personnel[Category],A246),"*Non-scientific*")&gt;0,IF(OR(IFERROR(MATCH("*PhD*",Personnel[Category],0),0)&gt;0,IFERROR(MATCH("*PostDoc*",Personnel[Category],0),0)&gt;0),"",$B$136),""),"")</f>
        <v/>
      </c>
      <c r="N246" s="218" t="str">
        <f>IFERROR(IF(COUNTIF(INDEX(Personnel[Category],A246),"*Non-scientific*")&gt;0,IF(Total_NSP&gt;pers_max_NSP,$B$137,""),""),"")</f>
        <v/>
      </c>
      <c r="O246" s="218" t="str">
        <f>IFERROR(IF(COUNTIF(INDEX(Personnel[Category],A246),"*Non-scientific*")&gt;0,IF(INDEX(Personnel[Months],A246)*INDEX(Personnel[FTE],A246)&lt;pers_NSP_min_months,$B$138,""),""),"")</f>
        <v/>
      </c>
      <c r="P246" s="218" t="str">
        <f>IFERROR(IF(COUNTIF(INDEX(Personnel[Category],A246),"*Non-scientific*")&gt;0,IF(INDEX(Personnel[Months],A246)*INDEX(Personnel[FTE],A246)&gt;pers_NSP_max_months,$B$139,""),""),"")</f>
        <v/>
      </c>
      <c r="Q246" s="218" t="str">
        <f>IFERROR(IF(COUNTIF(INDEX(Personnel[Category],A246),"*Other scientific*")&gt;0,IF(OR(IFERROR(MATCH("*PhD*",Personnel[Category],0),0)&gt;0,IFERROR(MATCH("*PostDoc*",Personnel[Category],0),0)&gt;0),"",$B$140),""),"")</f>
        <v/>
      </c>
      <c r="R246" s="218" t="str">
        <f>IFERROR(IF(COUNTIF(INDEX(Personnel[Category],A246),"*Other scientific*")&gt;0,IF(Total_OSP&gt;pers_max_OSP,$B$141,""),""),"")</f>
        <v/>
      </c>
      <c r="S246" s="218" t="str">
        <f>IFERROR(IF(COUNTIF(INDEX(Personnel[Category],A246),"*Other scientific*")&gt;0,IF(INDEX(Personnel[Months],A246)*INDEX(Personnel[FTE],A246)&lt;pers_OSP_min_months,$B$142,""),""),"")</f>
        <v/>
      </c>
      <c r="T246" s="218" t="str">
        <f>IFERROR(IF(COUNTIF(INDEX(Personnel[Category],A246),"*Other scientific*")&gt;0,IF(INDEX(Personnel[Months],A246)*INDEX(Personnel[FTE],A246)&gt;pers_OSP_max_months,$B$143,""),""),"")</f>
        <v/>
      </c>
      <c r="U246" s="218" t="str">
        <f>IFERROR(IF(COUNTIF(INDEX(Personnel[Category],A246),"*leave*")&gt;0,IF(Total_Research_leave&gt;pers_leave_maxperc*Total_NWO_funding,$B$144,""),""),"")</f>
        <v/>
      </c>
      <c r="V246" s="218" t="str">
        <f>IFERROR(IF(COUNTIF(INDEX(Personnel[Category],A246),"*leave*")&gt;0,IF(Research_leave_FTE_months&gt;pers_leave_maxduration,$B$145,""),""),"")</f>
        <v/>
      </c>
      <c r="W246" s="218" t="str">
        <f>IFERROR(IF(AND(INDEX(Personnel[Costs],A246)=0,INDEX(salaries_academic[[category]:[1]],MATCH(INDEX(Personnel[Category],A246),salaries_academic[category],0),3)=0),$B$148,""),"")</f>
        <v/>
      </c>
      <c r="X246" s="218" t="e">
        <f>IF(AND(organisation_type="yes",INDEX(Personnel[Amount],A246,1)&lt;&gt;"",ISBLANK(INDEX(Personnel[Organisation type],A246,1))),$B$146,"")</f>
        <v>#REF!</v>
      </c>
      <c r="Y246" s="218" t="e">
        <f>IF(AND(organisation_name="yes",INDEX(Personnel[Amount],A246,1)&lt;&gt;"",ISBLANK(INDEX(Personnel[Name organisation],A246,1))),$B$147,"")</f>
        <v>#REF!</v>
      </c>
      <c r="Z246" s="218" t="str">
        <f>IFERROR(IF(AND(INDEX(Personnel[Costs],A246)&gt;0,INDEX(salaries_academic[[category]:[1]],MATCH(INDEX(Personnel[Category],A246),salaries_academic[category],0),3)&gt;0),$B$149,""),"")</f>
        <v/>
      </c>
      <c r="AA246" s="218"/>
    </row>
    <row r="247" spans="1:27" outlineLevel="1" x14ac:dyDescent="0.35">
      <c r="A247" s="195">
        <v>40</v>
      </c>
      <c r="B247" s="195" t="str">
        <f t="array" ref="B247">IFERROR(INDEX(personnel_ac_notes[[#This Row],[Exceeding nr months]:[Costs specified]],1,MATCH(TRUE,LEN(personnel_ac_notes[[#This Row],[Exceeding nr months]:[Costs specified]])&gt;0,0)),"")</f>
        <v/>
      </c>
      <c r="C247" s="195" t="str">
        <f>IFERROR(IF(INDEX(Personnel[Months],A247)&gt;Max_project_duration,$B$128,""),"")</f>
        <v/>
      </c>
      <c r="D247" s="195" t="str">
        <f>IFERROR(IF(AND(LEN(INDEX(Personnel[Category],A247))+LEN(INDEX(Personnel[FTE],A247))+LEN(INDEX(Personnel[Months],A247))&gt;0,LEN(INDEX(Personnel[Category],A247-1))+LEN(INDEX(Personnel[FTE],A247-1))+LEN(INDEX(Personnel[Months],A247-1))=0),$B$127,""),"")</f>
        <v/>
      </c>
      <c r="E247" s="195" t="str">
        <f>IF(AND(NOT(ISBLANK(INDEX(Personnel[Category],A247))),OR(ISBLANK(INDEX(Personnel[FTE],A247)),ISBLANK(INDEX(Personnel[Months],A247)))),VLOOKUP(INDEX(Personnel[Category],A247),salaries_academic[],2,FALSE),"")</f>
        <v/>
      </c>
      <c r="F247" s="195" t="str">
        <f>IFERROR(IF(COUNTIF(INDEX(Personnel[Category],A247),"*- PhD*")&gt;0,IF(INDEX(Personnel[Months],A247)*INDEX(Personnel[FTE],A247)&lt;pers_PhD_min_months,$B$129,""),""),"")</f>
        <v/>
      </c>
      <c r="G247" s="195" t="str">
        <f>IFERROR(IF(COUNTIF(INDEX(Personnel[Category],$A247),"*- PhD*")&gt;0,IF(INDEX(Personnel[Months],$A247)*INDEX(Personnel[FTE],$A247)&gt;pers_PhD_max_months,$B$130,""),""),"")</f>
        <v/>
      </c>
      <c r="H247" s="195" t="str">
        <f>IFERROR(IF(COUNTIF(INDEX(Personnel[Category],A247),"*year*")&gt;0,IF(INDEX(Personnel[Months],A247)*INDEX(Personnel[FTE],A247)&lt;pers_3yPhD_min_months,$B$131,""),""),"")</f>
        <v/>
      </c>
      <c r="I247" s="218" t="str">
        <f>IFERROR(IF(COUNTIF(INDEX(Personnel[Category],A247),"*PDEng*")&gt;0,IF(OR(IFERROR(MATCH("*PhD*",Personnel[Category],0),0)&gt;0,IFERROR(MATCH("*PostDoc*",Personnel[Category],0),0)&gt;0),"",$B$132),""),"")</f>
        <v/>
      </c>
      <c r="J247" s="218" t="str">
        <f>IFERROR(IF(COUNTIF(INDEX(Personnel[Category],A247),"*PDEng*")&gt;0,IF(INDEX(Personnel[Months],A247)*INDEX(Personnel[FTE],A247)&gt;pers_PDEng_max_months,$B$133,""),""),"")</f>
        <v/>
      </c>
      <c r="K247" s="218" t="str">
        <f>IFERROR(IF(COUNTIF(INDEX(Personnel[Category],A247),"*PostDoc*")&gt;0,IF(INDEX(Personnel[Months],A247)*INDEX(Personnel[FTE],A247)&lt;pers_PD_min_months,$B$134,""),""),"")</f>
        <v/>
      </c>
      <c r="L247" s="218" t="str">
        <f>IFERROR(IF(COUNTIF(INDEX(Personnel[Category],A247),"*PostDoc*")&gt;0,IF(INDEX(Personnel[Months],A247)*INDEX(Personnel[FTE],A247)&gt;pers_PD_max_months,$B$135,""),""),"")</f>
        <v/>
      </c>
      <c r="M247" s="218" t="str">
        <f>IFERROR(IF(COUNTIF(INDEX(Personnel[Category],A247),"*Non-scientific*")&gt;0,IF(OR(IFERROR(MATCH("*PhD*",Personnel[Category],0),0)&gt;0,IFERROR(MATCH("*PostDoc*",Personnel[Category],0),0)&gt;0),"",$B$136),""),"")</f>
        <v/>
      </c>
      <c r="N247" s="218" t="str">
        <f>IFERROR(IF(COUNTIF(INDEX(Personnel[Category],A247),"*Non-scientific*")&gt;0,IF(Total_NSP&gt;pers_max_NSP,$B$137,""),""),"")</f>
        <v/>
      </c>
      <c r="O247" s="218" t="str">
        <f>IFERROR(IF(COUNTIF(INDEX(Personnel[Category],A247),"*Non-scientific*")&gt;0,IF(INDEX(Personnel[Months],A247)*INDEX(Personnel[FTE],A247)&lt;pers_NSP_min_months,$B$138,""),""),"")</f>
        <v/>
      </c>
      <c r="P247" s="218" t="str">
        <f>IFERROR(IF(COUNTIF(INDEX(Personnel[Category],A247),"*Non-scientific*")&gt;0,IF(INDEX(Personnel[Months],A247)*INDEX(Personnel[FTE],A247)&gt;pers_NSP_max_months,$B$139,""),""),"")</f>
        <v/>
      </c>
      <c r="Q247" s="218" t="str">
        <f>IFERROR(IF(COUNTIF(INDEX(Personnel[Category],A247),"*Other scientific*")&gt;0,IF(OR(IFERROR(MATCH("*PhD*",Personnel[Category],0),0)&gt;0,IFERROR(MATCH("*PostDoc*",Personnel[Category],0),0)&gt;0),"",$B$140),""),"")</f>
        <v/>
      </c>
      <c r="R247" s="218" t="str">
        <f>IFERROR(IF(COUNTIF(INDEX(Personnel[Category],A247),"*Other scientific*")&gt;0,IF(Total_OSP&gt;pers_max_OSP,$B$141,""),""),"")</f>
        <v/>
      </c>
      <c r="S247" s="218" t="str">
        <f>IFERROR(IF(COUNTIF(INDEX(Personnel[Category],A247),"*Other scientific*")&gt;0,IF(INDEX(Personnel[Months],A247)*INDEX(Personnel[FTE],A247)&lt;pers_OSP_min_months,$B$142,""),""),"")</f>
        <v/>
      </c>
      <c r="T247" s="218" t="str">
        <f>IFERROR(IF(COUNTIF(INDEX(Personnel[Category],A247),"*Other scientific*")&gt;0,IF(INDEX(Personnel[Months],A247)*INDEX(Personnel[FTE],A247)&gt;pers_OSP_max_months,$B$143,""),""),"")</f>
        <v/>
      </c>
      <c r="U247" s="218" t="str">
        <f>IFERROR(IF(COUNTIF(INDEX(Personnel[Category],A247),"*leave*")&gt;0,IF(Total_Research_leave&gt;pers_leave_maxperc*Total_NWO_funding,$B$144,""),""),"")</f>
        <v/>
      </c>
      <c r="V247" s="218" t="str">
        <f>IFERROR(IF(COUNTIF(INDEX(Personnel[Category],A247),"*leave*")&gt;0,IF(Research_leave_FTE_months&gt;pers_leave_maxduration,$B$145,""),""),"")</f>
        <v/>
      </c>
      <c r="W247" s="218" t="str">
        <f>IFERROR(IF(AND(INDEX(Personnel[Costs],A247)=0,INDEX(salaries_academic[[category]:[1]],MATCH(INDEX(Personnel[Category],A247),salaries_academic[category],0),3)=0),$B$148,""),"")</f>
        <v/>
      </c>
      <c r="X247" s="218" t="e">
        <f>IF(AND(organisation_type="yes",INDEX(Personnel[Amount],A247,1)&lt;&gt;"",ISBLANK(INDEX(Personnel[Organisation type],A247,1))),$B$146,"")</f>
        <v>#REF!</v>
      </c>
      <c r="Y247" s="218" t="e">
        <f>IF(AND(organisation_name="yes",INDEX(Personnel[Amount],A247,1)&lt;&gt;"",ISBLANK(INDEX(Personnel[Name organisation],A247,1))),$B$147,"")</f>
        <v>#REF!</v>
      </c>
      <c r="Z247" s="218" t="str">
        <f>IFERROR(IF(AND(INDEX(Personnel[Costs],A247)&gt;0,INDEX(salaries_academic[[category]:[1]],MATCH(INDEX(Personnel[Category],A247),salaries_academic[category],0),3)&gt;0),$B$149,""),"")</f>
        <v/>
      </c>
      <c r="AA247" s="218"/>
    </row>
    <row r="248" spans="1:27" outlineLevel="1" x14ac:dyDescent="0.35">
      <c r="A248" s="195">
        <v>41</v>
      </c>
      <c r="B248" s="195" t="str">
        <f t="array" ref="B248">IFERROR(INDEX(personnel_ac_notes[[#This Row],[Exceeding nr months]:[Costs specified]],1,MATCH(TRUE,LEN(personnel_ac_notes[[#This Row],[Exceeding nr months]:[Costs specified]])&gt;0,0)),"")</f>
        <v/>
      </c>
      <c r="C248" s="195" t="str">
        <f>IFERROR(IF(INDEX(Personnel[Months],A248)&gt;Max_project_duration,$B$128,""),"")</f>
        <v/>
      </c>
      <c r="D248" s="195" t="str">
        <f>IFERROR(IF(AND(LEN(INDEX(Personnel[Category],A248))+LEN(INDEX(Personnel[FTE],A248))+LEN(INDEX(Personnel[Months],A248))&gt;0,LEN(INDEX(Personnel[Category],A248-1))+LEN(INDEX(Personnel[FTE],A248-1))+LEN(INDEX(Personnel[Months],A248-1))=0),$B$127,""),"")</f>
        <v/>
      </c>
      <c r="E248" s="195" t="str">
        <f>IF(AND(NOT(ISBLANK(INDEX(Personnel[Category],A248))),OR(ISBLANK(INDEX(Personnel[FTE],A248)),ISBLANK(INDEX(Personnel[Months],A248)))),VLOOKUP(INDEX(Personnel[Category],A248),salaries_academic[],2,FALSE),"")</f>
        <v/>
      </c>
      <c r="F248" s="195" t="str">
        <f>IFERROR(IF(COUNTIF(INDEX(Personnel[Category],A248),"*- PhD*")&gt;0,IF(INDEX(Personnel[Months],A248)*INDEX(Personnel[FTE],A248)&lt;pers_PhD_min_months,$B$129,""),""),"")</f>
        <v/>
      </c>
      <c r="G248" s="195" t="str">
        <f>IFERROR(IF(COUNTIF(INDEX(Personnel[Category],$A248),"*- PhD*")&gt;0,IF(INDEX(Personnel[Months],$A248)*INDEX(Personnel[FTE],$A248)&gt;pers_PhD_max_months,$B$130,""),""),"")</f>
        <v/>
      </c>
      <c r="H248" s="195" t="str">
        <f>IFERROR(IF(COUNTIF(INDEX(Personnel[Category],A248),"*year*")&gt;0,IF(INDEX(Personnel[Months],A248)*INDEX(Personnel[FTE],A248)&lt;pers_3yPhD_min_months,$B$131,""),""),"")</f>
        <v/>
      </c>
      <c r="I248" s="218" t="str">
        <f>IFERROR(IF(COUNTIF(INDEX(Personnel[Category],A248),"*PDEng*")&gt;0,IF(OR(IFERROR(MATCH("*PhD*",Personnel[Category],0),0)&gt;0,IFERROR(MATCH("*PostDoc*",Personnel[Category],0),0)&gt;0),"",$B$132),""),"")</f>
        <v/>
      </c>
      <c r="J248" s="218" t="str">
        <f>IFERROR(IF(COUNTIF(INDEX(Personnel[Category],A248),"*PDEng*")&gt;0,IF(INDEX(Personnel[Months],A248)*INDEX(Personnel[FTE],A248)&gt;pers_PDEng_max_months,$B$133,""),""),"")</f>
        <v/>
      </c>
      <c r="K248" s="218" t="str">
        <f>IFERROR(IF(COUNTIF(INDEX(Personnel[Category],A248),"*PostDoc*")&gt;0,IF(INDEX(Personnel[Months],A248)*INDEX(Personnel[FTE],A248)&lt;pers_PD_min_months,$B$134,""),""),"")</f>
        <v/>
      </c>
      <c r="L248" s="218" t="str">
        <f>IFERROR(IF(COUNTIF(INDEX(Personnel[Category],A248),"*PostDoc*")&gt;0,IF(INDEX(Personnel[Months],A248)*INDEX(Personnel[FTE],A248)&gt;pers_PD_max_months,$B$135,""),""),"")</f>
        <v/>
      </c>
      <c r="M248" s="218" t="str">
        <f>IFERROR(IF(COUNTIF(INDEX(Personnel[Category],A248),"*Non-scientific*")&gt;0,IF(OR(IFERROR(MATCH("*PhD*",Personnel[Category],0),0)&gt;0,IFERROR(MATCH("*PostDoc*",Personnel[Category],0),0)&gt;0),"",$B$136),""),"")</f>
        <v/>
      </c>
      <c r="N248" s="218" t="str">
        <f>IFERROR(IF(COUNTIF(INDEX(Personnel[Category],A248),"*Non-scientific*")&gt;0,IF(Total_NSP&gt;pers_max_NSP,$B$137,""),""),"")</f>
        <v/>
      </c>
      <c r="O248" s="218" t="str">
        <f>IFERROR(IF(COUNTIF(INDEX(Personnel[Category],A248),"*Non-scientific*")&gt;0,IF(INDEX(Personnel[Months],A248)*INDEX(Personnel[FTE],A248)&lt;pers_NSP_min_months,$B$138,""),""),"")</f>
        <v/>
      </c>
      <c r="P248" s="218" t="str">
        <f>IFERROR(IF(COUNTIF(INDEX(Personnel[Category],A248),"*Non-scientific*")&gt;0,IF(INDEX(Personnel[Months],A248)*INDEX(Personnel[FTE],A248)&gt;pers_NSP_max_months,$B$139,""),""),"")</f>
        <v/>
      </c>
      <c r="Q248" s="218" t="str">
        <f>IFERROR(IF(COUNTIF(INDEX(Personnel[Category],A248),"*Other scientific*")&gt;0,IF(OR(IFERROR(MATCH("*PhD*",Personnel[Category],0),0)&gt;0,IFERROR(MATCH("*PostDoc*",Personnel[Category],0),0)&gt;0),"",$B$140),""),"")</f>
        <v/>
      </c>
      <c r="R248" s="218" t="str">
        <f>IFERROR(IF(COUNTIF(INDEX(Personnel[Category],A248),"*Other scientific*")&gt;0,IF(Total_OSP&gt;pers_max_OSP,$B$141,""),""),"")</f>
        <v/>
      </c>
      <c r="S248" s="218" t="str">
        <f>IFERROR(IF(COUNTIF(INDEX(Personnel[Category],A248),"*Other scientific*")&gt;0,IF(INDEX(Personnel[Months],A248)*INDEX(Personnel[FTE],A248)&lt;pers_OSP_min_months,$B$142,""),""),"")</f>
        <v/>
      </c>
      <c r="T248" s="218" t="str">
        <f>IFERROR(IF(COUNTIF(INDEX(Personnel[Category],A248),"*Other scientific*")&gt;0,IF(INDEX(Personnel[Months],A248)*INDEX(Personnel[FTE],A248)&gt;pers_OSP_max_months,$B$143,""),""),"")</f>
        <v/>
      </c>
      <c r="U248" s="218" t="str">
        <f>IFERROR(IF(COUNTIF(INDEX(Personnel[Category],A248),"*leave*")&gt;0,IF(Total_Research_leave&gt;pers_leave_maxperc*Total_NWO_funding,$B$144,""),""),"")</f>
        <v/>
      </c>
      <c r="V248" s="218" t="str">
        <f>IFERROR(IF(COUNTIF(INDEX(Personnel[Category],A248),"*leave*")&gt;0,IF(Research_leave_FTE_months&gt;pers_leave_maxduration,$B$145,""),""),"")</f>
        <v/>
      </c>
      <c r="W248" s="218" t="str">
        <f>IFERROR(IF(AND(INDEX(Personnel[Costs],A248)=0,INDEX(salaries_academic[[category]:[1]],MATCH(INDEX(Personnel[Category],A248),salaries_academic[category],0),3)=0),$B$148,""),"")</f>
        <v/>
      </c>
      <c r="X248" s="218" t="e">
        <f>IF(AND(organisation_type="yes",INDEX(Personnel[Amount],A248,1)&lt;&gt;"",ISBLANK(INDEX(Personnel[Organisation type],A248,1))),$B$146,"")</f>
        <v>#REF!</v>
      </c>
      <c r="Y248" s="218" t="e">
        <f>IF(AND(organisation_name="yes",INDEX(Personnel[Amount],A248,1)&lt;&gt;"",ISBLANK(INDEX(Personnel[Name organisation],A248,1))),$B$147,"")</f>
        <v>#REF!</v>
      </c>
      <c r="Z248" s="218" t="str">
        <f>IFERROR(IF(AND(INDEX(Personnel[Costs],A248)&gt;0,INDEX(salaries_academic[[category]:[1]],MATCH(INDEX(Personnel[Category],A248),salaries_academic[category],0),3)&gt;0),$B$149,""),"")</f>
        <v/>
      </c>
      <c r="AA248" s="218"/>
    </row>
    <row r="249" spans="1:27" outlineLevel="1" x14ac:dyDescent="0.35">
      <c r="A249" s="195">
        <v>42</v>
      </c>
      <c r="B249" s="195" t="str">
        <f t="array" ref="B249">IFERROR(INDEX(personnel_ac_notes[[#This Row],[Exceeding nr months]:[Costs specified]],1,MATCH(TRUE,LEN(personnel_ac_notes[[#This Row],[Exceeding nr months]:[Costs specified]])&gt;0,0)),"")</f>
        <v/>
      </c>
      <c r="C249" s="195" t="str">
        <f>IFERROR(IF(INDEX(Personnel[Months],A249)&gt;Max_project_duration,$B$128,""),"")</f>
        <v/>
      </c>
      <c r="D249" s="195" t="str">
        <f>IFERROR(IF(AND(LEN(INDEX(Personnel[Category],A249))+LEN(INDEX(Personnel[FTE],A249))+LEN(INDEX(Personnel[Months],A249))&gt;0,LEN(INDEX(Personnel[Category],A249-1))+LEN(INDEX(Personnel[FTE],A249-1))+LEN(INDEX(Personnel[Months],A249-1))=0),$B$127,""),"")</f>
        <v/>
      </c>
      <c r="E249" s="195" t="str">
        <f>IF(AND(NOT(ISBLANK(INDEX(Personnel[Category],A249))),OR(ISBLANK(INDEX(Personnel[FTE],A249)),ISBLANK(INDEX(Personnel[Months],A249)))),VLOOKUP(INDEX(Personnel[Category],A249),salaries_academic[],2,FALSE),"")</f>
        <v/>
      </c>
      <c r="F249" s="195" t="str">
        <f>IFERROR(IF(COUNTIF(INDEX(Personnel[Category],A249),"*- PhD*")&gt;0,IF(INDEX(Personnel[Months],A249)*INDEX(Personnel[FTE],A249)&lt;pers_PhD_min_months,$B$129,""),""),"")</f>
        <v/>
      </c>
      <c r="G249" s="195" t="str">
        <f>IFERROR(IF(COUNTIF(INDEX(Personnel[Category],$A249),"*- PhD*")&gt;0,IF(INDEX(Personnel[Months],$A249)*INDEX(Personnel[FTE],$A249)&gt;pers_PhD_max_months,$B$130,""),""),"")</f>
        <v/>
      </c>
      <c r="H249" s="195" t="str">
        <f>IFERROR(IF(COUNTIF(INDEX(Personnel[Category],A249),"*year*")&gt;0,IF(INDEX(Personnel[Months],A249)*INDEX(Personnel[FTE],A249)&lt;pers_3yPhD_min_months,$B$131,""),""),"")</f>
        <v/>
      </c>
      <c r="I249" s="218" t="str">
        <f>IFERROR(IF(COUNTIF(INDEX(Personnel[Category],A249),"*PDEng*")&gt;0,IF(OR(IFERROR(MATCH("*PhD*",Personnel[Category],0),0)&gt;0,IFERROR(MATCH("*PostDoc*",Personnel[Category],0),0)&gt;0),"",$B$132),""),"")</f>
        <v/>
      </c>
      <c r="J249" s="218" t="str">
        <f>IFERROR(IF(COUNTIF(INDEX(Personnel[Category],A249),"*PDEng*")&gt;0,IF(INDEX(Personnel[Months],A249)*INDEX(Personnel[FTE],A249)&gt;pers_PDEng_max_months,$B$133,""),""),"")</f>
        <v/>
      </c>
      <c r="K249" s="218" t="str">
        <f>IFERROR(IF(COUNTIF(INDEX(Personnel[Category],A249),"*PostDoc*")&gt;0,IF(INDEX(Personnel[Months],A249)*INDEX(Personnel[FTE],A249)&lt;pers_PD_min_months,$B$134,""),""),"")</f>
        <v/>
      </c>
      <c r="L249" s="218" t="str">
        <f>IFERROR(IF(COUNTIF(INDEX(Personnel[Category],A249),"*PostDoc*")&gt;0,IF(INDEX(Personnel[Months],A249)*INDEX(Personnel[FTE],A249)&gt;pers_PD_max_months,$B$135,""),""),"")</f>
        <v/>
      </c>
      <c r="M249" s="218" t="str">
        <f>IFERROR(IF(COUNTIF(INDEX(Personnel[Category],A249),"*Non-scientific*")&gt;0,IF(OR(IFERROR(MATCH("*PhD*",Personnel[Category],0),0)&gt;0,IFERROR(MATCH("*PostDoc*",Personnel[Category],0),0)&gt;0),"",$B$136),""),"")</f>
        <v/>
      </c>
      <c r="N249" s="218" t="str">
        <f>IFERROR(IF(COUNTIF(INDEX(Personnel[Category],A249),"*Non-scientific*")&gt;0,IF(Total_NSP&gt;pers_max_NSP,$B$137,""),""),"")</f>
        <v/>
      </c>
      <c r="O249" s="218" t="str">
        <f>IFERROR(IF(COUNTIF(INDEX(Personnel[Category],A249),"*Non-scientific*")&gt;0,IF(INDEX(Personnel[Months],A249)*INDEX(Personnel[FTE],A249)&lt;pers_NSP_min_months,$B$138,""),""),"")</f>
        <v/>
      </c>
      <c r="P249" s="218" t="str">
        <f>IFERROR(IF(COUNTIF(INDEX(Personnel[Category],A249),"*Non-scientific*")&gt;0,IF(INDEX(Personnel[Months],A249)*INDEX(Personnel[FTE],A249)&gt;pers_NSP_max_months,$B$139,""),""),"")</f>
        <v/>
      </c>
      <c r="Q249" s="218" t="str">
        <f>IFERROR(IF(COUNTIF(INDEX(Personnel[Category],A249),"*Other scientific*")&gt;0,IF(OR(IFERROR(MATCH("*PhD*",Personnel[Category],0),0)&gt;0,IFERROR(MATCH("*PostDoc*",Personnel[Category],0),0)&gt;0),"",$B$140),""),"")</f>
        <v/>
      </c>
      <c r="R249" s="218" t="str">
        <f>IFERROR(IF(COUNTIF(INDEX(Personnel[Category],A249),"*Other scientific*")&gt;0,IF(Total_OSP&gt;pers_max_OSP,$B$141,""),""),"")</f>
        <v/>
      </c>
      <c r="S249" s="218" t="str">
        <f>IFERROR(IF(COUNTIF(INDEX(Personnel[Category],A249),"*Other scientific*")&gt;0,IF(INDEX(Personnel[Months],A249)*INDEX(Personnel[FTE],A249)&lt;pers_OSP_min_months,$B$142,""),""),"")</f>
        <v/>
      </c>
      <c r="T249" s="218" t="str">
        <f>IFERROR(IF(COUNTIF(INDEX(Personnel[Category],A249),"*Other scientific*")&gt;0,IF(INDEX(Personnel[Months],A249)*INDEX(Personnel[FTE],A249)&gt;pers_OSP_max_months,$B$143,""),""),"")</f>
        <v/>
      </c>
      <c r="U249" s="218" t="str">
        <f>IFERROR(IF(COUNTIF(INDEX(Personnel[Category],A249),"*leave*")&gt;0,IF(Total_Research_leave&gt;pers_leave_maxperc*Total_NWO_funding,$B$144,""),""),"")</f>
        <v/>
      </c>
      <c r="V249" s="218" t="str">
        <f>IFERROR(IF(COUNTIF(INDEX(Personnel[Category],A249),"*leave*")&gt;0,IF(Research_leave_FTE_months&gt;pers_leave_maxduration,$B$145,""),""),"")</f>
        <v/>
      </c>
      <c r="W249" s="218" t="str">
        <f>IFERROR(IF(AND(INDEX(Personnel[Costs],A249)=0,INDEX(salaries_academic[[category]:[1]],MATCH(INDEX(Personnel[Category],A249),salaries_academic[category],0),3)=0),$B$148,""),"")</f>
        <v/>
      </c>
      <c r="X249" s="218" t="e">
        <f>IF(AND(organisation_type="yes",INDEX(Personnel[Amount],A249,1)&lt;&gt;"",ISBLANK(INDEX(Personnel[Organisation type],A249,1))),$B$146,"")</f>
        <v>#REF!</v>
      </c>
      <c r="Y249" s="218" t="e">
        <f>IF(AND(organisation_name="yes",INDEX(Personnel[Amount],A249,1)&lt;&gt;"",ISBLANK(INDEX(Personnel[Name organisation],A249,1))),$B$147,"")</f>
        <v>#REF!</v>
      </c>
      <c r="Z249" s="218" t="str">
        <f>IFERROR(IF(AND(INDEX(Personnel[Costs],A249)&gt;0,INDEX(salaries_academic[[category]:[1]],MATCH(INDEX(Personnel[Category],A249),salaries_academic[category],0),3)&gt;0),$B$149,""),"")</f>
        <v/>
      </c>
      <c r="AA249" s="218"/>
    </row>
    <row r="250" spans="1:27" outlineLevel="1" x14ac:dyDescent="0.35">
      <c r="A250" s="195">
        <v>43</v>
      </c>
      <c r="B250" s="195" t="str">
        <f t="array" ref="B250">IFERROR(INDEX(personnel_ac_notes[[#This Row],[Exceeding nr months]:[Costs specified]],1,MATCH(TRUE,LEN(personnel_ac_notes[[#This Row],[Exceeding nr months]:[Costs specified]])&gt;0,0)),"")</f>
        <v/>
      </c>
      <c r="C250" s="195" t="str">
        <f>IFERROR(IF(INDEX(Personnel[Months],A250)&gt;Max_project_duration,$B$128,""),"")</f>
        <v/>
      </c>
      <c r="D250" s="195" t="str">
        <f>IFERROR(IF(AND(LEN(INDEX(Personnel[Category],A250))+LEN(INDEX(Personnel[FTE],A250))+LEN(INDEX(Personnel[Months],A250))&gt;0,LEN(INDEX(Personnel[Category],A250-1))+LEN(INDEX(Personnel[FTE],A250-1))+LEN(INDEX(Personnel[Months],A250-1))=0),$B$127,""),"")</f>
        <v/>
      </c>
      <c r="E250" s="195" t="str">
        <f>IF(AND(NOT(ISBLANK(INDEX(Personnel[Category],A250))),OR(ISBLANK(INDEX(Personnel[FTE],A250)),ISBLANK(INDEX(Personnel[Months],A250)))),VLOOKUP(INDEX(Personnel[Category],A250),salaries_academic[],2,FALSE),"")</f>
        <v/>
      </c>
      <c r="F250" s="195" t="str">
        <f>IFERROR(IF(COUNTIF(INDEX(Personnel[Category],A250),"*- PhD*")&gt;0,IF(INDEX(Personnel[Months],A250)*INDEX(Personnel[FTE],A250)&lt;pers_PhD_min_months,$B$129,""),""),"")</f>
        <v/>
      </c>
      <c r="G250" s="195" t="str">
        <f>IFERROR(IF(COUNTIF(INDEX(Personnel[Category],$A250),"*- PhD*")&gt;0,IF(INDEX(Personnel[Months],$A250)*INDEX(Personnel[FTE],$A250)&gt;pers_PhD_max_months,$B$130,""),""),"")</f>
        <v/>
      </c>
      <c r="H250" s="195" t="str">
        <f>IFERROR(IF(COUNTIF(INDEX(Personnel[Category],A250),"*year*")&gt;0,IF(INDEX(Personnel[Months],A250)*INDEX(Personnel[FTE],A250)&lt;pers_3yPhD_min_months,$B$131,""),""),"")</f>
        <v/>
      </c>
      <c r="I250" s="218" t="str">
        <f>IFERROR(IF(COUNTIF(INDEX(Personnel[Category],A250),"*PDEng*")&gt;0,IF(OR(IFERROR(MATCH("*PhD*",Personnel[Category],0),0)&gt;0,IFERROR(MATCH("*PostDoc*",Personnel[Category],0),0)&gt;0),"",$B$132),""),"")</f>
        <v/>
      </c>
      <c r="J250" s="218" t="str">
        <f>IFERROR(IF(COUNTIF(INDEX(Personnel[Category],A250),"*PDEng*")&gt;0,IF(INDEX(Personnel[Months],A250)*INDEX(Personnel[FTE],A250)&gt;pers_PDEng_max_months,$B$133,""),""),"")</f>
        <v/>
      </c>
      <c r="K250" s="218" t="str">
        <f>IFERROR(IF(COUNTIF(INDEX(Personnel[Category],A250),"*PostDoc*")&gt;0,IF(INDEX(Personnel[Months],A250)*INDEX(Personnel[FTE],A250)&lt;pers_PD_min_months,$B$134,""),""),"")</f>
        <v/>
      </c>
      <c r="L250" s="218" t="str">
        <f>IFERROR(IF(COUNTIF(INDEX(Personnel[Category],A250),"*PostDoc*")&gt;0,IF(INDEX(Personnel[Months],A250)*INDEX(Personnel[FTE],A250)&gt;pers_PD_max_months,$B$135,""),""),"")</f>
        <v/>
      </c>
      <c r="M250" s="218" t="str">
        <f>IFERROR(IF(COUNTIF(INDEX(Personnel[Category],A250),"*Non-scientific*")&gt;0,IF(OR(IFERROR(MATCH("*PhD*",Personnel[Category],0),0)&gt;0,IFERROR(MATCH("*PostDoc*",Personnel[Category],0),0)&gt;0),"",$B$136),""),"")</f>
        <v/>
      </c>
      <c r="N250" s="218" t="str">
        <f>IFERROR(IF(COUNTIF(INDEX(Personnel[Category],A250),"*Non-scientific*")&gt;0,IF(Total_NSP&gt;pers_max_NSP,$B$137,""),""),"")</f>
        <v/>
      </c>
      <c r="O250" s="218" t="str">
        <f>IFERROR(IF(COUNTIF(INDEX(Personnel[Category],A250),"*Non-scientific*")&gt;0,IF(INDEX(Personnel[Months],A250)*INDEX(Personnel[FTE],A250)&lt;pers_NSP_min_months,$B$138,""),""),"")</f>
        <v/>
      </c>
      <c r="P250" s="218" t="str">
        <f>IFERROR(IF(COUNTIF(INDEX(Personnel[Category],A250),"*Non-scientific*")&gt;0,IF(INDEX(Personnel[Months],A250)*INDEX(Personnel[FTE],A250)&gt;pers_NSP_max_months,$B$139,""),""),"")</f>
        <v/>
      </c>
      <c r="Q250" s="218" t="str">
        <f>IFERROR(IF(COUNTIF(INDEX(Personnel[Category],A250),"*Other scientific*")&gt;0,IF(OR(IFERROR(MATCH("*PhD*",Personnel[Category],0),0)&gt;0,IFERROR(MATCH("*PostDoc*",Personnel[Category],0),0)&gt;0),"",$B$140),""),"")</f>
        <v/>
      </c>
      <c r="R250" s="218" t="str">
        <f>IFERROR(IF(COUNTIF(INDEX(Personnel[Category],A250),"*Other scientific*")&gt;0,IF(Total_OSP&gt;pers_max_OSP,$B$141,""),""),"")</f>
        <v/>
      </c>
      <c r="S250" s="218" t="str">
        <f>IFERROR(IF(COUNTIF(INDEX(Personnel[Category],A250),"*Other scientific*")&gt;0,IF(INDEX(Personnel[Months],A250)*INDEX(Personnel[FTE],A250)&lt;pers_OSP_min_months,$B$142,""),""),"")</f>
        <v/>
      </c>
      <c r="T250" s="218" t="str">
        <f>IFERROR(IF(COUNTIF(INDEX(Personnel[Category],A250),"*Other scientific*")&gt;0,IF(INDEX(Personnel[Months],A250)*INDEX(Personnel[FTE],A250)&gt;pers_OSP_max_months,$B$143,""),""),"")</f>
        <v/>
      </c>
      <c r="U250" s="218" t="str">
        <f>IFERROR(IF(COUNTIF(INDEX(Personnel[Category],A250),"*leave*")&gt;0,IF(Total_Research_leave&gt;pers_leave_maxperc*Total_NWO_funding,$B$144,""),""),"")</f>
        <v/>
      </c>
      <c r="V250" s="218" t="str">
        <f>IFERROR(IF(COUNTIF(INDEX(Personnel[Category],A250),"*leave*")&gt;0,IF(Research_leave_FTE_months&gt;pers_leave_maxduration,$B$145,""),""),"")</f>
        <v/>
      </c>
      <c r="W250" s="218" t="str">
        <f>IFERROR(IF(AND(INDEX(Personnel[Costs],A250)=0,INDEX(salaries_academic[[category]:[1]],MATCH(INDEX(Personnel[Category],A250),salaries_academic[category],0),3)=0),$B$148,""),"")</f>
        <v/>
      </c>
      <c r="X250" s="218" t="e">
        <f>IF(AND(organisation_type="yes",INDEX(Personnel[Amount],A250,1)&lt;&gt;"",ISBLANK(INDEX(Personnel[Organisation type],A250,1))),$B$146,"")</f>
        <v>#REF!</v>
      </c>
      <c r="Y250" s="218" t="e">
        <f>IF(AND(organisation_name="yes",INDEX(Personnel[Amount],A250,1)&lt;&gt;"",ISBLANK(INDEX(Personnel[Name organisation],A250,1))),$B$147,"")</f>
        <v>#REF!</v>
      </c>
      <c r="Z250" s="218" t="str">
        <f>IFERROR(IF(AND(INDEX(Personnel[Costs],A250)&gt;0,INDEX(salaries_academic[[category]:[1]],MATCH(INDEX(Personnel[Category],A250),salaries_academic[category],0),3)&gt;0),$B$149,""),"")</f>
        <v/>
      </c>
      <c r="AA250" s="218"/>
    </row>
    <row r="251" spans="1:27" outlineLevel="1" x14ac:dyDescent="0.35">
      <c r="A251" s="195">
        <v>44</v>
      </c>
      <c r="B251" s="195" t="str">
        <f t="array" ref="B251">IFERROR(INDEX(personnel_ac_notes[[#This Row],[Exceeding nr months]:[Costs specified]],1,MATCH(TRUE,LEN(personnel_ac_notes[[#This Row],[Exceeding nr months]:[Costs specified]])&gt;0,0)),"")</f>
        <v/>
      </c>
      <c r="C251" s="195" t="str">
        <f>IFERROR(IF(INDEX(Personnel[Months],A251)&gt;Max_project_duration,$B$128,""),"")</f>
        <v/>
      </c>
      <c r="D251" s="195" t="str">
        <f>IFERROR(IF(AND(LEN(INDEX(Personnel[Category],A251))+LEN(INDEX(Personnel[FTE],A251))+LEN(INDEX(Personnel[Months],A251))&gt;0,LEN(INDEX(Personnel[Category],A251-1))+LEN(INDEX(Personnel[FTE],A251-1))+LEN(INDEX(Personnel[Months],A251-1))=0),$B$127,""),"")</f>
        <v/>
      </c>
      <c r="E251" s="195" t="str">
        <f>IF(AND(NOT(ISBLANK(INDEX(Personnel[Category],A251))),OR(ISBLANK(INDEX(Personnel[FTE],A251)),ISBLANK(INDEX(Personnel[Months],A251)))),VLOOKUP(INDEX(Personnel[Category],A251),salaries_academic[],2,FALSE),"")</f>
        <v/>
      </c>
      <c r="F251" s="195" t="str">
        <f>IFERROR(IF(COUNTIF(INDEX(Personnel[Category],A251),"*- PhD*")&gt;0,IF(INDEX(Personnel[Months],A251)*INDEX(Personnel[FTE],A251)&lt;pers_PhD_min_months,$B$129,""),""),"")</f>
        <v/>
      </c>
      <c r="G251" s="195" t="str">
        <f>IFERROR(IF(COUNTIF(INDEX(Personnel[Category],$A251),"*- PhD*")&gt;0,IF(INDEX(Personnel[Months],$A251)*INDEX(Personnel[FTE],$A251)&gt;pers_PhD_max_months,$B$130,""),""),"")</f>
        <v/>
      </c>
      <c r="H251" s="195" t="str">
        <f>IFERROR(IF(COUNTIF(INDEX(Personnel[Category],A251),"*year*")&gt;0,IF(INDEX(Personnel[Months],A251)*INDEX(Personnel[FTE],A251)&lt;pers_3yPhD_min_months,$B$131,""),""),"")</f>
        <v/>
      </c>
      <c r="I251" s="218" t="str">
        <f>IFERROR(IF(COUNTIF(INDEX(Personnel[Category],A251),"*PDEng*")&gt;0,IF(OR(IFERROR(MATCH("*PhD*",Personnel[Category],0),0)&gt;0,IFERROR(MATCH("*PostDoc*",Personnel[Category],0),0)&gt;0),"",$B$132),""),"")</f>
        <v/>
      </c>
      <c r="J251" s="218" t="str">
        <f>IFERROR(IF(COUNTIF(INDEX(Personnel[Category],A251),"*PDEng*")&gt;0,IF(INDEX(Personnel[Months],A251)*INDEX(Personnel[FTE],A251)&gt;pers_PDEng_max_months,$B$133,""),""),"")</f>
        <v/>
      </c>
      <c r="K251" s="218" t="str">
        <f>IFERROR(IF(COUNTIF(INDEX(Personnel[Category],A251),"*PostDoc*")&gt;0,IF(INDEX(Personnel[Months],A251)*INDEX(Personnel[FTE],A251)&lt;pers_PD_min_months,$B$134,""),""),"")</f>
        <v/>
      </c>
      <c r="L251" s="218" t="str">
        <f>IFERROR(IF(COUNTIF(INDEX(Personnel[Category],A251),"*PostDoc*")&gt;0,IF(INDEX(Personnel[Months],A251)*INDEX(Personnel[FTE],A251)&gt;pers_PD_max_months,$B$135,""),""),"")</f>
        <v/>
      </c>
      <c r="M251" s="218" t="str">
        <f>IFERROR(IF(COUNTIF(INDEX(Personnel[Category],A251),"*Non-scientific*")&gt;0,IF(OR(IFERROR(MATCH("*PhD*",Personnel[Category],0),0)&gt;0,IFERROR(MATCH("*PostDoc*",Personnel[Category],0),0)&gt;0),"",$B$136),""),"")</f>
        <v/>
      </c>
      <c r="N251" s="218" t="str">
        <f>IFERROR(IF(COUNTIF(INDEX(Personnel[Category],A251),"*Non-scientific*")&gt;0,IF(Total_NSP&gt;pers_max_NSP,$B$137,""),""),"")</f>
        <v/>
      </c>
      <c r="O251" s="218" t="str">
        <f>IFERROR(IF(COUNTIF(INDEX(Personnel[Category],A251),"*Non-scientific*")&gt;0,IF(INDEX(Personnel[Months],A251)*INDEX(Personnel[FTE],A251)&lt;pers_NSP_min_months,$B$138,""),""),"")</f>
        <v/>
      </c>
      <c r="P251" s="218" t="str">
        <f>IFERROR(IF(COUNTIF(INDEX(Personnel[Category],A251),"*Non-scientific*")&gt;0,IF(INDEX(Personnel[Months],A251)*INDEX(Personnel[FTE],A251)&gt;pers_NSP_max_months,$B$139,""),""),"")</f>
        <v/>
      </c>
      <c r="Q251" s="218" t="str">
        <f>IFERROR(IF(COUNTIF(INDEX(Personnel[Category],A251),"*Other scientific*")&gt;0,IF(OR(IFERROR(MATCH("*PhD*",Personnel[Category],0),0)&gt;0,IFERROR(MATCH("*PostDoc*",Personnel[Category],0),0)&gt;0),"",$B$140),""),"")</f>
        <v/>
      </c>
      <c r="R251" s="218" t="str">
        <f>IFERROR(IF(COUNTIF(INDEX(Personnel[Category],A251),"*Other scientific*")&gt;0,IF(Total_OSP&gt;pers_max_OSP,$B$141,""),""),"")</f>
        <v/>
      </c>
      <c r="S251" s="218" t="str">
        <f>IFERROR(IF(COUNTIF(INDEX(Personnel[Category],A251),"*Other scientific*")&gt;0,IF(INDEX(Personnel[Months],A251)*INDEX(Personnel[FTE],A251)&lt;pers_OSP_min_months,$B$142,""),""),"")</f>
        <v/>
      </c>
      <c r="T251" s="218" t="str">
        <f>IFERROR(IF(COUNTIF(INDEX(Personnel[Category],A251),"*Other scientific*")&gt;0,IF(INDEX(Personnel[Months],A251)*INDEX(Personnel[FTE],A251)&gt;pers_OSP_max_months,$B$143,""),""),"")</f>
        <v/>
      </c>
      <c r="U251" s="218" t="str">
        <f>IFERROR(IF(COUNTIF(INDEX(Personnel[Category],A251),"*leave*")&gt;0,IF(Total_Research_leave&gt;pers_leave_maxperc*Total_NWO_funding,$B$144,""),""),"")</f>
        <v/>
      </c>
      <c r="V251" s="218" t="str">
        <f>IFERROR(IF(COUNTIF(INDEX(Personnel[Category],A251),"*leave*")&gt;0,IF(Research_leave_FTE_months&gt;pers_leave_maxduration,$B$145,""),""),"")</f>
        <v/>
      </c>
      <c r="W251" s="218" t="str">
        <f>IFERROR(IF(AND(INDEX(Personnel[Costs],A251)=0,INDEX(salaries_academic[[category]:[1]],MATCH(INDEX(Personnel[Category],A251),salaries_academic[category],0),3)=0),$B$148,""),"")</f>
        <v/>
      </c>
      <c r="X251" s="218" t="e">
        <f>IF(AND(organisation_type="yes",INDEX(Personnel[Amount],A251,1)&lt;&gt;"",ISBLANK(INDEX(Personnel[Organisation type],A251,1))),$B$146,"")</f>
        <v>#REF!</v>
      </c>
      <c r="Y251" s="218" t="e">
        <f>IF(AND(organisation_name="yes",INDEX(Personnel[Amount],A251,1)&lt;&gt;"",ISBLANK(INDEX(Personnel[Name organisation],A251,1))),$B$147,"")</f>
        <v>#REF!</v>
      </c>
      <c r="Z251" s="218" t="str">
        <f>IFERROR(IF(AND(INDEX(Personnel[Costs],A251)&gt;0,INDEX(salaries_academic[[category]:[1]],MATCH(INDEX(Personnel[Category],A251),salaries_academic[category],0),3)&gt;0),$B$149,""),"")</f>
        <v/>
      </c>
      <c r="AA251" s="218"/>
    </row>
    <row r="252" spans="1:27" outlineLevel="1" x14ac:dyDescent="0.35">
      <c r="A252" s="195">
        <v>45</v>
      </c>
      <c r="B252" s="195" t="str">
        <f t="array" ref="B252">IFERROR(INDEX(personnel_ac_notes[[#This Row],[Exceeding nr months]:[Costs specified]],1,MATCH(TRUE,LEN(personnel_ac_notes[[#This Row],[Exceeding nr months]:[Costs specified]])&gt;0,0)),"")</f>
        <v/>
      </c>
      <c r="C252" s="195" t="str">
        <f>IFERROR(IF(INDEX(Personnel[Months],A252)&gt;Max_project_duration,$B$128,""),"")</f>
        <v/>
      </c>
      <c r="D252" s="195" t="str">
        <f>IFERROR(IF(AND(LEN(INDEX(Personnel[Category],A252))+LEN(INDEX(Personnel[FTE],A252))+LEN(INDEX(Personnel[Months],A252))&gt;0,LEN(INDEX(Personnel[Category],A252-1))+LEN(INDEX(Personnel[FTE],A252-1))+LEN(INDEX(Personnel[Months],A252-1))=0),$B$127,""),"")</f>
        <v/>
      </c>
      <c r="E252" s="195" t="str">
        <f>IF(AND(NOT(ISBLANK(INDEX(Personnel[Category],A252))),OR(ISBLANK(INDEX(Personnel[FTE],A252)),ISBLANK(INDEX(Personnel[Months],A252)))),VLOOKUP(INDEX(Personnel[Category],A252),salaries_academic[],2,FALSE),"")</f>
        <v/>
      </c>
      <c r="F252" s="195" t="str">
        <f>IFERROR(IF(COUNTIF(INDEX(Personnel[Category],A252),"*- PhD*")&gt;0,IF(INDEX(Personnel[Months],A252)*INDEX(Personnel[FTE],A252)&lt;pers_PhD_min_months,$B$129,""),""),"")</f>
        <v/>
      </c>
      <c r="G252" s="195" t="str">
        <f>IFERROR(IF(COUNTIF(INDEX(Personnel[Category],$A252),"*- PhD*")&gt;0,IF(INDEX(Personnel[Months],$A252)*INDEX(Personnel[FTE],$A252)&gt;pers_PhD_max_months,$B$130,""),""),"")</f>
        <v/>
      </c>
      <c r="H252" s="195" t="str">
        <f>IFERROR(IF(COUNTIF(INDEX(Personnel[Category],A252),"*year*")&gt;0,IF(INDEX(Personnel[Months],A252)*INDEX(Personnel[FTE],A252)&lt;pers_3yPhD_min_months,$B$131,""),""),"")</f>
        <v/>
      </c>
      <c r="I252" s="218" t="str">
        <f>IFERROR(IF(COUNTIF(INDEX(Personnel[Category],A252),"*PDEng*")&gt;0,IF(OR(IFERROR(MATCH("*PhD*",Personnel[Category],0),0)&gt;0,IFERROR(MATCH("*PostDoc*",Personnel[Category],0),0)&gt;0),"",$B$132),""),"")</f>
        <v/>
      </c>
      <c r="J252" s="218" t="str">
        <f>IFERROR(IF(COUNTIF(INDEX(Personnel[Category],A252),"*PDEng*")&gt;0,IF(INDEX(Personnel[Months],A252)*INDEX(Personnel[FTE],A252)&gt;pers_PDEng_max_months,$B$133,""),""),"")</f>
        <v/>
      </c>
      <c r="K252" s="218" t="str">
        <f>IFERROR(IF(COUNTIF(INDEX(Personnel[Category],A252),"*PostDoc*")&gt;0,IF(INDEX(Personnel[Months],A252)*INDEX(Personnel[FTE],A252)&lt;pers_PD_min_months,$B$134,""),""),"")</f>
        <v/>
      </c>
      <c r="L252" s="218" t="str">
        <f>IFERROR(IF(COUNTIF(INDEX(Personnel[Category],A252),"*PostDoc*")&gt;0,IF(INDEX(Personnel[Months],A252)*INDEX(Personnel[FTE],A252)&gt;pers_PD_max_months,$B$135,""),""),"")</f>
        <v/>
      </c>
      <c r="M252" s="218" t="str">
        <f>IFERROR(IF(COUNTIF(INDEX(Personnel[Category],A252),"*Non-scientific*")&gt;0,IF(OR(IFERROR(MATCH("*PhD*",Personnel[Category],0),0)&gt;0,IFERROR(MATCH("*PostDoc*",Personnel[Category],0),0)&gt;0),"",$B$136),""),"")</f>
        <v/>
      </c>
      <c r="N252" s="218" t="str">
        <f>IFERROR(IF(COUNTIF(INDEX(Personnel[Category],A252),"*Non-scientific*")&gt;0,IF(Total_NSP&gt;pers_max_NSP,$B$137,""),""),"")</f>
        <v/>
      </c>
      <c r="O252" s="218" t="str">
        <f>IFERROR(IF(COUNTIF(INDEX(Personnel[Category],A252),"*Non-scientific*")&gt;0,IF(INDEX(Personnel[Months],A252)*INDEX(Personnel[FTE],A252)&lt;pers_NSP_min_months,$B$138,""),""),"")</f>
        <v/>
      </c>
      <c r="P252" s="218" t="str">
        <f>IFERROR(IF(COUNTIF(INDEX(Personnel[Category],A252),"*Non-scientific*")&gt;0,IF(INDEX(Personnel[Months],A252)*INDEX(Personnel[FTE],A252)&gt;pers_NSP_max_months,$B$139,""),""),"")</f>
        <v/>
      </c>
      <c r="Q252" s="218" t="str">
        <f>IFERROR(IF(COUNTIF(INDEX(Personnel[Category],A252),"*Other scientific*")&gt;0,IF(OR(IFERROR(MATCH("*PhD*",Personnel[Category],0),0)&gt;0,IFERROR(MATCH("*PostDoc*",Personnel[Category],0),0)&gt;0),"",$B$140),""),"")</f>
        <v/>
      </c>
      <c r="R252" s="218" t="str">
        <f>IFERROR(IF(COUNTIF(INDEX(Personnel[Category],A252),"*Other scientific*")&gt;0,IF(Total_OSP&gt;pers_max_OSP,$B$141,""),""),"")</f>
        <v/>
      </c>
      <c r="S252" s="218" t="str">
        <f>IFERROR(IF(COUNTIF(INDEX(Personnel[Category],A252),"*Other scientific*")&gt;0,IF(INDEX(Personnel[Months],A252)*INDEX(Personnel[FTE],A252)&lt;pers_OSP_min_months,$B$142,""),""),"")</f>
        <v/>
      </c>
      <c r="T252" s="218" t="str">
        <f>IFERROR(IF(COUNTIF(INDEX(Personnel[Category],A252),"*Other scientific*")&gt;0,IF(INDEX(Personnel[Months],A252)*INDEX(Personnel[FTE],A252)&gt;pers_OSP_max_months,$B$143,""),""),"")</f>
        <v/>
      </c>
      <c r="U252" s="218" t="str">
        <f>IFERROR(IF(COUNTIF(INDEX(Personnel[Category],A252),"*leave*")&gt;0,IF(Total_Research_leave&gt;pers_leave_maxperc*Total_NWO_funding,$B$144,""),""),"")</f>
        <v/>
      </c>
      <c r="V252" s="218" t="str">
        <f>IFERROR(IF(COUNTIF(INDEX(Personnel[Category],A252),"*leave*")&gt;0,IF(Research_leave_FTE_months&gt;pers_leave_maxduration,$B$145,""),""),"")</f>
        <v/>
      </c>
      <c r="W252" s="218" t="str">
        <f>IFERROR(IF(AND(INDEX(Personnel[Costs],A252)=0,INDEX(salaries_academic[[category]:[1]],MATCH(INDEX(Personnel[Category],A252),salaries_academic[category],0),3)=0),$B$148,""),"")</f>
        <v/>
      </c>
      <c r="X252" s="218" t="e">
        <f>IF(AND(organisation_type="yes",INDEX(Personnel[Amount],A252,1)&lt;&gt;"",ISBLANK(INDEX(Personnel[Organisation type],A252,1))),$B$146,"")</f>
        <v>#REF!</v>
      </c>
      <c r="Y252" s="218" t="e">
        <f>IF(AND(organisation_name="yes",INDEX(Personnel[Amount],A252,1)&lt;&gt;"",ISBLANK(INDEX(Personnel[Name organisation],A252,1))),$B$147,"")</f>
        <v>#REF!</v>
      </c>
      <c r="Z252" s="218" t="str">
        <f>IFERROR(IF(AND(INDEX(Personnel[Costs],A252)&gt;0,INDEX(salaries_academic[[category]:[1]],MATCH(INDEX(Personnel[Category],A252),salaries_academic[category],0),3)&gt;0),$B$149,""),"")</f>
        <v/>
      </c>
      <c r="AA252" s="218"/>
    </row>
    <row r="253" spans="1:27" outlineLevel="1" x14ac:dyDescent="0.35">
      <c r="A253" s="195">
        <v>46</v>
      </c>
      <c r="B253" s="195" t="str">
        <f t="array" ref="B253">IFERROR(INDEX(personnel_ac_notes[[#This Row],[Exceeding nr months]:[Costs specified]],1,MATCH(TRUE,LEN(personnel_ac_notes[[#This Row],[Exceeding nr months]:[Costs specified]])&gt;0,0)),"")</f>
        <v/>
      </c>
      <c r="C253" s="195" t="str">
        <f>IFERROR(IF(INDEX(Personnel[Months],A253)&gt;Max_project_duration,$B$128,""),"")</f>
        <v/>
      </c>
      <c r="D253" s="195" t="str">
        <f>IFERROR(IF(AND(LEN(INDEX(Personnel[Category],A253))+LEN(INDEX(Personnel[FTE],A253))+LEN(INDEX(Personnel[Months],A253))&gt;0,LEN(INDEX(Personnel[Category],A253-1))+LEN(INDEX(Personnel[FTE],A253-1))+LEN(INDEX(Personnel[Months],A253-1))=0),$B$127,""),"")</f>
        <v/>
      </c>
      <c r="E253" s="195" t="str">
        <f>IF(AND(NOT(ISBLANK(INDEX(Personnel[Category],A253))),OR(ISBLANK(INDEX(Personnel[FTE],A253)),ISBLANK(INDEX(Personnel[Months],A253)))),VLOOKUP(INDEX(Personnel[Category],A253),salaries_academic[],2,FALSE),"")</f>
        <v/>
      </c>
      <c r="F253" s="195" t="str">
        <f>IFERROR(IF(COUNTIF(INDEX(Personnel[Category],A253),"*- PhD*")&gt;0,IF(INDEX(Personnel[Months],A253)*INDEX(Personnel[FTE],A253)&lt;pers_PhD_min_months,$B$129,""),""),"")</f>
        <v/>
      </c>
      <c r="G253" s="195" t="str">
        <f>IFERROR(IF(COUNTIF(INDEX(Personnel[Category],$A253),"*- PhD*")&gt;0,IF(INDEX(Personnel[Months],$A253)*INDEX(Personnel[FTE],$A253)&gt;pers_PhD_max_months,$B$130,""),""),"")</f>
        <v/>
      </c>
      <c r="H253" s="195" t="str">
        <f>IFERROR(IF(COUNTIF(INDEX(Personnel[Category],A253),"*year*")&gt;0,IF(INDEX(Personnel[Months],A253)*INDEX(Personnel[FTE],A253)&lt;pers_3yPhD_min_months,$B$131,""),""),"")</f>
        <v/>
      </c>
      <c r="I253" s="218" t="str">
        <f>IFERROR(IF(COUNTIF(INDEX(Personnel[Category],A253),"*PDEng*")&gt;0,IF(OR(IFERROR(MATCH("*PhD*",Personnel[Category],0),0)&gt;0,IFERROR(MATCH("*PostDoc*",Personnel[Category],0),0)&gt;0),"",$B$132),""),"")</f>
        <v/>
      </c>
      <c r="J253" s="218" t="str">
        <f>IFERROR(IF(COUNTIF(INDEX(Personnel[Category],A253),"*PDEng*")&gt;0,IF(INDEX(Personnel[Months],A253)*INDEX(Personnel[FTE],A253)&gt;pers_PDEng_max_months,$B$133,""),""),"")</f>
        <v/>
      </c>
      <c r="K253" s="218" t="str">
        <f>IFERROR(IF(COUNTIF(INDEX(Personnel[Category],A253),"*PostDoc*")&gt;0,IF(INDEX(Personnel[Months],A253)*INDEX(Personnel[FTE],A253)&lt;pers_PD_min_months,$B$134,""),""),"")</f>
        <v/>
      </c>
      <c r="L253" s="218" t="str">
        <f>IFERROR(IF(COUNTIF(INDEX(Personnel[Category],A253),"*PostDoc*")&gt;0,IF(INDEX(Personnel[Months],A253)*INDEX(Personnel[FTE],A253)&gt;pers_PD_max_months,$B$135,""),""),"")</f>
        <v/>
      </c>
      <c r="M253" s="218" t="str">
        <f>IFERROR(IF(COUNTIF(INDEX(Personnel[Category],A253),"*Non-scientific*")&gt;0,IF(OR(IFERROR(MATCH("*PhD*",Personnel[Category],0),0)&gt;0,IFERROR(MATCH("*PostDoc*",Personnel[Category],0),0)&gt;0),"",$B$136),""),"")</f>
        <v/>
      </c>
      <c r="N253" s="218" t="str">
        <f>IFERROR(IF(COUNTIF(INDEX(Personnel[Category],A253),"*Non-scientific*")&gt;0,IF(Total_NSP&gt;pers_max_NSP,$B$137,""),""),"")</f>
        <v/>
      </c>
      <c r="O253" s="218" t="str">
        <f>IFERROR(IF(COUNTIF(INDEX(Personnel[Category],A253),"*Non-scientific*")&gt;0,IF(INDEX(Personnel[Months],A253)*INDEX(Personnel[FTE],A253)&lt;pers_NSP_min_months,$B$138,""),""),"")</f>
        <v/>
      </c>
      <c r="P253" s="218" t="str">
        <f>IFERROR(IF(COUNTIF(INDEX(Personnel[Category],A253),"*Non-scientific*")&gt;0,IF(INDEX(Personnel[Months],A253)*INDEX(Personnel[FTE],A253)&gt;pers_NSP_max_months,$B$139,""),""),"")</f>
        <v/>
      </c>
      <c r="Q253" s="218" t="str">
        <f>IFERROR(IF(COUNTIF(INDEX(Personnel[Category],A253),"*Other scientific*")&gt;0,IF(OR(IFERROR(MATCH("*PhD*",Personnel[Category],0),0)&gt;0,IFERROR(MATCH("*PostDoc*",Personnel[Category],0),0)&gt;0),"",$B$140),""),"")</f>
        <v/>
      </c>
      <c r="R253" s="218" t="str">
        <f>IFERROR(IF(COUNTIF(INDEX(Personnel[Category],A253),"*Other scientific*")&gt;0,IF(Total_OSP&gt;pers_max_OSP,$B$141,""),""),"")</f>
        <v/>
      </c>
      <c r="S253" s="218" t="str">
        <f>IFERROR(IF(COUNTIF(INDEX(Personnel[Category],A253),"*Other scientific*")&gt;0,IF(INDEX(Personnel[Months],A253)*INDEX(Personnel[FTE],A253)&lt;pers_OSP_min_months,$B$142,""),""),"")</f>
        <v/>
      </c>
      <c r="T253" s="218" t="str">
        <f>IFERROR(IF(COUNTIF(INDEX(Personnel[Category],A253),"*Other scientific*")&gt;0,IF(INDEX(Personnel[Months],A253)*INDEX(Personnel[FTE],A253)&gt;pers_OSP_max_months,$B$143,""),""),"")</f>
        <v/>
      </c>
      <c r="U253" s="218" t="str">
        <f>IFERROR(IF(COUNTIF(INDEX(Personnel[Category],A253),"*leave*")&gt;0,IF(Total_Research_leave&gt;pers_leave_maxperc*Total_NWO_funding,$B$144,""),""),"")</f>
        <v/>
      </c>
      <c r="V253" s="218" t="str">
        <f>IFERROR(IF(COUNTIF(INDEX(Personnel[Category],A253),"*leave*")&gt;0,IF(Research_leave_FTE_months&gt;pers_leave_maxduration,$B$145,""),""),"")</f>
        <v/>
      </c>
      <c r="W253" s="218" t="str">
        <f>IFERROR(IF(AND(INDEX(Personnel[Costs],A253)=0,INDEX(salaries_academic[[category]:[1]],MATCH(INDEX(Personnel[Category],A253),salaries_academic[category],0),3)=0),$B$148,""),"")</f>
        <v/>
      </c>
      <c r="X253" s="218" t="e">
        <f>IF(AND(organisation_type="yes",INDEX(Personnel[Amount],A253,1)&lt;&gt;"",ISBLANK(INDEX(Personnel[Organisation type],A253,1))),$B$146,"")</f>
        <v>#REF!</v>
      </c>
      <c r="Y253" s="218" t="e">
        <f>IF(AND(organisation_name="yes",INDEX(Personnel[Amount],A253,1)&lt;&gt;"",ISBLANK(INDEX(Personnel[Name organisation],A253,1))),$B$147,"")</f>
        <v>#REF!</v>
      </c>
      <c r="Z253" s="218" t="str">
        <f>IFERROR(IF(AND(INDEX(Personnel[Costs],A253)&gt;0,INDEX(salaries_academic[[category]:[1]],MATCH(INDEX(Personnel[Category],A253),salaries_academic[category],0),3)&gt;0),$B$149,""),"")</f>
        <v/>
      </c>
      <c r="AA253" s="218"/>
    </row>
    <row r="254" spans="1:27" outlineLevel="1" x14ac:dyDescent="0.35">
      <c r="A254" s="195">
        <v>47</v>
      </c>
      <c r="B254" s="195" t="str">
        <f t="array" ref="B254">IFERROR(INDEX(personnel_ac_notes[[#This Row],[Exceeding nr months]:[Costs specified]],1,MATCH(TRUE,LEN(personnel_ac_notes[[#This Row],[Exceeding nr months]:[Costs specified]])&gt;0,0)),"")</f>
        <v/>
      </c>
      <c r="C254" s="195" t="str">
        <f>IFERROR(IF(INDEX(Personnel[Months],A254)&gt;Max_project_duration,$B$128,""),"")</f>
        <v/>
      </c>
      <c r="D254" s="195" t="str">
        <f>IFERROR(IF(AND(LEN(INDEX(Personnel[Category],A254))+LEN(INDEX(Personnel[FTE],A254))+LEN(INDEX(Personnel[Months],A254))&gt;0,LEN(INDEX(Personnel[Category],A254-1))+LEN(INDEX(Personnel[FTE],A254-1))+LEN(INDEX(Personnel[Months],A254-1))=0),$B$127,""),"")</f>
        <v/>
      </c>
      <c r="E254" s="195" t="str">
        <f>IF(AND(NOT(ISBLANK(INDEX(Personnel[Category],A254))),OR(ISBLANK(INDEX(Personnel[FTE],A254)),ISBLANK(INDEX(Personnel[Months],A254)))),VLOOKUP(INDEX(Personnel[Category],A254),salaries_academic[],2,FALSE),"")</f>
        <v/>
      </c>
      <c r="F254" s="195" t="str">
        <f>IFERROR(IF(COUNTIF(INDEX(Personnel[Category],A254),"*- PhD*")&gt;0,IF(INDEX(Personnel[Months],A254)*INDEX(Personnel[FTE],A254)&lt;pers_PhD_min_months,$B$129,""),""),"")</f>
        <v/>
      </c>
      <c r="G254" s="195" t="str">
        <f>IFERROR(IF(COUNTIF(INDEX(Personnel[Category],$A254),"*- PhD*")&gt;0,IF(INDEX(Personnel[Months],$A254)*INDEX(Personnel[FTE],$A254)&gt;pers_PhD_max_months,$B$130,""),""),"")</f>
        <v/>
      </c>
      <c r="H254" s="195" t="str">
        <f>IFERROR(IF(COUNTIF(INDEX(Personnel[Category],A254),"*year*")&gt;0,IF(INDEX(Personnel[Months],A254)*INDEX(Personnel[FTE],A254)&lt;pers_3yPhD_min_months,$B$131,""),""),"")</f>
        <v/>
      </c>
      <c r="I254" s="218" t="str">
        <f>IFERROR(IF(COUNTIF(INDEX(Personnel[Category],A254),"*PDEng*")&gt;0,IF(OR(IFERROR(MATCH("*PhD*",Personnel[Category],0),0)&gt;0,IFERROR(MATCH("*PostDoc*",Personnel[Category],0),0)&gt;0),"",$B$132),""),"")</f>
        <v/>
      </c>
      <c r="J254" s="218" t="str">
        <f>IFERROR(IF(COUNTIF(INDEX(Personnel[Category],A254),"*PDEng*")&gt;0,IF(INDEX(Personnel[Months],A254)*INDEX(Personnel[FTE],A254)&gt;pers_PDEng_max_months,$B$133,""),""),"")</f>
        <v/>
      </c>
      <c r="K254" s="218" t="str">
        <f>IFERROR(IF(COUNTIF(INDEX(Personnel[Category],A254),"*PostDoc*")&gt;0,IF(INDEX(Personnel[Months],A254)*INDEX(Personnel[FTE],A254)&lt;pers_PD_min_months,$B$134,""),""),"")</f>
        <v/>
      </c>
      <c r="L254" s="218" t="str">
        <f>IFERROR(IF(COUNTIF(INDEX(Personnel[Category],A254),"*PostDoc*")&gt;0,IF(INDEX(Personnel[Months],A254)*INDEX(Personnel[FTE],A254)&gt;pers_PD_max_months,$B$135,""),""),"")</f>
        <v/>
      </c>
      <c r="M254" s="218" t="str">
        <f>IFERROR(IF(COUNTIF(INDEX(Personnel[Category],A254),"*Non-scientific*")&gt;0,IF(OR(IFERROR(MATCH("*PhD*",Personnel[Category],0),0)&gt;0,IFERROR(MATCH("*PostDoc*",Personnel[Category],0),0)&gt;0),"",$B$136),""),"")</f>
        <v/>
      </c>
      <c r="N254" s="218" t="str">
        <f>IFERROR(IF(COUNTIF(INDEX(Personnel[Category],A254),"*Non-scientific*")&gt;0,IF(Total_NSP&gt;pers_max_NSP,$B$137,""),""),"")</f>
        <v/>
      </c>
      <c r="O254" s="218" t="str">
        <f>IFERROR(IF(COUNTIF(INDEX(Personnel[Category],A254),"*Non-scientific*")&gt;0,IF(INDEX(Personnel[Months],A254)*INDEX(Personnel[FTE],A254)&lt;pers_NSP_min_months,$B$138,""),""),"")</f>
        <v/>
      </c>
      <c r="P254" s="218" t="str">
        <f>IFERROR(IF(COUNTIF(INDEX(Personnel[Category],A254),"*Non-scientific*")&gt;0,IF(INDEX(Personnel[Months],A254)*INDEX(Personnel[FTE],A254)&gt;pers_NSP_max_months,$B$139,""),""),"")</f>
        <v/>
      </c>
      <c r="Q254" s="218" t="str">
        <f>IFERROR(IF(COUNTIF(INDEX(Personnel[Category],A254),"*Other scientific*")&gt;0,IF(OR(IFERROR(MATCH("*PhD*",Personnel[Category],0),0)&gt;0,IFERROR(MATCH("*PostDoc*",Personnel[Category],0),0)&gt;0),"",$B$140),""),"")</f>
        <v/>
      </c>
      <c r="R254" s="218" t="str">
        <f>IFERROR(IF(COUNTIF(INDEX(Personnel[Category],A254),"*Other scientific*")&gt;0,IF(Total_OSP&gt;pers_max_OSP,$B$141,""),""),"")</f>
        <v/>
      </c>
      <c r="S254" s="218" t="str">
        <f>IFERROR(IF(COUNTIF(INDEX(Personnel[Category],A254),"*Other scientific*")&gt;0,IF(INDEX(Personnel[Months],A254)*INDEX(Personnel[FTE],A254)&lt;pers_OSP_min_months,$B$142,""),""),"")</f>
        <v/>
      </c>
      <c r="T254" s="218" t="str">
        <f>IFERROR(IF(COUNTIF(INDEX(Personnel[Category],A254),"*Other scientific*")&gt;0,IF(INDEX(Personnel[Months],A254)*INDEX(Personnel[FTE],A254)&gt;pers_OSP_max_months,$B$143,""),""),"")</f>
        <v/>
      </c>
      <c r="U254" s="218" t="str">
        <f>IFERROR(IF(COUNTIF(INDEX(Personnel[Category],A254),"*leave*")&gt;0,IF(Total_Research_leave&gt;pers_leave_maxperc*Total_NWO_funding,$B$144,""),""),"")</f>
        <v/>
      </c>
      <c r="V254" s="218" t="str">
        <f>IFERROR(IF(COUNTIF(INDEX(Personnel[Category],A254),"*leave*")&gt;0,IF(Research_leave_FTE_months&gt;pers_leave_maxduration,$B$145,""),""),"")</f>
        <v/>
      </c>
      <c r="W254" s="218" t="str">
        <f>IFERROR(IF(AND(INDEX(Personnel[Costs],A254)=0,INDEX(salaries_academic[[category]:[1]],MATCH(INDEX(Personnel[Category],A254),salaries_academic[category],0),3)=0),$B$148,""),"")</f>
        <v/>
      </c>
      <c r="X254" s="218" t="e">
        <f>IF(AND(organisation_type="yes",INDEX(Personnel[Amount],A254,1)&lt;&gt;"",ISBLANK(INDEX(Personnel[Organisation type],A254,1))),$B$146,"")</f>
        <v>#REF!</v>
      </c>
      <c r="Y254" s="218" t="e">
        <f>IF(AND(organisation_name="yes",INDEX(Personnel[Amount],A254,1)&lt;&gt;"",ISBLANK(INDEX(Personnel[Name organisation],A254,1))),$B$147,"")</f>
        <v>#REF!</v>
      </c>
      <c r="Z254" s="218" t="str">
        <f>IFERROR(IF(AND(INDEX(Personnel[Costs],A254)&gt;0,INDEX(salaries_academic[[category]:[1]],MATCH(INDEX(Personnel[Category],A254),salaries_academic[category],0),3)&gt;0),$B$149,""),"")</f>
        <v/>
      </c>
      <c r="AA254" s="218"/>
    </row>
    <row r="255" spans="1:27" outlineLevel="1" x14ac:dyDescent="0.35">
      <c r="A255" s="195">
        <v>48</v>
      </c>
      <c r="B255" s="195" t="str">
        <f t="array" ref="B255">IFERROR(INDEX(personnel_ac_notes[[#This Row],[Exceeding nr months]:[Costs specified]],1,MATCH(TRUE,LEN(personnel_ac_notes[[#This Row],[Exceeding nr months]:[Costs specified]])&gt;0,0)),"")</f>
        <v/>
      </c>
      <c r="C255" s="195" t="str">
        <f>IFERROR(IF(INDEX(Personnel[Months],A255)&gt;Max_project_duration,$B$128,""),"")</f>
        <v/>
      </c>
      <c r="D255" s="195" t="str">
        <f>IFERROR(IF(AND(LEN(INDEX(Personnel[Category],A255))+LEN(INDEX(Personnel[FTE],A255))+LEN(INDEX(Personnel[Months],A255))&gt;0,LEN(INDEX(Personnel[Category],A255-1))+LEN(INDEX(Personnel[FTE],A255-1))+LEN(INDEX(Personnel[Months],A255-1))=0),$B$127,""),"")</f>
        <v/>
      </c>
      <c r="E255" s="195" t="str">
        <f>IF(AND(NOT(ISBLANK(INDEX(Personnel[Category],A255))),OR(ISBLANK(INDEX(Personnel[FTE],A255)),ISBLANK(INDEX(Personnel[Months],A255)))),VLOOKUP(INDEX(Personnel[Category],A255),salaries_academic[],2,FALSE),"")</f>
        <v/>
      </c>
      <c r="F255" s="195" t="str">
        <f>IFERROR(IF(COUNTIF(INDEX(Personnel[Category],A255),"*- PhD*")&gt;0,IF(INDEX(Personnel[Months],A255)*INDEX(Personnel[FTE],A255)&lt;pers_PhD_min_months,$B$129,""),""),"")</f>
        <v/>
      </c>
      <c r="G255" s="195" t="str">
        <f>IFERROR(IF(COUNTIF(INDEX(Personnel[Category],$A255),"*- PhD*")&gt;0,IF(INDEX(Personnel[Months],$A255)*INDEX(Personnel[FTE],$A255)&gt;pers_PhD_max_months,$B$130,""),""),"")</f>
        <v/>
      </c>
      <c r="H255" s="195" t="str">
        <f>IFERROR(IF(COUNTIF(INDEX(Personnel[Category],A255),"*year*")&gt;0,IF(INDEX(Personnel[Months],A255)*INDEX(Personnel[FTE],A255)&lt;pers_3yPhD_min_months,$B$131,""),""),"")</f>
        <v/>
      </c>
      <c r="I255" s="218" t="str">
        <f>IFERROR(IF(COUNTIF(INDEX(Personnel[Category],A255),"*PDEng*")&gt;0,IF(OR(IFERROR(MATCH("*PhD*",Personnel[Category],0),0)&gt;0,IFERROR(MATCH("*PostDoc*",Personnel[Category],0),0)&gt;0),"",$B$132),""),"")</f>
        <v/>
      </c>
      <c r="J255" s="218" t="str">
        <f>IFERROR(IF(COUNTIF(INDEX(Personnel[Category],A255),"*PDEng*")&gt;0,IF(INDEX(Personnel[Months],A255)*INDEX(Personnel[FTE],A255)&gt;pers_PDEng_max_months,$B$133,""),""),"")</f>
        <v/>
      </c>
      <c r="K255" s="218" t="str">
        <f>IFERROR(IF(COUNTIF(INDEX(Personnel[Category],A255),"*PostDoc*")&gt;0,IF(INDEX(Personnel[Months],A255)*INDEX(Personnel[FTE],A255)&lt;pers_PD_min_months,$B$134,""),""),"")</f>
        <v/>
      </c>
      <c r="L255" s="218" t="str">
        <f>IFERROR(IF(COUNTIF(INDEX(Personnel[Category],A255),"*PostDoc*")&gt;0,IF(INDEX(Personnel[Months],A255)*INDEX(Personnel[FTE],A255)&gt;pers_PD_max_months,$B$135,""),""),"")</f>
        <v/>
      </c>
      <c r="M255" s="218" t="str">
        <f>IFERROR(IF(COUNTIF(INDEX(Personnel[Category],A255),"*Non-scientific*")&gt;0,IF(OR(IFERROR(MATCH("*PhD*",Personnel[Category],0),0)&gt;0,IFERROR(MATCH("*PostDoc*",Personnel[Category],0),0)&gt;0),"",$B$136),""),"")</f>
        <v/>
      </c>
      <c r="N255" s="218" t="str">
        <f>IFERROR(IF(COUNTIF(INDEX(Personnel[Category],A255),"*Non-scientific*")&gt;0,IF(Total_NSP&gt;pers_max_NSP,$B$137,""),""),"")</f>
        <v/>
      </c>
      <c r="O255" s="218" t="str">
        <f>IFERROR(IF(COUNTIF(INDEX(Personnel[Category],A255),"*Non-scientific*")&gt;0,IF(INDEX(Personnel[Months],A255)*INDEX(Personnel[FTE],A255)&lt;pers_NSP_min_months,$B$138,""),""),"")</f>
        <v/>
      </c>
      <c r="P255" s="218" t="str">
        <f>IFERROR(IF(COUNTIF(INDEX(Personnel[Category],A255),"*Non-scientific*")&gt;0,IF(INDEX(Personnel[Months],A255)*INDEX(Personnel[FTE],A255)&gt;pers_NSP_max_months,$B$139,""),""),"")</f>
        <v/>
      </c>
      <c r="Q255" s="218" t="str">
        <f>IFERROR(IF(COUNTIF(INDEX(Personnel[Category],A255),"*Other scientific*")&gt;0,IF(OR(IFERROR(MATCH("*PhD*",Personnel[Category],0),0)&gt;0,IFERROR(MATCH("*PostDoc*",Personnel[Category],0),0)&gt;0),"",$B$140),""),"")</f>
        <v/>
      </c>
      <c r="R255" s="218" t="str">
        <f>IFERROR(IF(COUNTIF(INDEX(Personnel[Category],A255),"*Other scientific*")&gt;0,IF(Total_OSP&gt;pers_max_OSP,$B$141,""),""),"")</f>
        <v/>
      </c>
      <c r="S255" s="218" t="str">
        <f>IFERROR(IF(COUNTIF(INDEX(Personnel[Category],A255),"*Other scientific*")&gt;0,IF(INDEX(Personnel[Months],A255)*INDEX(Personnel[FTE],A255)&lt;pers_OSP_min_months,$B$142,""),""),"")</f>
        <v/>
      </c>
      <c r="T255" s="218" t="str">
        <f>IFERROR(IF(COUNTIF(INDEX(Personnel[Category],A255),"*Other scientific*")&gt;0,IF(INDEX(Personnel[Months],A255)*INDEX(Personnel[FTE],A255)&gt;pers_OSP_max_months,$B$143,""),""),"")</f>
        <v/>
      </c>
      <c r="U255" s="218" t="str">
        <f>IFERROR(IF(COUNTIF(INDEX(Personnel[Category],A255),"*leave*")&gt;0,IF(Total_Research_leave&gt;pers_leave_maxperc*Total_NWO_funding,$B$144,""),""),"")</f>
        <v/>
      </c>
      <c r="V255" s="218" t="str">
        <f>IFERROR(IF(COUNTIF(INDEX(Personnel[Category],A255),"*leave*")&gt;0,IF(Research_leave_FTE_months&gt;pers_leave_maxduration,$B$145,""),""),"")</f>
        <v/>
      </c>
      <c r="W255" s="218" t="str">
        <f>IFERROR(IF(AND(INDEX(Personnel[Costs],A255)=0,INDEX(salaries_academic[[category]:[1]],MATCH(INDEX(Personnel[Category],A255),salaries_academic[category],0),3)=0),$B$148,""),"")</f>
        <v/>
      </c>
      <c r="X255" s="218" t="e">
        <f>IF(AND(organisation_type="yes",INDEX(Personnel[Amount],A255,1)&lt;&gt;"",ISBLANK(INDEX(Personnel[Organisation type],A255,1))),$B$146,"")</f>
        <v>#REF!</v>
      </c>
      <c r="Y255" s="218" t="e">
        <f>IF(AND(organisation_name="yes",INDEX(Personnel[Amount],A255,1)&lt;&gt;"",ISBLANK(INDEX(Personnel[Name organisation],A255,1))),$B$147,"")</f>
        <v>#REF!</v>
      </c>
      <c r="Z255" s="218" t="str">
        <f>IFERROR(IF(AND(INDEX(Personnel[Costs],A255)&gt;0,INDEX(salaries_academic[[category]:[1]],MATCH(INDEX(Personnel[Category],A255),salaries_academic[category],0),3)&gt;0),$B$149,""),"")</f>
        <v/>
      </c>
      <c r="AA255" s="218"/>
    </row>
    <row r="256" spans="1:27" outlineLevel="1" x14ac:dyDescent="0.35">
      <c r="A256" s="195">
        <v>49</v>
      </c>
      <c r="B256" s="195" t="str">
        <f t="array" ref="B256">IFERROR(INDEX(personnel_ac_notes[[#This Row],[Exceeding nr months]:[Costs specified]],1,MATCH(TRUE,LEN(personnel_ac_notes[[#This Row],[Exceeding nr months]:[Costs specified]])&gt;0,0)),"")</f>
        <v/>
      </c>
      <c r="C256" s="195" t="str">
        <f>IFERROR(IF(INDEX(Personnel[Months],A256)&gt;Max_project_duration,$B$128,""),"")</f>
        <v/>
      </c>
      <c r="D256" s="195" t="str">
        <f>IFERROR(IF(AND(LEN(INDEX(Personnel[Category],A256))+LEN(INDEX(Personnel[FTE],A256))+LEN(INDEX(Personnel[Months],A256))&gt;0,LEN(INDEX(Personnel[Category],A256-1))+LEN(INDEX(Personnel[FTE],A256-1))+LEN(INDEX(Personnel[Months],A256-1))=0),$B$127,""),"")</f>
        <v/>
      </c>
      <c r="E256" s="195" t="str">
        <f>IF(AND(NOT(ISBLANK(INDEX(Personnel[Category],A256))),OR(ISBLANK(INDEX(Personnel[FTE],A256)),ISBLANK(INDEX(Personnel[Months],A256)))),VLOOKUP(INDEX(Personnel[Category],A256),salaries_academic[],2,FALSE),"")</f>
        <v/>
      </c>
      <c r="F256" s="195" t="str">
        <f>IFERROR(IF(COUNTIF(INDEX(Personnel[Category],A256),"*- PhD*")&gt;0,IF(INDEX(Personnel[Months],A256)*INDEX(Personnel[FTE],A256)&lt;pers_PhD_min_months,$B$129,""),""),"")</f>
        <v/>
      </c>
      <c r="G256" s="195" t="str">
        <f>IFERROR(IF(COUNTIF(INDEX(Personnel[Category],$A256),"*- PhD*")&gt;0,IF(INDEX(Personnel[Months],$A256)*INDEX(Personnel[FTE],$A256)&gt;pers_PhD_max_months,$B$130,""),""),"")</f>
        <v/>
      </c>
      <c r="H256" s="195" t="str">
        <f>IFERROR(IF(COUNTIF(INDEX(Personnel[Category],A256),"*year*")&gt;0,IF(INDEX(Personnel[Months],A256)*INDEX(Personnel[FTE],A256)&lt;pers_3yPhD_min_months,$B$131,""),""),"")</f>
        <v/>
      </c>
      <c r="I256" s="218" t="str">
        <f>IFERROR(IF(COUNTIF(INDEX(Personnel[Category],A256),"*PDEng*")&gt;0,IF(OR(IFERROR(MATCH("*PhD*",Personnel[Category],0),0)&gt;0,IFERROR(MATCH("*PostDoc*",Personnel[Category],0),0)&gt;0),"",$B$132),""),"")</f>
        <v/>
      </c>
      <c r="J256" s="218" t="str">
        <f>IFERROR(IF(COUNTIF(INDEX(Personnel[Category],A256),"*PDEng*")&gt;0,IF(INDEX(Personnel[Months],A256)*INDEX(Personnel[FTE],A256)&gt;pers_PDEng_max_months,$B$133,""),""),"")</f>
        <v/>
      </c>
      <c r="K256" s="218" t="str">
        <f>IFERROR(IF(COUNTIF(INDEX(Personnel[Category],A256),"*PostDoc*")&gt;0,IF(INDEX(Personnel[Months],A256)*INDEX(Personnel[FTE],A256)&lt;pers_PD_min_months,$B$134,""),""),"")</f>
        <v/>
      </c>
      <c r="L256" s="218" t="str">
        <f>IFERROR(IF(COUNTIF(INDEX(Personnel[Category],A256),"*PostDoc*")&gt;0,IF(INDEX(Personnel[Months],A256)*INDEX(Personnel[FTE],A256)&gt;pers_PD_max_months,$B$135,""),""),"")</f>
        <v/>
      </c>
      <c r="M256" s="218" t="str">
        <f>IFERROR(IF(COUNTIF(INDEX(Personnel[Category],A256),"*Non-scientific*")&gt;0,IF(OR(IFERROR(MATCH("*PhD*",Personnel[Category],0),0)&gt;0,IFERROR(MATCH("*PostDoc*",Personnel[Category],0),0)&gt;0),"",$B$136),""),"")</f>
        <v/>
      </c>
      <c r="N256" s="218" t="str">
        <f>IFERROR(IF(COUNTIF(INDEX(Personnel[Category],A256),"*Non-scientific*")&gt;0,IF(Total_NSP&gt;pers_max_NSP,$B$137,""),""),"")</f>
        <v/>
      </c>
      <c r="O256" s="218" t="str">
        <f>IFERROR(IF(COUNTIF(INDEX(Personnel[Category],A256),"*Non-scientific*")&gt;0,IF(INDEX(Personnel[Months],A256)*INDEX(Personnel[FTE],A256)&lt;pers_NSP_min_months,$B$138,""),""),"")</f>
        <v/>
      </c>
      <c r="P256" s="218" t="str">
        <f>IFERROR(IF(COUNTIF(INDEX(Personnel[Category],A256),"*Non-scientific*")&gt;0,IF(INDEX(Personnel[Months],A256)*INDEX(Personnel[FTE],A256)&gt;pers_NSP_max_months,$B$139,""),""),"")</f>
        <v/>
      </c>
      <c r="Q256" s="218" t="str">
        <f>IFERROR(IF(COUNTIF(INDEX(Personnel[Category],A256),"*Other scientific*")&gt;0,IF(OR(IFERROR(MATCH("*PhD*",Personnel[Category],0),0)&gt;0,IFERROR(MATCH("*PostDoc*",Personnel[Category],0),0)&gt;0),"",$B$140),""),"")</f>
        <v/>
      </c>
      <c r="R256" s="218" t="str">
        <f>IFERROR(IF(COUNTIF(INDEX(Personnel[Category],A256),"*Other scientific*")&gt;0,IF(Total_OSP&gt;pers_max_OSP,$B$141,""),""),"")</f>
        <v/>
      </c>
      <c r="S256" s="218" t="str">
        <f>IFERROR(IF(COUNTIF(INDEX(Personnel[Category],A256),"*Other scientific*")&gt;0,IF(INDEX(Personnel[Months],A256)*INDEX(Personnel[FTE],A256)&lt;pers_OSP_min_months,$B$142,""),""),"")</f>
        <v/>
      </c>
      <c r="T256" s="218" t="str">
        <f>IFERROR(IF(COUNTIF(INDEX(Personnel[Category],A256),"*Other scientific*")&gt;0,IF(INDEX(Personnel[Months],A256)*INDEX(Personnel[FTE],A256)&gt;pers_OSP_max_months,$B$143,""),""),"")</f>
        <v/>
      </c>
      <c r="U256" s="218" t="str">
        <f>IFERROR(IF(COUNTIF(INDEX(Personnel[Category],A256),"*leave*")&gt;0,IF(Total_Research_leave&gt;pers_leave_maxperc*Total_NWO_funding,$B$144,""),""),"")</f>
        <v/>
      </c>
      <c r="V256" s="218" t="str">
        <f>IFERROR(IF(COUNTIF(INDEX(Personnel[Category],A256),"*leave*")&gt;0,IF(Research_leave_FTE_months&gt;pers_leave_maxduration,$B$145,""),""),"")</f>
        <v/>
      </c>
      <c r="W256" s="218" t="str">
        <f>IFERROR(IF(AND(INDEX(Personnel[Costs],A256)=0,INDEX(salaries_academic[[category]:[1]],MATCH(INDEX(Personnel[Category],A256),salaries_academic[category],0),3)=0),$B$148,""),"")</f>
        <v/>
      </c>
      <c r="X256" s="218" t="e">
        <f>IF(AND(organisation_type="yes",INDEX(Personnel[Amount],A256,1)&lt;&gt;"",ISBLANK(INDEX(Personnel[Organisation type],A256,1))),$B$146,"")</f>
        <v>#REF!</v>
      </c>
      <c r="Y256" s="218" t="e">
        <f>IF(AND(organisation_name="yes",INDEX(Personnel[Amount],A256,1)&lt;&gt;"",ISBLANK(INDEX(Personnel[Name organisation],A256,1))),$B$147,"")</f>
        <v>#REF!</v>
      </c>
      <c r="Z256" s="218" t="str">
        <f>IFERROR(IF(AND(INDEX(Personnel[Costs],A256)&gt;0,INDEX(salaries_academic[[category]:[1]],MATCH(INDEX(Personnel[Category],A256),salaries_academic[category],0),3)&gt;0),$B$149,""),"")</f>
        <v/>
      </c>
      <c r="AA256" s="218"/>
    </row>
    <row r="257" spans="1:27" outlineLevel="1" x14ac:dyDescent="0.35">
      <c r="A257" s="195">
        <v>50</v>
      </c>
      <c r="B257" s="195" t="str">
        <f t="array" ref="B257">IFERROR(INDEX(personnel_ac_notes[[#This Row],[Exceeding nr months]:[Costs specified]],1,MATCH(TRUE,LEN(personnel_ac_notes[[#This Row],[Exceeding nr months]:[Costs specified]])&gt;0,0)),"")</f>
        <v/>
      </c>
      <c r="C257" s="195" t="str">
        <f>IFERROR(IF(INDEX(Personnel[Months],A257)&gt;Max_project_duration,$B$128,""),"")</f>
        <v/>
      </c>
      <c r="D257" s="195" t="str">
        <f>IFERROR(IF(AND(LEN(INDEX(Personnel[Category],A257))+LEN(INDEX(Personnel[FTE],A257))+LEN(INDEX(Personnel[Months],A257))&gt;0,LEN(INDEX(Personnel[Category],A257-1))+LEN(INDEX(Personnel[FTE],A257-1))+LEN(INDEX(Personnel[Months],A257-1))=0),$B$127,""),"")</f>
        <v/>
      </c>
      <c r="E257" s="195" t="str">
        <f>IF(AND(NOT(ISBLANK(INDEX(Personnel[Category],A257))),OR(ISBLANK(INDEX(Personnel[FTE],A257)),ISBLANK(INDEX(Personnel[Months],A257)))),VLOOKUP(INDEX(Personnel[Category],A257),salaries_academic[],2,FALSE),"")</f>
        <v/>
      </c>
      <c r="F257" s="195" t="str">
        <f>IFERROR(IF(COUNTIF(INDEX(Personnel[Category],A257),"*- PhD*")&gt;0,IF(INDEX(Personnel[Months],A257)*INDEX(Personnel[FTE],A257)&lt;pers_PhD_min_months,$B$129,""),""),"")</f>
        <v/>
      </c>
      <c r="G257" s="195" t="str">
        <f>IFERROR(IF(COUNTIF(INDEX(Personnel[Category],$A257),"*- PhD*")&gt;0,IF(INDEX(Personnel[Months],$A257)*INDEX(Personnel[FTE],$A257)&gt;pers_PhD_max_months,$B$130,""),""),"")</f>
        <v/>
      </c>
      <c r="H257" s="195" t="str">
        <f>IFERROR(IF(COUNTIF(INDEX(Personnel[Category],A257),"*year*")&gt;0,IF(INDEX(Personnel[Months],A257)*INDEX(Personnel[FTE],A257)&lt;pers_3yPhD_min_months,$B$131,""),""),"")</f>
        <v/>
      </c>
      <c r="I257" s="218" t="str">
        <f>IFERROR(IF(COUNTIF(INDEX(Personnel[Category],A257),"*PDEng*")&gt;0,IF(OR(IFERROR(MATCH("*PhD*",Personnel[Category],0),0)&gt;0,IFERROR(MATCH("*PostDoc*",Personnel[Category],0),0)&gt;0),"",$B$132),""),"")</f>
        <v/>
      </c>
      <c r="J257" s="218" t="str">
        <f>IFERROR(IF(COUNTIF(INDEX(Personnel[Category],A257),"*PDEng*")&gt;0,IF(INDEX(Personnel[Months],A257)*INDEX(Personnel[FTE],A257)&gt;pers_PDEng_max_months,$B$133,""),""),"")</f>
        <v/>
      </c>
      <c r="K257" s="218" t="str">
        <f>IFERROR(IF(COUNTIF(INDEX(Personnel[Category],A257),"*PostDoc*")&gt;0,IF(INDEX(Personnel[Months],A257)*INDEX(Personnel[FTE],A257)&lt;pers_PD_min_months,$B$134,""),""),"")</f>
        <v/>
      </c>
      <c r="L257" s="218" t="str">
        <f>IFERROR(IF(COUNTIF(INDEX(Personnel[Category],A257),"*PostDoc*")&gt;0,IF(INDEX(Personnel[Months],A257)*INDEX(Personnel[FTE],A257)&gt;pers_PD_max_months,$B$135,""),""),"")</f>
        <v/>
      </c>
      <c r="M257" s="218" t="str">
        <f>IFERROR(IF(COUNTIF(INDEX(Personnel[Category],A257),"*Non-scientific*")&gt;0,IF(OR(IFERROR(MATCH("*PhD*",Personnel[Category],0),0)&gt;0,IFERROR(MATCH("*PostDoc*",Personnel[Category],0),0)&gt;0),"",$B$136),""),"")</f>
        <v/>
      </c>
      <c r="N257" s="218" t="str">
        <f>IFERROR(IF(COUNTIF(INDEX(Personnel[Category],A257),"*Non-scientific*")&gt;0,IF(Total_NSP&gt;pers_max_NSP,$B$137,""),""),"")</f>
        <v/>
      </c>
      <c r="O257" s="218" t="str">
        <f>IFERROR(IF(COUNTIF(INDEX(Personnel[Category],A257),"*Non-scientific*")&gt;0,IF(INDEX(Personnel[Months],A257)*INDEX(Personnel[FTE],A257)&lt;pers_NSP_min_months,$B$138,""),""),"")</f>
        <v/>
      </c>
      <c r="P257" s="218" t="str">
        <f>IFERROR(IF(COUNTIF(INDEX(Personnel[Category],A257),"*Non-scientific*")&gt;0,IF(INDEX(Personnel[Months],A257)*INDEX(Personnel[FTE],A257)&gt;pers_NSP_max_months,$B$139,""),""),"")</f>
        <v/>
      </c>
      <c r="Q257" s="218" t="str">
        <f>IFERROR(IF(COUNTIF(INDEX(Personnel[Category],A257),"*Other scientific*")&gt;0,IF(OR(IFERROR(MATCH("*PhD*",Personnel[Category],0),0)&gt;0,IFERROR(MATCH("*PostDoc*",Personnel[Category],0),0)&gt;0),"",$B$140),""),"")</f>
        <v/>
      </c>
      <c r="R257" s="218" t="str">
        <f>IFERROR(IF(COUNTIF(INDEX(Personnel[Category],A257),"*Other scientific*")&gt;0,IF(Total_OSP&gt;pers_max_OSP,$B$141,""),""),"")</f>
        <v/>
      </c>
      <c r="S257" s="218" t="str">
        <f>IFERROR(IF(COUNTIF(INDEX(Personnel[Category],A257),"*Other scientific*")&gt;0,IF(INDEX(Personnel[Months],A257)*INDEX(Personnel[FTE],A257)&lt;pers_OSP_min_months,$B$142,""),""),"")</f>
        <v/>
      </c>
      <c r="T257" s="218" t="str">
        <f>IFERROR(IF(COUNTIF(INDEX(Personnel[Category],A257),"*Other scientific*")&gt;0,IF(INDEX(Personnel[Months],A257)*INDEX(Personnel[FTE],A257)&gt;pers_OSP_max_months,$B$143,""),""),"")</f>
        <v/>
      </c>
      <c r="U257" s="218" t="str">
        <f>IFERROR(IF(COUNTIF(INDEX(Personnel[Category],A257),"*leave*")&gt;0,IF(Total_Research_leave&gt;pers_leave_maxperc*Total_NWO_funding,$B$144,""),""),"")</f>
        <v/>
      </c>
      <c r="V257" s="218" t="str">
        <f>IFERROR(IF(COUNTIF(INDEX(Personnel[Category],A257),"*leave*")&gt;0,IF(Research_leave_FTE_months&gt;pers_leave_maxduration,$B$145,""),""),"")</f>
        <v/>
      </c>
      <c r="W257" s="218" t="str">
        <f>IFERROR(IF(AND(INDEX(Personnel[Costs],A257)=0,INDEX(salaries_academic[[category]:[1]],MATCH(INDEX(Personnel[Category],A257),salaries_academic[category],0),3)=0),$B$148,""),"")</f>
        <v/>
      </c>
      <c r="X257" s="218" t="e">
        <f>IF(AND(organisation_type="yes",INDEX(Personnel[Amount],A257,1)&lt;&gt;"",ISBLANK(INDEX(Personnel[Organisation type],A257,1))),$B$146,"")</f>
        <v>#REF!</v>
      </c>
      <c r="Y257" s="218" t="e">
        <f>IF(AND(organisation_name="yes",INDEX(Personnel[Amount],A257,1)&lt;&gt;"",ISBLANK(INDEX(Personnel[Name organisation],A257,1))),$B$147,"")</f>
        <v>#REF!</v>
      </c>
      <c r="Z257" s="218" t="str">
        <f>IFERROR(IF(AND(INDEX(Personnel[Costs],A257)&gt;0,INDEX(salaries_academic[[category]:[1]],MATCH(INDEX(Personnel[Category],A257),salaries_academic[category],0),3)&gt;0),$B$149,""),"")</f>
        <v/>
      </c>
      <c r="AA257" s="218"/>
    </row>
    <row r="258" spans="1:27" outlineLevel="1" x14ac:dyDescent="0.35">
      <c r="A258" s="195">
        <v>51</v>
      </c>
      <c r="B258" s="195" t="str">
        <f t="array" ref="B258">IFERROR(INDEX(personnel_ac_notes[[#This Row],[Exceeding nr months]:[Costs specified]],1,MATCH(TRUE,LEN(personnel_ac_notes[[#This Row],[Exceeding nr months]:[Costs specified]])&gt;0,0)),"")</f>
        <v/>
      </c>
      <c r="C258" s="195" t="str">
        <f>IFERROR(IF(INDEX(Personnel[Months],A258)&gt;Max_project_duration,$B$128,""),"")</f>
        <v/>
      </c>
      <c r="D258" s="195" t="str">
        <f>IFERROR(IF(AND(LEN(INDEX(Personnel[Category],A258))+LEN(INDEX(Personnel[FTE],A258))+LEN(INDEX(Personnel[Months],A258))&gt;0,LEN(INDEX(Personnel[Category],A258-1))+LEN(INDEX(Personnel[FTE],A258-1))+LEN(INDEX(Personnel[Months],A258-1))=0),$B$127,""),"")</f>
        <v/>
      </c>
      <c r="E258" s="195" t="str">
        <f>IF(AND(NOT(ISBLANK(INDEX(Personnel[Category],A258))),OR(ISBLANK(INDEX(Personnel[FTE],A258)),ISBLANK(INDEX(Personnel[Months],A258)))),VLOOKUP(INDEX(Personnel[Category],A258),salaries_academic[],2,FALSE),"")</f>
        <v/>
      </c>
      <c r="F258" s="195" t="str">
        <f>IFERROR(IF(COUNTIF(INDEX(Personnel[Category],A258),"*- PhD*")&gt;0,IF(INDEX(Personnel[Months],A258)*INDEX(Personnel[FTE],A258)&lt;pers_PhD_min_months,$B$129,""),""),"")</f>
        <v/>
      </c>
      <c r="G258" s="195" t="str">
        <f>IFERROR(IF(COUNTIF(INDEX(Personnel[Category],$A258),"*- PhD*")&gt;0,IF(INDEX(Personnel[Months],$A258)*INDEX(Personnel[FTE],$A258)&gt;pers_PhD_max_months,$B$130,""),""),"")</f>
        <v/>
      </c>
      <c r="H258" s="195" t="str">
        <f>IFERROR(IF(COUNTIF(INDEX(Personnel[Category],A258),"*year*")&gt;0,IF(INDEX(Personnel[Months],A258)*INDEX(Personnel[FTE],A258)&lt;pers_3yPhD_min_months,$B$131,""),""),"")</f>
        <v/>
      </c>
      <c r="I258" s="218" t="str">
        <f>IFERROR(IF(COUNTIF(INDEX(Personnel[Category],A258),"*PDEng*")&gt;0,IF(OR(IFERROR(MATCH("*PhD*",Personnel[Category],0),0)&gt;0,IFERROR(MATCH("*PostDoc*",Personnel[Category],0),0)&gt;0),"",$B$132),""),"")</f>
        <v/>
      </c>
      <c r="J258" s="218" t="str">
        <f>IFERROR(IF(COUNTIF(INDEX(Personnel[Category],A258),"*PDEng*")&gt;0,IF(INDEX(Personnel[Months],A258)*INDEX(Personnel[FTE],A258)&gt;pers_PDEng_max_months,$B$133,""),""),"")</f>
        <v/>
      </c>
      <c r="K258" s="218" t="str">
        <f>IFERROR(IF(COUNTIF(INDEX(Personnel[Category],A258),"*PostDoc*")&gt;0,IF(INDEX(Personnel[Months],A258)*INDEX(Personnel[FTE],A258)&lt;pers_PD_min_months,$B$134,""),""),"")</f>
        <v/>
      </c>
      <c r="L258" s="218" t="str">
        <f>IFERROR(IF(COUNTIF(INDEX(Personnel[Category],A258),"*PostDoc*")&gt;0,IF(INDEX(Personnel[Months],A258)*INDEX(Personnel[FTE],A258)&gt;pers_PD_max_months,$B$135,""),""),"")</f>
        <v/>
      </c>
      <c r="M258" s="218" t="str">
        <f>IFERROR(IF(COUNTIF(INDEX(Personnel[Category],A258),"*Non-scientific*")&gt;0,IF(OR(IFERROR(MATCH("*PhD*",Personnel[Category],0),0)&gt;0,IFERROR(MATCH("*PostDoc*",Personnel[Category],0),0)&gt;0),"",$B$136),""),"")</f>
        <v/>
      </c>
      <c r="N258" s="218" t="str">
        <f>IFERROR(IF(COUNTIF(INDEX(Personnel[Category],A258),"*Non-scientific*")&gt;0,IF(Total_NSP&gt;pers_max_NSP,$B$137,""),""),"")</f>
        <v/>
      </c>
      <c r="O258" s="218" t="str">
        <f>IFERROR(IF(COUNTIF(INDEX(Personnel[Category],A258),"*Non-scientific*")&gt;0,IF(INDEX(Personnel[Months],A258)*INDEX(Personnel[FTE],A258)&lt;pers_NSP_min_months,$B$138,""),""),"")</f>
        <v/>
      </c>
      <c r="P258" s="218" t="str">
        <f>IFERROR(IF(COUNTIF(INDEX(Personnel[Category],A258),"*Non-scientific*")&gt;0,IF(INDEX(Personnel[Months],A258)*INDEX(Personnel[FTE],A258)&gt;pers_NSP_max_months,$B$139,""),""),"")</f>
        <v/>
      </c>
      <c r="Q258" s="218" t="str">
        <f>IFERROR(IF(COUNTIF(INDEX(Personnel[Category],A258),"*Other scientific*")&gt;0,IF(OR(IFERROR(MATCH("*PhD*",Personnel[Category],0),0)&gt;0,IFERROR(MATCH("*PostDoc*",Personnel[Category],0),0)&gt;0),"",$B$140),""),"")</f>
        <v/>
      </c>
      <c r="R258" s="218" t="str">
        <f>IFERROR(IF(COUNTIF(INDEX(Personnel[Category],A258),"*Other scientific*")&gt;0,IF(Total_OSP&gt;pers_max_OSP,$B$141,""),""),"")</f>
        <v/>
      </c>
      <c r="S258" s="218" t="str">
        <f>IFERROR(IF(COUNTIF(INDEX(Personnel[Category],A258),"*Other scientific*")&gt;0,IF(INDEX(Personnel[Months],A258)*INDEX(Personnel[FTE],A258)&lt;pers_OSP_min_months,$B$142,""),""),"")</f>
        <v/>
      </c>
      <c r="T258" s="218" t="str">
        <f>IFERROR(IF(COUNTIF(INDEX(Personnel[Category],A258),"*Other scientific*")&gt;0,IF(INDEX(Personnel[Months],A258)*INDEX(Personnel[FTE],A258)&gt;pers_OSP_max_months,$B$143,""),""),"")</f>
        <v/>
      </c>
      <c r="U258" s="218" t="str">
        <f>IFERROR(IF(COUNTIF(INDEX(Personnel[Category],A258),"*leave*")&gt;0,IF(Total_Research_leave&gt;pers_leave_maxperc*Total_NWO_funding,$B$144,""),""),"")</f>
        <v/>
      </c>
      <c r="V258" s="218" t="str">
        <f>IFERROR(IF(COUNTIF(INDEX(Personnel[Category],A258),"*leave*")&gt;0,IF(Research_leave_FTE_months&gt;pers_leave_maxduration,$B$145,""),""),"")</f>
        <v/>
      </c>
      <c r="W258" s="218" t="str">
        <f>IFERROR(IF(AND(INDEX(Personnel[Costs],A258)=0,INDEX(salaries_academic[[category]:[1]],MATCH(INDEX(Personnel[Category],A258),salaries_academic[category],0),3)=0),$B$148,""),"")</f>
        <v/>
      </c>
      <c r="X258" s="218" t="e">
        <f>IF(AND(organisation_type="yes",INDEX(Personnel[Amount],A258,1)&lt;&gt;"",ISBLANK(INDEX(Personnel[Organisation type],A258,1))),$B$146,"")</f>
        <v>#REF!</v>
      </c>
      <c r="Y258" s="218" t="e">
        <f>IF(AND(organisation_name="yes",INDEX(Personnel[Amount],A258,1)&lt;&gt;"",ISBLANK(INDEX(Personnel[Name organisation],A258,1))),$B$147,"")</f>
        <v>#REF!</v>
      </c>
      <c r="Z258" s="218" t="str">
        <f>IFERROR(IF(AND(INDEX(Personnel[Costs],A258)&gt;0,INDEX(salaries_academic[[category]:[1]],MATCH(INDEX(Personnel[Category],A258),salaries_academic[category],0),3)&gt;0),$B$149,""),"")</f>
        <v/>
      </c>
      <c r="AA258" s="218"/>
    </row>
    <row r="259" spans="1:27" outlineLevel="1" x14ac:dyDescent="0.35">
      <c r="A259" s="195">
        <v>52</v>
      </c>
      <c r="B259" s="195" t="str">
        <f t="array" ref="B259">IFERROR(INDEX(personnel_ac_notes[[#This Row],[Exceeding nr months]:[Costs specified]],1,MATCH(TRUE,LEN(personnel_ac_notes[[#This Row],[Exceeding nr months]:[Costs specified]])&gt;0,0)),"")</f>
        <v/>
      </c>
      <c r="C259" s="195" t="str">
        <f>IFERROR(IF(INDEX(Personnel[Months],A259)&gt;Max_project_duration,$B$128,""),"")</f>
        <v/>
      </c>
      <c r="D259" s="195" t="str">
        <f>IFERROR(IF(AND(LEN(INDEX(Personnel[Category],A259))+LEN(INDEX(Personnel[FTE],A259))+LEN(INDEX(Personnel[Months],A259))&gt;0,LEN(INDEX(Personnel[Category],A259-1))+LEN(INDEX(Personnel[FTE],A259-1))+LEN(INDEX(Personnel[Months],A259-1))=0),$B$127,""),"")</f>
        <v/>
      </c>
      <c r="E259" s="195" t="str">
        <f>IF(AND(NOT(ISBLANK(INDEX(Personnel[Category],A259))),OR(ISBLANK(INDEX(Personnel[FTE],A259)),ISBLANK(INDEX(Personnel[Months],A259)))),VLOOKUP(INDEX(Personnel[Category],A259),salaries_academic[],2,FALSE),"")</f>
        <v/>
      </c>
      <c r="F259" s="195" t="str">
        <f>IFERROR(IF(COUNTIF(INDEX(Personnel[Category],A259),"*- PhD*")&gt;0,IF(INDEX(Personnel[Months],A259)*INDEX(Personnel[FTE],A259)&lt;pers_PhD_min_months,$B$129,""),""),"")</f>
        <v/>
      </c>
      <c r="G259" s="195" t="str">
        <f>IFERROR(IF(COUNTIF(INDEX(Personnel[Category],$A259),"*- PhD*")&gt;0,IF(INDEX(Personnel[Months],$A259)*INDEX(Personnel[FTE],$A259)&gt;pers_PhD_max_months,$B$130,""),""),"")</f>
        <v/>
      </c>
      <c r="H259" s="195" t="str">
        <f>IFERROR(IF(COUNTIF(INDEX(Personnel[Category],A259),"*year*")&gt;0,IF(INDEX(Personnel[Months],A259)*INDEX(Personnel[FTE],A259)&lt;pers_3yPhD_min_months,$B$131,""),""),"")</f>
        <v/>
      </c>
      <c r="I259" s="218" t="str">
        <f>IFERROR(IF(COUNTIF(INDEX(Personnel[Category],A259),"*PDEng*")&gt;0,IF(OR(IFERROR(MATCH("*PhD*",Personnel[Category],0),0)&gt;0,IFERROR(MATCH("*PostDoc*",Personnel[Category],0),0)&gt;0),"",$B$132),""),"")</f>
        <v/>
      </c>
      <c r="J259" s="218" t="str">
        <f>IFERROR(IF(COUNTIF(INDEX(Personnel[Category],A259),"*PDEng*")&gt;0,IF(INDEX(Personnel[Months],A259)*INDEX(Personnel[FTE],A259)&gt;pers_PDEng_max_months,$B$133,""),""),"")</f>
        <v/>
      </c>
      <c r="K259" s="218" t="str">
        <f>IFERROR(IF(COUNTIF(INDEX(Personnel[Category],A259),"*PostDoc*")&gt;0,IF(INDEX(Personnel[Months],A259)*INDEX(Personnel[FTE],A259)&lt;pers_PD_min_months,$B$134,""),""),"")</f>
        <v/>
      </c>
      <c r="L259" s="218" t="str">
        <f>IFERROR(IF(COUNTIF(INDEX(Personnel[Category],A259),"*PostDoc*")&gt;0,IF(INDEX(Personnel[Months],A259)*INDEX(Personnel[FTE],A259)&gt;pers_PD_max_months,$B$135,""),""),"")</f>
        <v/>
      </c>
      <c r="M259" s="218" t="str">
        <f>IFERROR(IF(COUNTIF(INDEX(Personnel[Category],A259),"*Non-scientific*")&gt;0,IF(OR(IFERROR(MATCH("*PhD*",Personnel[Category],0),0)&gt;0,IFERROR(MATCH("*PostDoc*",Personnel[Category],0),0)&gt;0),"",$B$136),""),"")</f>
        <v/>
      </c>
      <c r="N259" s="218" t="str">
        <f>IFERROR(IF(COUNTIF(INDEX(Personnel[Category],A259),"*Non-scientific*")&gt;0,IF(Total_NSP&gt;pers_max_NSP,$B$137,""),""),"")</f>
        <v/>
      </c>
      <c r="O259" s="218" t="str">
        <f>IFERROR(IF(COUNTIF(INDEX(Personnel[Category],A259),"*Non-scientific*")&gt;0,IF(INDEX(Personnel[Months],A259)*INDEX(Personnel[FTE],A259)&lt;pers_NSP_min_months,$B$138,""),""),"")</f>
        <v/>
      </c>
      <c r="P259" s="218" t="str">
        <f>IFERROR(IF(COUNTIF(INDEX(Personnel[Category],A259),"*Non-scientific*")&gt;0,IF(INDEX(Personnel[Months],A259)*INDEX(Personnel[FTE],A259)&gt;pers_NSP_max_months,$B$139,""),""),"")</f>
        <v/>
      </c>
      <c r="Q259" s="218" t="str">
        <f>IFERROR(IF(COUNTIF(INDEX(Personnel[Category],A259),"*Other scientific*")&gt;0,IF(OR(IFERROR(MATCH("*PhD*",Personnel[Category],0),0)&gt;0,IFERROR(MATCH("*PostDoc*",Personnel[Category],0),0)&gt;0),"",$B$140),""),"")</f>
        <v/>
      </c>
      <c r="R259" s="218" t="str">
        <f>IFERROR(IF(COUNTIF(INDEX(Personnel[Category],A259),"*Other scientific*")&gt;0,IF(Total_OSP&gt;pers_max_OSP,$B$141,""),""),"")</f>
        <v/>
      </c>
      <c r="S259" s="218" t="str">
        <f>IFERROR(IF(COUNTIF(INDEX(Personnel[Category],A259),"*Other scientific*")&gt;0,IF(INDEX(Personnel[Months],A259)*INDEX(Personnel[FTE],A259)&lt;pers_OSP_min_months,$B$142,""),""),"")</f>
        <v/>
      </c>
      <c r="T259" s="218" t="str">
        <f>IFERROR(IF(COUNTIF(INDEX(Personnel[Category],A259),"*Other scientific*")&gt;0,IF(INDEX(Personnel[Months],A259)*INDEX(Personnel[FTE],A259)&gt;pers_OSP_max_months,$B$143,""),""),"")</f>
        <v/>
      </c>
      <c r="U259" s="218" t="str">
        <f>IFERROR(IF(COUNTIF(INDEX(Personnel[Category],A259),"*leave*")&gt;0,IF(Total_Research_leave&gt;pers_leave_maxperc*Total_NWO_funding,$B$144,""),""),"")</f>
        <v/>
      </c>
      <c r="V259" s="218" t="str">
        <f>IFERROR(IF(COUNTIF(INDEX(Personnel[Category],A259),"*leave*")&gt;0,IF(Research_leave_FTE_months&gt;pers_leave_maxduration,$B$145,""),""),"")</f>
        <v/>
      </c>
      <c r="W259" s="218" t="str">
        <f>IFERROR(IF(AND(INDEX(Personnel[Costs],A259)=0,INDEX(salaries_academic[[category]:[1]],MATCH(INDEX(Personnel[Category],A259),salaries_academic[category],0),3)=0),$B$148,""),"")</f>
        <v/>
      </c>
      <c r="X259" s="218" t="e">
        <f>IF(AND(organisation_type="yes",INDEX(Personnel[Amount],A259,1)&lt;&gt;"",ISBLANK(INDEX(Personnel[Organisation type],A259,1))),$B$146,"")</f>
        <v>#REF!</v>
      </c>
      <c r="Y259" s="218" t="e">
        <f>IF(AND(organisation_name="yes",INDEX(Personnel[Amount],A259,1)&lt;&gt;"",ISBLANK(INDEX(Personnel[Name organisation],A259,1))),$B$147,"")</f>
        <v>#REF!</v>
      </c>
      <c r="Z259" s="218" t="str">
        <f>IFERROR(IF(AND(INDEX(Personnel[Costs],A259)&gt;0,INDEX(salaries_academic[[category]:[1]],MATCH(INDEX(Personnel[Category],A259),salaries_academic[category],0),3)&gt;0),$B$149,""),"")</f>
        <v/>
      </c>
      <c r="AA259" s="218"/>
    </row>
    <row r="260" spans="1:27" outlineLevel="1" x14ac:dyDescent="0.35">
      <c r="A260" s="195">
        <v>53</v>
      </c>
      <c r="B260" s="195" t="str">
        <f t="array" ref="B260">IFERROR(INDEX(personnel_ac_notes[[#This Row],[Exceeding nr months]:[Costs specified]],1,MATCH(TRUE,LEN(personnel_ac_notes[[#This Row],[Exceeding nr months]:[Costs specified]])&gt;0,0)),"")</f>
        <v/>
      </c>
      <c r="C260" s="195" t="str">
        <f>IFERROR(IF(INDEX(Personnel[Months],A260)&gt;Max_project_duration,$B$128,""),"")</f>
        <v/>
      </c>
      <c r="D260" s="195" t="str">
        <f>IFERROR(IF(AND(LEN(INDEX(Personnel[Category],A260))+LEN(INDEX(Personnel[FTE],A260))+LEN(INDEX(Personnel[Months],A260))&gt;0,LEN(INDEX(Personnel[Category],A260-1))+LEN(INDEX(Personnel[FTE],A260-1))+LEN(INDEX(Personnel[Months],A260-1))=0),$B$127,""),"")</f>
        <v/>
      </c>
      <c r="E260" s="195" t="str">
        <f>IF(AND(NOT(ISBLANK(INDEX(Personnel[Category],A260))),OR(ISBLANK(INDEX(Personnel[FTE],A260)),ISBLANK(INDEX(Personnel[Months],A260)))),VLOOKUP(INDEX(Personnel[Category],A260),salaries_academic[],2,FALSE),"")</f>
        <v/>
      </c>
      <c r="F260" s="195" t="str">
        <f>IFERROR(IF(COUNTIF(INDEX(Personnel[Category],A260),"*- PhD*")&gt;0,IF(INDEX(Personnel[Months],A260)*INDEX(Personnel[FTE],A260)&lt;pers_PhD_min_months,$B$129,""),""),"")</f>
        <v/>
      </c>
      <c r="G260" s="195" t="str">
        <f>IFERROR(IF(COUNTIF(INDEX(Personnel[Category],$A260),"*- PhD*")&gt;0,IF(INDEX(Personnel[Months],$A260)*INDEX(Personnel[FTE],$A260)&gt;pers_PhD_max_months,$B$130,""),""),"")</f>
        <v/>
      </c>
      <c r="H260" s="195" t="str">
        <f>IFERROR(IF(COUNTIF(INDEX(Personnel[Category],A260),"*year*")&gt;0,IF(INDEX(Personnel[Months],A260)*INDEX(Personnel[FTE],A260)&lt;pers_3yPhD_min_months,$B$131,""),""),"")</f>
        <v/>
      </c>
      <c r="I260" s="218" t="str">
        <f>IFERROR(IF(COUNTIF(INDEX(Personnel[Category],A260),"*PDEng*")&gt;0,IF(OR(IFERROR(MATCH("*PhD*",Personnel[Category],0),0)&gt;0,IFERROR(MATCH("*PostDoc*",Personnel[Category],0),0)&gt;0),"",$B$132),""),"")</f>
        <v/>
      </c>
      <c r="J260" s="218" t="str">
        <f>IFERROR(IF(COUNTIF(INDEX(Personnel[Category],A260),"*PDEng*")&gt;0,IF(INDEX(Personnel[Months],A260)*INDEX(Personnel[FTE],A260)&gt;pers_PDEng_max_months,$B$133,""),""),"")</f>
        <v/>
      </c>
      <c r="K260" s="218" t="str">
        <f>IFERROR(IF(COUNTIF(INDEX(Personnel[Category],A260),"*PostDoc*")&gt;0,IF(INDEX(Personnel[Months],A260)*INDEX(Personnel[FTE],A260)&lt;pers_PD_min_months,$B$134,""),""),"")</f>
        <v/>
      </c>
      <c r="L260" s="218" t="str">
        <f>IFERROR(IF(COUNTIF(INDEX(Personnel[Category],A260),"*PostDoc*")&gt;0,IF(INDEX(Personnel[Months],A260)*INDEX(Personnel[FTE],A260)&gt;pers_PD_max_months,$B$135,""),""),"")</f>
        <v/>
      </c>
      <c r="M260" s="218" t="str">
        <f>IFERROR(IF(COUNTIF(INDEX(Personnel[Category],A260),"*Non-scientific*")&gt;0,IF(OR(IFERROR(MATCH("*PhD*",Personnel[Category],0),0)&gt;0,IFERROR(MATCH("*PostDoc*",Personnel[Category],0),0)&gt;0),"",$B$136),""),"")</f>
        <v/>
      </c>
      <c r="N260" s="218" t="str">
        <f>IFERROR(IF(COUNTIF(INDEX(Personnel[Category],A260),"*Non-scientific*")&gt;0,IF(Total_NSP&gt;pers_max_NSP,$B$137,""),""),"")</f>
        <v/>
      </c>
      <c r="O260" s="218" t="str">
        <f>IFERROR(IF(COUNTIF(INDEX(Personnel[Category],A260),"*Non-scientific*")&gt;0,IF(INDEX(Personnel[Months],A260)*INDEX(Personnel[FTE],A260)&lt;pers_NSP_min_months,$B$138,""),""),"")</f>
        <v/>
      </c>
      <c r="P260" s="218" t="str">
        <f>IFERROR(IF(COUNTIF(INDEX(Personnel[Category],A260),"*Non-scientific*")&gt;0,IF(INDEX(Personnel[Months],A260)*INDEX(Personnel[FTE],A260)&gt;pers_NSP_max_months,$B$139,""),""),"")</f>
        <v/>
      </c>
      <c r="Q260" s="218" t="str">
        <f>IFERROR(IF(COUNTIF(INDEX(Personnel[Category],A260),"*Other scientific*")&gt;0,IF(OR(IFERROR(MATCH("*PhD*",Personnel[Category],0),0)&gt;0,IFERROR(MATCH("*PostDoc*",Personnel[Category],0),0)&gt;0),"",$B$140),""),"")</f>
        <v/>
      </c>
      <c r="R260" s="218" t="str">
        <f>IFERROR(IF(COUNTIF(INDEX(Personnel[Category],A260),"*Other scientific*")&gt;0,IF(Total_OSP&gt;pers_max_OSP,$B$141,""),""),"")</f>
        <v/>
      </c>
      <c r="S260" s="218" t="str">
        <f>IFERROR(IF(COUNTIF(INDEX(Personnel[Category],A260),"*Other scientific*")&gt;0,IF(INDEX(Personnel[Months],A260)*INDEX(Personnel[FTE],A260)&lt;pers_OSP_min_months,$B$142,""),""),"")</f>
        <v/>
      </c>
      <c r="T260" s="218" t="str">
        <f>IFERROR(IF(COUNTIF(INDEX(Personnel[Category],A260),"*Other scientific*")&gt;0,IF(INDEX(Personnel[Months],A260)*INDEX(Personnel[FTE],A260)&gt;pers_OSP_max_months,$B$143,""),""),"")</f>
        <v/>
      </c>
      <c r="U260" s="218" t="str">
        <f>IFERROR(IF(COUNTIF(INDEX(Personnel[Category],A260),"*leave*")&gt;0,IF(Total_Research_leave&gt;pers_leave_maxperc*Total_NWO_funding,$B$144,""),""),"")</f>
        <v/>
      </c>
      <c r="V260" s="218" t="str">
        <f>IFERROR(IF(COUNTIF(INDEX(Personnel[Category],A260),"*leave*")&gt;0,IF(Research_leave_FTE_months&gt;pers_leave_maxduration,$B$145,""),""),"")</f>
        <v/>
      </c>
      <c r="W260" s="218" t="str">
        <f>IFERROR(IF(AND(INDEX(Personnel[Costs],A260)=0,INDEX(salaries_academic[[category]:[1]],MATCH(INDEX(Personnel[Category],A260),salaries_academic[category],0),3)=0),$B$148,""),"")</f>
        <v/>
      </c>
      <c r="X260" s="218" t="e">
        <f>IF(AND(organisation_type="yes",INDEX(Personnel[Amount],A260,1)&lt;&gt;"",ISBLANK(INDEX(Personnel[Organisation type],A260,1))),$B$146,"")</f>
        <v>#REF!</v>
      </c>
      <c r="Y260" s="218" t="e">
        <f>IF(AND(organisation_name="yes",INDEX(Personnel[Amount],A260,1)&lt;&gt;"",ISBLANK(INDEX(Personnel[Name organisation],A260,1))),$B$147,"")</f>
        <v>#REF!</v>
      </c>
      <c r="Z260" s="218" t="str">
        <f>IFERROR(IF(AND(INDEX(Personnel[Costs],A260)&gt;0,INDEX(salaries_academic[[category]:[1]],MATCH(INDEX(Personnel[Category],A260),salaries_academic[category],0),3)&gt;0),$B$149,""),"")</f>
        <v/>
      </c>
      <c r="AA260" s="218"/>
    </row>
    <row r="261" spans="1:27" outlineLevel="1" x14ac:dyDescent="0.35">
      <c r="A261" s="195">
        <v>54</v>
      </c>
      <c r="B261" s="195" t="str">
        <f t="array" ref="B261">IFERROR(INDEX(personnel_ac_notes[[#This Row],[Exceeding nr months]:[Costs specified]],1,MATCH(TRUE,LEN(personnel_ac_notes[[#This Row],[Exceeding nr months]:[Costs specified]])&gt;0,0)),"")</f>
        <v/>
      </c>
      <c r="C261" s="195" t="str">
        <f>IFERROR(IF(INDEX(Personnel[Months],A261)&gt;Max_project_duration,$B$128,""),"")</f>
        <v/>
      </c>
      <c r="D261" s="195" t="str">
        <f>IFERROR(IF(AND(LEN(INDEX(Personnel[Category],A261))+LEN(INDEX(Personnel[FTE],A261))+LEN(INDEX(Personnel[Months],A261))&gt;0,LEN(INDEX(Personnel[Category],A261-1))+LEN(INDEX(Personnel[FTE],A261-1))+LEN(INDEX(Personnel[Months],A261-1))=0),$B$127,""),"")</f>
        <v/>
      </c>
      <c r="E261" s="195" t="str">
        <f>IF(AND(NOT(ISBLANK(INDEX(Personnel[Category],A261))),OR(ISBLANK(INDEX(Personnel[FTE],A261)),ISBLANK(INDEX(Personnel[Months],A261)))),VLOOKUP(INDEX(Personnel[Category],A261),salaries_academic[],2,FALSE),"")</f>
        <v/>
      </c>
      <c r="F261" s="195" t="str">
        <f>IFERROR(IF(COUNTIF(INDEX(Personnel[Category],A261),"*- PhD*")&gt;0,IF(INDEX(Personnel[Months],A261)*INDEX(Personnel[FTE],A261)&lt;pers_PhD_min_months,$B$129,""),""),"")</f>
        <v/>
      </c>
      <c r="G261" s="195" t="str">
        <f>IFERROR(IF(COUNTIF(INDEX(Personnel[Category],$A261),"*- PhD*")&gt;0,IF(INDEX(Personnel[Months],$A261)*INDEX(Personnel[FTE],$A261)&gt;pers_PhD_max_months,$B$130,""),""),"")</f>
        <v/>
      </c>
      <c r="H261" s="195" t="str">
        <f>IFERROR(IF(COUNTIF(INDEX(Personnel[Category],A261),"*year*")&gt;0,IF(INDEX(Personnel[Months],A261)*INDEX(Personnel[FTE],A261)&lt;pers_3yPhD_min_months,$B$131,""),""),"")</f>
        <v/>
      </c>
      <c r="I261" s="218" t="str">
        <f>IFERROR(IF(COUNTIF(INDEX(Personnel[Category],A261),"*PDEng*")&gt;0,IF(OR(IFERROR(MATCH("*PhD*",Personnel[Category],0),0)&gt;0,IFERROR(MATCH("*PostDoc*",Personnel[Category],0),0)&gt;0),"",$B$132),""),"")</f>
        <v/>
      </c>
      <c r="J261" s="218" t="str">
        <f>IFERROR(IF(COUNTIF(INDEX(Personnel[Category],A261),"*PDEng*")&gt;0,IF(INDEX(Personnel[Months],A261)*INDEX(Personnel[FTE],A261)&gt;pers_PDEng_max_months,$B$133,""),""),"")</f>
        <v/>
      </c>
      <c r="K261" s="218" t="str">
        <f>IFERROR(IF(COUNTIF(INDEX(Personnel[Category],A261),"*PostDoc*")&gt;0,IF(INDEX(Personnel[Months],A261)*INDEX(Personnel[FTE],A261)&lt;pers_PD_min_months,$B$134,""),""),"")</f>
        <v/>
      </c>
      <c r="L261" s="218" t="str">
        <f>IFERROR(IF(COUNTIF(INDEX(Personnel[Category],A261),"*PostDoc*")&gt;0,IF(INDEX(Personnel[Months],A261)*INDEX(Personnel[FTE],A261)&gt;pers_PD_max_months,$B$135,""),""),"")</f>
        <v/>
      </c>
      <c r="M261" s="218" t="str">
        <f>IFERROR(IF(COUNTIF(INDEX(Personnel[Category],A261),"*Non-scientific*")&gt;0,IF(OR(IFERROR(MATCH("*PhD*",Personnel[Category],0),0)&gt;0,IFERROR(MATCH("*PostDoc*",Personnel[Category],0),0)&gt;0),"",$B$136),""),"")</f>
        <v/>
      </c>
      <c r="N261" s="218" t="str">
        <f>IFERROR(IF(COUNTIF(INDEX(Personnel[Category],A261),"*Non-scientific*")&gt;0,IF(Total_NSP&gt;pers_max_NSP,$B$137,""),""),"")</f>
        <v/>
      </c>
      <c r="O261" s="218" t="str">
        <f>IFERROR(IF(COUNTIF(INDEX(Personnel[Category],A261),"*Non-scientific*")&gt;0,IF(INDEX(Personnel[Months],A261)*INDEX(Personnel[FTE],A261)&lt;pers_NSP_min_months,$B$138,""),""),"")</f>
        <v/>
      </c>
      <c r="P261" s="218" t="str">
        <f>IFERROR(IF(COUNTIF(INDEX(Personnel[Category],A261),"*Non-scientific*")&gt;0,IF(INDEX(Personnel[Months],A261)*INDEX(Personnel[FTE],A261)&gt;pers_NSP_max_months,$B$139,""),""),"")</f>
        <v/>
      </c>
      <c r="Q261" s="218" t="str">
        <f>IFERROR(IF(COUNTIF(INDEX(Personnel[Category],A261),"*Other scientific*")&gt;0,IF(OR(IFERROR(MATCH("*PhD*",Personnel[Category],0),0)&gt;0,IFERROR(MATCH("*PostDoc*",Personnel[Category],0),0)&gt;0),"",$B$140),""),"")</f>
        <v/>
      </c>
      <c r="R261" s="218" t="str">
        <f>IFERROR(IF(COUNTIF(INDEX(Personnel[Category],A261),"*Other scientific*")&gt;0,IF(Total_OSP&gt;pers_max_OSP,$B$141,""),""),"")</f>
        <v/>
      </c>
      <c r="S261" s="218" t="str">
        <f>IFERROR(IF(COUNTIF(INDEX(Personnel[Category],A261),"*Other scientific*")&gt;0,IF(INDEX(Personnel[Months],A261)*INDEX(Personnel[FTE],A261)&lt;pers_OSP_min_months,$B$142,""),""),"")</f>
        <v/>
      </c>
      <c r="T261" s="218" t="str">
        <f>IFERROR(IF(COUNTIF(INDEX(Personnel[Category],A261),"*Other scientific*")&gt;0,IF(INDEX(Personnel[Months],A261)*INDEX(Personnel[FTE],A261)&gt;pers_OSP_max_months,$B$143,""),""),"")</f>
        <v/>
      </c>
      <c r="U261" s="218" t="str">
        <f>IFERROR(IF(COUNTIF(INDEX(Personnel[Category],A261),"*leave*")&gt;0,IF(Total_Research_leave&gt;pers_leave_maxperc*Total_NWO_funding,$B$144,""),""),"")</f>
        <v/>
      </c>
      <c r="V261" s="218" t="str">
        <f>IFERROR(IF(COUNTIF(INDEX(Personnel[Category],A261),"*leave*")&gt;0,IF(Research_leave_FTE_months&gt;pers_leave_maxduration,$B$145,""),""),"")</f>
        <v/>
      </c>
      <c r="W261" s="218" t="str">
        <f>IFERROR(IF(AND(INDEX(Personnel[Costs],A261)=0,INDEX(salaries_academic[[category]:[1]],MATCH(INDEX(Personnel[Category],A261),salaries_academic[category],0),3)=0),$B$148,""),"")</f>
        <v/>
      </c>
      <c r="X261" s="218" t="e">
        <f>IF(AND(organisation_type="yes",INDEX(Personnel[Amount],A261,1)&lt;&gt;"",ISBLANK(INDEX(Personnel[Organisation type],A261,1))),$B$146,"")</f>
        <v>#REF!</v>
      </c>
      <c r="Y261" s="218" t="e">
        <f>IF(AND(organisation_name="yes",INDEX(Personnel[Amount],A261,1)&lt;&gt;"",ISBLANK(INDEX(Personnel[Name organisation],A261,1))),$B$147,"")</f>
        <v>#REF!</v>
      </c>
      <c r="Z261" s="218" t="str">
        <f>IFERROR(IF(AND(INDEX(Personnel[Costs],A261)&gt;0,INDEX(salaries_academic[[category]:[1]],MATCH(INDEX(Personnel[Category],A261),salaries_academic[category],0),3)&gt;0),$B$149,""),"")</f>
        <v/>
      </c>
      <c r="AA261" s="218"/>
    </row>
    <row r="262" spans="1:27" outlineLevel="1" x14ac:dyDescent="0.35">
      <c r="A262" s="195">
        <v>55</v>
      </c>
      <c r="B262" s="195" t="str">
        <f t="array" ref="B262">IFERROR(INDEX(personnel_ac_notes[[#This Row],[Exceeding nr months]:[Costs specified]],1,MATCH(TRUE,LEN(personnel_ac_notes[[#This Row],[Exceeding nr months]:[Costs specified]])&gt;0,0)),"")</f>
        <v/>
      </c>
      <c r="C262" s="195" t="str">
        <f>IFERROR(IF(INDEX(Personnel[Months],A262)&gt;Max_project_duration,$B$128,""),"")</f>
        <v/>
      </c>
      <c r="D262" s="195" t="str">
        <f>IFERROR(IF(AND(LEN(INDEX(Personnel[Category],A262))+LEN(INDEX(Personnel[FTE],A262))+LEN(INDEX(Personnel[Months],A262))&gt;0,LEN(INDEX(Personnel[Category],A262-1))+LEN(INDEX(Personnel[FTE],A262-1))+LEN(INDEX(Personnel[Months],A262-1))=0),$B$127,""),"")</f>
        <v/>
      </c>
      <c r="E262" s="195" t="str">
        <f>IF(AND(NOT(ISBLANK(INDEX(Personnel[Category],A262))),OR(ISBLANK(INDEX(Personnel[FTE],A262)),ISBLANK(INDEX(Personnel[Months],A262)))),VLOOKUP(INDEX(Personnel[Category],A262),salaries_academic[],2,FALSE),"")</f>
        <v/>
      </c>
      <c r="F262" s="195" t="str">
        <f>IFERROR(IF(COUNTIF(INDEX(Personnel[Category],A262),"*- PhD*")&gt;0,IF(INDEX(Personnel[Months],A262)*INDEX(Personnel[FTE],A262)&lt;pers_PhD_min_months,$B$129,""),""),"")</f>
        <v/>
      </c>
      <c r="G262" s="195" t="str">
        <f>IFERROR(IF(COUNTIF(INDEX(Personnel[Category],$A262),"*- PhD*")&gt;0,IF(INDEX(Personnel[Months],$A262)*INDEX(Personnel[FTE],$A262)&gt;pers_PhD_max_months,$B$130,""),""),"")</f>
        <v/>
      </c>
      <c r="H262" s="195" t="str">
        <f>IFERROR(IF(COUNTIF(INDEX(Personnel[Category],A262),"*year*")&gt;0,IF(INDEX(Personnel[Months],A262)*INDEX(Personnel[FTE],A262)&lt;pers_3yPhD_min_months,$B$131,""),""),"")</f>
        <v/>
      </c>
      <c r="I262" s="218" t="str">
        <f>IFERROR(IF(COUNTIF(INDEX(Personnel[Category],A262),"*PDEng*")&gt;0,IF(OR(IFERROR(MATCH("*PhD*",Personnel[Category],0),0)&gt;0,IFERROR(MATCH("*PostDoc*",Personnel[Category],0),0)&gt;0),"",$B$132),""),"")</f>
        <v/>
      </c>
      <c r="J262" s="218" t="str">
        <f>IFERROR(IF(COUNTIF(INDEX(Personnel[Category],A262),"*PDEng*")&gt;0,IF(INDEX(Personnel[Months],A262)*INDEX(Personnel[FTE],A262)&gt;pers_PDEng_max_months,$B$133,""),""),"")</f>
        <v/>
      </c>
      <c r="K262" s="218" t="str">
        <f>IFERROR(IF(COUNTIF(INDEX(Personnel[Category],A262),"*PostDoc*")&gt;0,IF(INDEX(Personnel[Months],A262)*INDEX(Personnel[FTE],A262)&lt;pers_PD_min_months,$B$134,""),""),"")</f>
        <v/>
      </c>
      <c r="L262" s="218" t="str">
        <f>IFERROR(IF(COUNTIF(INDEX(Personnel[Category],A262),"*PostDoc*")&gt;0,IF(INDEX(Personnel[Months],A262)*INDEX(Personnel[FTE],A262)&gt;pers_PD_max_months,$B$135,""),""),"")</f>
        <v/>
      </c>
      <c r="M262" s="218" t="str">
        <f>IFERROR(IF(COUNTIF(INDEX(Personnel[Category],A262),"*Non-scientific*")&gt;0,IF(OR(IFERROR(MATCH("*PhD*",Personnel[Category],0),0)&gt;0,IFERROR(MATCH("*PostDoc*",Personnel[Category],0),0)&gt;0),"",$B$136),""),"")</f>
        <v/>
      </c>
      <c r="N262" s="218" t="str">
        <f>IFERROR(IF(COUNTIF(INDEX(Personnel[Category],A262),"*Non-scientific*")&gt;0,IF(Total_NSP&gt;pers_max_NSP,$B$137,""),""),"")</f>
        <v/>
      </c>
      <c r="O262" s="218" t="str">
        <f>IFERROR(IF(COUNTIF(INDEX(Personnel[Category],A262),"*Non-scientific*")&gt;0,IF(INDEX(Personnel[Months],A262)*INDEX(Personnel[FTE],A262)&lt;pers_NSP_min_months,$B$138,""),""),"")</f>
        <v/>
      </c>
      <c r="P262" s="218" t="str">
        <f>IFERROR(IF(COUNTIF(INDEX(Personnel[Category],A262),"*Non-scientific*")&gt;0,IF(INDEX(Personnel[Months],A262)*INDEX(Personnel[FTE],A262)&gt;pers_NSP_max_months,$B$139,""),""),"")</f>
        <v/>
      </c>
      <c r="Q262" s="218" t="str">
        <f>IFERROR(IF(COUNTIF(INDEX(Personnel[Category],A262),"*Other scientific*")&gt;0,IF(OR(IFERROR(MATCH("*PhD*",Personnel[Category],0),0)&gt;0,IFERROR(MATCH("*PostDoc*",Personnel[Category],0),0)&gt;0),"",$B$140),""),"")</f>
        <v/>
      </c>
      <c r="R262" s="218" t="str">
        <f>IFERROR(IF(COUNTIF(INDEX(Personnel[Category],A262),"*Other scientific*")&gt;0,IF(Total_OSP&gt;pers_max_OSP,$B$141,""),""),"")</f>
        <v/>
      </c>
      <c r="S262" s="218" t="str">
        <f>IFERROR(IF(COUNTIF(INDEX(Personnel[Category],A262),"*Other scientific*")&gt;0,IF(INDEX(Personnel[Months],A262)*INDEX(Personnel[FTE],A262)&lt;pers_OSP_min_months,$B$142,""),""),"")</f>
        <v/>
      </c>
      <c r="T262" s="218" t="str">
        <f>IFERROR(IF(COUNTIF(INDEX(Personnel[Category],A262),"*Other scientific*")&gt;0,IF(INDEX(Personnel[Months],A262)*INDEX(Personnel[FTE],A262)&gt;pers_OSP_max_months,$B$143,""),""),"")</f>
        <v/>
      </c>
      <c r="U262" s="218" t="str">
        <f>IFERROR(IF(COUNTIF(INDEX(Personnel[Category],A262),"*leave*")&gt;0,IF(Total_Research_leave&gt;pers_leave_maxperc*Total_NWO_funding,$B$144,""),""),"")</f>
        <v/>
      </c>
      <c r="V262" s="218" t="str">
        <f>IFERROR(IF(COUNTIF(INDEX(Personnel[Category],A262),"*leave*")&gt;0,IF(Research_leave_FTE_months&gt;pers_leave_maxduration,$B$145,""),""),"")</f>
        <v/>
      </c>
      <c r="W262" s="218" t="str">
        <f>IFERROR(IF(AND(INDEX(Personnel[Costs],A262)=0,INDEX(salaries_academic[[category]:[1]],MATCH(INDEX(Personnel[Category],A262),salaries_academic[category],0),3)=0),$B$148,""),"")</f>
        <v/>
      </c>
      <c r="X262" s="218" t="e">
        <f>IF(AND(organisation_type="yes",INDEX(Personnel[Amount],A262,1)&lt;&gt;"",ISBLANK(INDEX(Personnel[Organisation type],A262,1))),$B$146,"")</f>
        <v>#REF!</v>
      </c>
      <c r="Y262" s="218" t="e">
        <f>IF(AND(organisation_name="yes",INDEX(Personnel[Amount],A262,1)&lt;&gt;"",ISBLANK(INDEX(Personnel[Name organisation],A262,1))),$B$147,"")</f>
        <v>#REF!</v>
      </c>
      <c r="Z262" s="218" t="str">
        <f>IFERROR(IF(AND(INDEX(Personnel[Costs],A262)&gt;0,INDEX(salaries_academic[[category]:[1]],MATCH(INDEX(Personnel[Category],A262),salaries_academic[category],0),3)&gt;0),$B$149,""),"")</f>
        <v/>
      </c>
      <c r="AA262" s="218"/>
    </row>
    <row r="263" spans="1:27" outlineLevel="1" x14ac:dyDescent="0.35">
      <c r="A263" s="195">
        <v>56</v>
      </c>
      <c r="B263" s="195" t="str">
        <f t="array" ref="B263">IFERROR(INDEX(personnel_ac_notes[[#This Row],[Exceeding nr months]:[Costs specified]],1,MATCH(TRUE,LEN(personnel_ac_notes[[#This Row],[Exceeding nr months]:[Costs specified]])&gt;0,0)),"")</f>
        <v/>
      </c>
      <c r="C263" s="195" t="str">
        <f>IFERROR(IF(INDEX(Personnel[Months],A263)&gt;Max_project_duration,$B$128,""),"")</f>
        <v/>
      </c>
      <c r="D263" s="195" t="str">
        <f>IFERROR(IF(AND(LEN(INDEX(Personnel[Category],A263))+LEN(INDEX(Personnel[FTE],A263))+LEN(INDEX(Personnel[Months],A263))&gt;0,LEN(INDEX(Personnel[Category],A263-1))+LEN(INDEX(Personnel[FTE],A263-1))+LEN(INDEX(Personnel[Months],A263-1))=0),$B$127,""),"")</f>
        <v/>
      </c>
      <c r="E263" s="195" t="str">
        <f>IF(AND(NOT(ISBLANK(INDEX(Personnel[Category],A263))),OR(ISBLANK(INDEX(Personnel[FTE],A263)),ISBLANK(INDEX(Personnel[Months],A263)))),VLOOKUP(INDEX(Personnel[Category],A263),salaries_academic[],2,FALSE),"")</f>
        <v/>
      </c>
      <c r="F263" s="195" t="str">
        <f>IFERROR(IF(COUNTIF(INDEX(Personnel[Category],A263),"*- PhD*")&gt;0,IF(INDEX(Personnel[Months],A263)*INDEX(Personnel[FTE],A263)&lt;pers_PhD_min_months,$B$129,""),""),"")</f>
        <v/>
      </c>
      <c r="G263" s="195" t="str">
        <f>IFERROR(IF(COUNTIF(INDEX(Personnel[Category],$A263),"*- PhD*")&gt;0,IF(INDEX(Personnel[Months],$A263)*INDEX(Personnel[FTE],$A263)&gt;pers_PhD_max_months,$B$130,""),""),"")</f>
        <v/>
      </c>
      <c r="H263" s="195" t="str">
        <f>IFERROR(IF(COUNTIF(INDEX(Personnel[Category],A263),"*year*")&gt;0,IF(INDEX(Personnel[Months],A263)*INDEX(Personnel[FTE],A263)&lt;pers_3yPhD_min_months,$B$131,""),""),"")</f>
        <v/>
      </c>
      <c r="I263" s="218" t="str">
        <f>IFERROR(IF(COUNTIF(INDEX(Personnel[Category],A263),"*PDEng*")&gt;0,IF(OR(IFERROR(MATCH("*PhD*",Personnel[Category],0),0)&gt;0,IFERROR(MATCH("*PostDoc*",Personnel[Category],0),0)&gt;0),"",$B$132),""),"")</f>
        <v/>
      </c>
      <c r="J263" s="218" t="str">
        <f>IFERROR(IF(COUNTIF(INDEX(Personnel[Category],A263),"*PDEng*")&gt;0,IF(INDEX(Personnel[Months],A263)*INDEX(Personnel[FTE],A263)&gt;pers_PDEng_max_months,$B$133,""),""),"")</f>
        <v/>
      </c>
      <c r="K263" s="218" t="str">
        <f>IFERROR(IF(COUNTIF(INDEX(Personnel[Category],A263),"*PostDoc*")&gt;0,IF(INDEX(Personnel[Months],A263)*INDEX(Personnel[FTE],A263)&lt;pers_PD_min_months,$B$134,""),""),"")</f>
        <v/>
      </c>
      <c r="L263" s="218" t="str">
        <f>IFERROR(IF(COUNTIF(INDEX(Personnel[Category],A263),"*PostDoc*")&gt;0,IF(INDEX(Personnel[Months],A263)*INDEX(Personnel[FTE],A263)&gt;pers_PD_max_months,$B$135,""),""),"")</f>
        <v/>
      </c>
      <c r="M263" s="218" t="str">
        <f>IFERROR(IF(COUNTIF(INDEX(Personnel[Category],A263),"*Non-scientific*")&gt;0,IF(OR(IFERROR(MATCH("*PhD*",Personnel[Category],0),0)&gt;0,IFERROR(MATCH("*PostDoc*",Personnel[Category],0),0)&gt;0),"",$B$136),""),"")</f>
        <v/>
      </c>
      <c r="N263" s="218" t="str">
        <f>IFERROR(IF(COUNTIF(INDEX(Personnel[Category],A263),"*Non-scientific*")&gt;0,IF(Total_NSP&gt;pers_max_NSP,$B$137,""),""),"")</f>
        <v/>
      </c>
      <c r="O263" s="218" t="str">
        <f>IFERROR(IF(COUNTIF(INDEX(Personnel[Category],A263),"*Non-scientific*")&gt;0,IF(INDEX(Personnel[Months],A263)*INDEX(Personnel[FTE],A263)&lt;pers_NSP_min_months,$B$138,""),""),"")</f>
        <v/>
      </c>
      <c r="P263" s="218" t="str">
        <f>IFERROR(IF(COUNTIF(INDEX(Personnel[Category],A263),"*Non-scientific*")&gt;0,IF(INDEX(Personnel[Months],A263)*INDEX(Personnel[FTE],A263)&gt;pers_NSP_max_months,$B$139,""),""),"")</f>
        <v/>
      </c>
      <c r="Q263" s="218" t="str">
        <f>IFERROR(IF(COUNTIF(INDEX(Personnel[Category],A263),"*Other scientific*")&gt;0,IF(OR(IFERROR(MATCH("*PhD*",Personnel[Category],0),0)&gt;0,IFERROR(MATCH("*PostDoc*",Personnel[Category],0),0)&gt;0),"",$B$140),""),"")</f>
        <v/>
      </c>
      <c r="R263" s="218" t="str">
        <f>IFERROR(IF(COUNTIF(INDEX(Personnel[Category],A263),"*Other scientific*")&gt;0,IF(Total_OSP&gt;pers_max_OSP,$B$141,""),""),"")</f>
        <v/>
      </c>
      <c r="S263" s="218" t="str">
        <f>IFERROR(IF(COUNTIF(INDEX(Personnel[Category],A263),"*Other scientific*")&gt;0,IF(INDEX(Personnel[Months],A263)*INDEX(Personnel[FTE],A263)&lt;pers_OSP_min_months,$B$142,""),""),"")</f>
        <v/>
      </c>
      <c r="T263" s="218" t="str">
        <f>IFERROR(IF(COUNTIF(INDEX(Personnel[Category],A263),"*Other scientific*")&gt;0,IF(INDEX(Personnel[Months],A263)*INDEX(Personnel[FTE],A263)&gt;pers_OSP_max_months,$B$143,""),""),"")</f>
        <v/>
      </c>
      <c r="U263" s="218" t="str">
        <f>IFERROR(IF(COUNTIF(INDEX(Personnel[Category],A263),"*leave*")&gt;0,IF(Total_Research_leave&gt;pers_leave_maxperc*Total_NWO_funding,$B$144,""),""),"")</f>
        <v/>
      </c>
      <c r="V263" s="218" t="str">
        <f>IFERROR(IF(COUNTIF(INDEX(Personnel[Category],A263),"*leave*")&gt;0,IF(Research_leave_FTE_months&gt;pers_leave_maxduration,$B$145,""),""),"")</f>
        <v/>
      </c>
      <c r="W263" s="218" t="str">
        <f>IFERROR(IF(AND(INDEX(Personnel[Costs],A263)=0,INDEX(salaries_academic[[category]:[1]],MATCH(INDEX(Personnel[Category],A263),salaries_academic[category],0),3)=0),$B$148,""),"")</f>
        <v/>
      </c>
      <c r="X263" s="218" t="e">
        <f>IF(AND(organisation_type="yes",INDEX(Personnel[Amount],A263,1)&lt;&gt;"",ISBLANK(INDEX(Personnel[Organisation type],A263,1))),$B$146,"")</f>
        <v>#REF!</v>
      </c>
      <c r="Y263" s="218" t="e">
        <f>IF(AND(organisation_name="yes",INDEX(Personnel[Amount],A263,1)&lt;&gt;"",ISBLANK(INDEX(Personnel[Name organisation],A263,1))),$B$147,"")</f>
        <v>#REF!</v>
      </c>
      <c r="Z263" s="218" t="str">
        <f>IFERROR(IF(AND(INDEX(Personnel[Costs],A263)&gt;0,INDEX(salaries_academic[[category]:[1]],MATCH(INDEX(Personnel[Category],A263),salaries_academic[category],0),3)&gt;0),$B$149,""),"")</f>
        <v/>
      </c>
      <c r="AA263" s="218"/>
    </row>
    <row r="264" spans="1:27" outlineLevel="1" x14ac:dyDescent="0.35">
      <c r="A264" s="195">
        <v>57</v>
      </c>
      <c r="B264" s="195" t="str">
        <f t="array" ref="B264">IFERROR(INDEX(personnel_ac_notes[[#This Row],[Exceeding nr months]:[Costs specified]],1,MATCH(TRUE,LEN(personnel_ac_notes[[#This Row],[Exceeding nr months]:[Costs specified]])&gt;0,0)),"")</f>
        <v/>
      </c>
      <c r="C264" s="195" t="str">
        <f>IFERROR(IF(INDEX(Personnel[Months],A264)&gt;Max_project_duration,$B$128,""),"")</f>
        <v/>
      </c>
      <c r="D264" s="195" t="str">
        <f>IFERROR(IF(AND(LEN(INDEX(Personnel[Category],A264))+LEN(INDEX(Personnel[FTE],A264))+LEN(INDEX(Personnel[Months],A264))&gt;0,LEN(INDEX(Personnel[Category],A264-1))+LEN(INDEX(Personnel[FTE],A264-1))+LEN(INDEX(Personnel[Months],A264-1))=0),$B$127,""),"")</f>
        <v/>
      </c>
      <c r="E264" s="195" t="str">
        <f>IF(AND(NOT(ISBLANK(INDEX(Personnel[Category],A264))),OR(ISBLANK(INDEX(Personnel[FTE],A264)),ISBLANK(INDEX(Personnel[Months],A264)))),VLOOKUP(INDEX(Personnel[Category],A264),salaries_academic[],2,FALSE),"")</f>
        <v/>
      </c>
      <c r="F264" s="195" t="str">
        <f>IFERROR(IF(COUNTIF(INDEX(Personnel[Category],A264),"*- PhD*")&gt;0,IF(INDEX(Personnel[Months],A264)*INDEX(Personnel[FTE],A264)&lt;pers_PhD_min_months,$B$129,""),""),"")</f>
        <v/>
      </c>
      <c r="G264" s="195" t="str">
        <f>IFERROR(IF(COUNTIF(INDEX(Personnel[Category],$A264),"*- PhD*")&gt;0,IF(INDEX(Personnel[Months],$A264)*INDEX(Personnel[FTE],$A264)&gt;pers_PhD_max_months,$B$130,""),""),"")</f>
        <v/>
      </c>
      <c r="H264" s="195" t="str">
        <f>IFERROR(IF(COUNTIF(INDEX(Personnel[Category],A264),"*year*")&gt;0,IF(INDEX(Personnel[Months],A264)*INDEX(Personnel[FTE],A264)&lt;pers_3yPhD_min_months,$B$131,""),""),"")</f>
        <v/>
      </c>
      <c r="I264" s="218" t="str">
        <f>IFERROR(IF(COUNTIF(INDEX(Personnel[Category],A264),"*PDEng*")&gt;0,IF(OR(IFERROR(MATCH("*PhD*",Personnel[Category],0),0)&gt;0,IFERROR(MATCH("*PostDoc*",Personnel[Category],0),0)&gt;0),"",$B$132),""),"")</f>
        <v/>
      </c>
      <c r="J264" s="218" t="str">
        <f>IFERROR(IF(COUNTIF(INDEX(Personnel[Category],A264),"*PDEng*")&gt;0,IF(INDEX(Personnel[Months],A264)*INDEX(Personnel[FTE],A264)&gt;pers_PDEng_max_months,$B$133,""),""),"")</f>
        <v/>
      </c>
      <c r="K264" s="218" t="str">
        <f>IFERROR(IF(COUNTIF(INDEX(Personnel[Category],A264),"*PostDoc*")&gt;0,IF(INDEX(Personnel[Months],A264)*INDEX(Personnel[FTE],A264)&lt;pers_PD_min_months,$B$134,""),""),"")</f>
        <v/>
      </c>
      <c r="L264" s="218" t="str">
        <f>IFERROR(IF(COUNTIF(INDEX(Personnel[Category],A264),"*PostDoc*")&gt;0,IF(INDEX(Personnel[Months],A264)*INDEX(Personnel[FTE],A264)&gt;pers_PD_max_months,$B$135,""),""),"")</f>
        <v/>
      </c>
      <c r="M264" s="218" t="str">
        <f>IFERROR(IF(COUNTIF(INDEX(Personnel[Category],A264),"*Non-scientific*")&gt;0,IF(OR(IFERROR(MATCH("*PhD*",Personnel[Category],0),0)&gt;0,IFERROR(MATCH("*PostDoc*",Personnel[Category],0),0)&gt;0),"",$B$136),""),"")</f>
        <v/>
      </c>
      <c r="N264" s="218" t="str">
        <f>IFERROR(IF(COUNTIF(INDEX(Personnel[Category],A264),"*Non-scientific*")&gt;0,IF(Total_NSP&gt;pers_max_NSP,$B$137,""),""),"")</f>
        <v/>
      </c>
      <c r="O264" s="218" t="str">
        <f>IFERROR(IF(COUNTIF(INDEX(Personnel[Category],A264),"*Non-scientific*")&gt;0,IF(INDEX(Personnel[Months],A264)*INDEX(Personnel[FTE],A264)&lt;pers_NSP_min_months,$B$138,""),""),"")</f>
        <v/>
      </c>
      <c r="P264" s="218" t="str">
        <f>IFERROR(IF(COUNTIF(INDEX(Personnel[Category],A264),"*Non-scientific*")&gt;0,IF(INDEX(Personnel[Months],A264)*INDEX(Personnel[FTE],A264)&gt;pers_NSP_max_months,$B$139,""),""),"")</f>
        <v/>
      </c>
      <c r="Q264" s="218" t="str">
        <f>IFERROR(IF(COUNTIF(INDEX(Personnel[Category],A264),"*Other scientific*")&gt;0,IF(OR(IFERROR(MATCH("*PhD*",Personnel[Category],0),0)&gt;0,IFERROR(MATCH("*PostDoc*",Personnel[Category],0),0)&gt;0),"",$B$140),""),"")</f>
        <v/>
      </c>
      <c r="R264" s="218" t="str">
        <f>IFERROR(IF(COUNTIF(INDEX(Personnel[Category],A264),"*Other scientific*")&gt;0,IF(Total_OSP&gt;pers_max_OSP,$B$141,""),""),"")</f>
        <v/>
      </c>
      <c r="S264" s="218" t="str">
        <f>IFERROR(IF(COUNTIF(INDEX(Personnel[Category],A264),"*Other scientific*")&gt;0,IF(INDEX(Personnel[Months],A264)*INDEX(Personnel[FTE],A264)&lt;pers_OSP_min_months,$B$142,""),""),"")</f>
        <v/>
      </c>
      <c r="T264" s="218" t="str">
        <f>IFERROR(IF(COUNTIF(INDEX(Personnel[Category],A264),"*Other scientific*")&gt;0,IF(INDEX(Personnel[Months],A264)*INDEX(Personnel[FTE],A264)&gt;pers_OSP_max_months,$B$143,""),""),"")</f>
        <v/>
      </c>
      <c r="U264" s="218" t="str">
        <f>IFERROR(IF(COUNTIF(INDEX(Personnel[Category],A264),"*leave*")&gt;0,IF(Total_Research_leave&gt;pers_leave_maxperc*Total_NWO_funding,$B$144,""),""),"")</f>
        <v/>
      </c>
      <c r="V264" s="218" t="str">
        <f>IFERROR(IF(COUNTIF(INDEX(Personnel[Category],A264),"*leave*")&gt;0,IF(Research_leave_FTE_months&gt;pers_leave_maxduration,$B$145,""),""),"")</f>
        <v/>
      </c>
      <c r="W264" s="218" t="str">
        <f>IFERROR(IF(AND(INDEX(Personnel[Costs],A264)=0,INDEX(salaries_academic[[category]:[1]],MATCH(INDEX(Personnel[Category],A264),salaries_academic[category],0),3)=0),$B$148,""),"")</f>
        <v/>
      </c>
      <c r="X264" s="218" t="e">
        <f>IF(AND(organisation_type="yes",INDEX(Personnel[Amount],A264,1)&lt;&gt;"",ISBLANK(INDEX(Personnel[Organisation type],A264,1))),$B$146,"")</f>
        <v>#REF!</v>
      </c>
      <c r="Y264" s="218" t="e">
        <f>IF(AND(organisation_name="yes",INDEX(Personnel[Amount],A264,1)&lt;&gt;"",ISBLANK(INDEX(Personnel[Name organisation],A264,1))),$B$147,"")</f>
        <v>#REF!</v>
      </c>
      <c r="Z264" s="218" t="str">
        <f>IFERROR(IF(AND(INDEX(Personnel[Costs],A264)&gt;0,INDEX(salaries_academic[[category]:[1]],MATCH(INDEX(Personnel[Category],A264),salaries_academic[category],0),3)&gt;0),$B$149,""),"")</f>
        <v/>
      </c>
      <c r="AA264" s="218"/>
    </row>
    <row r="265" spans="1:27" outlineLevel="1" x14ac:dyDescent="0.35">
      <c r="A265" s="195">
        <v>58</v>
      </c>
      <c r="B265" s="195" t="str">
        <f t="array" ref="B265">IFERROR(INDEX(personnel_ac_notes[[#This Row],[Exceeding nr months]:[Costs specified]],1,MATCH(TRUE,LEN(personnel_ac_notes[[#This Row],[Exceeding nr months]:[Costs specified]])&gt;0,0)),"")</f>
        <v/>
      </c>
      <c r="C265" s="195" t="str">
        <f>IFERROR(IF(INDEX(Personnel[Months],A265)&gt;Max_project_duration,$B$128,""),"")</f>
        <v/>
      </c>
      <c r="D265" s="195" t="str">
        <f>IFERROR(IF(AND(LEN(INDEX(Personnel[Category],A265))+LEN(INDEX(Personnel[FTE],A265))+LEN(INDEX(Personnel[Months],A265))&gt;0,LEN(INDEX(Personnel[Category],A265-1))+LEN(INDEX(Personnel[FTE],A265-1))+LEN(INDEX(Personnel[Months],A265-1))=0),$B$127,""),"")</f>
        <v/>
      </c>
      <c r="E265" s="195" t="str">
        <f>IF(AND(NOT(ISBLANK(INDEX(Personnel[Category],A265))),OR(ISBLANK(INDEX(Personnel[FTE],A265)),ISBLANK(INDEX(Personnel[Months],A265)))),VLOOKUP(INDEX(Personnel[Category],A265),salaries_academic[],2,FALSE),"")</f>
        <v/>
      </c>
      <c r="F265" s="195" t="str">
        <f>IFERROR(IF(COUNTIF(INDEX(Personnel[Category],A265),"*- PhD*")&gt;0,IF(INDEX(Personnel[Months],A265)*INDEX(Personnel[FTE],A265)&lt;pers_PhD_min_months,$B$129,""),""),"")</f>
        <v/>
      </c>
      <c r="G265" s="195" t="str">
        <f>IFERROR(IF(COUNTIF(INDEX(Personnel[Category],$A265),"*- PhD*")&gt;0,IF(INDEX(Personnel[Months],$A265)*INDEX(Personnel[FTE],$A265)&gt;pers_PhD_max_months,$B$130,""),""),"")</f>
        <v/>
      </c>
      <c r="H265" s="195" t="str">
        <f>IFERROR(IF(COUNTIF(INDEX(Personnel[Category],A265),"*year*")&gt;0,IF(INDEX(Personnel[Months],A265)*INDEX(Personnel[FTE],A265)&lt;pers_3yPhD_min_months,$B$131,""),""),"")</f>
        <v/>
      </c>
      <c r="I265" s="218" t="str">
        <f>IFERROR(IF(COUNTIF(INDEX(Personnel[Category],A265),"*PDEng*")&gt;0,IF(OR(IFERROR(MATCH("*PhD*",Personnel[Category],0),0)&gt;0,IFERROR(MATCH("*PostDoc*",Personnel[Category],0),0)&gt;0),"",$B$132),""),"")</f>
        <v/>
      </c>
      <c r="J265" s="218" t="str">
        <f>IFERROR(IF(COUNTIF(INDEX(Personnel[Category],A265),"*PDEng*")&gt;0,IF(INDEX(Personnel[Months],A265)*INDEX(Personnel[FTE],A265)&gt;pers_PDEng_max_months,$B$133,""),""),"")</f>
        <v/>
      </c>
      <c r="K265" s="218" t="str">
        <f>IFERROR(IF(COUNTIF(INDEX(Personnel[Category],A265),"*PostDoc*")&gt;0,IF(INDEX(Personnel[Months],A265)*INDEX(Personnel[FTE],A265)&lt;pers_PD_min_months,$B$134,""),""),"")</f>
        <v/>
      </c>
      <c r="L265" s="218" t="str">
        <f>IFERROR(IF(COUNTIF(INDEX(Personnel[Category],A265),"*PostDoc*")&gt;0,IF(INDEX(Personnel[Months],A265)*INDEX(Personnel[FTE],A265)&gt;pers_PD_max_months,$B$135,""),""),"")</f>
        <v/>
      </c>
      <c r="M265" s="218" t="str">
        <f>IFERROR(IF(COUNTIF(INDEX(Personnel[Category],A265),"*Non-scientific*")&gt;0,IF(OR(IFERROR(MATCH("*PhD*",Personnel[Category],0),0)&gt;0,IFERROR(MATCH("*PostDoc*",Personnel[Category],0),0)&gt;0),"",$B$136),""),"")</f>
        <v/>
      </c>
      <c r="N265" s="218" t="str">
        <f>IFERROR(IF(COUNTIF(INDEX(Personnel[Category],A265),"*Non-scientific*")&gt;0,IF(Total_NSP&gt;pers_max_NSP,$B$137,""),""),"")</f>
        <v/>
      </c>
      <c r="O265" s="218" t="str">
        <f>IFERROR(IF(COUNTIF(INDEX(Personnel[Category],A265),"*Non-scientific*")&gt;0,IF(INDEX(Personnel[Months],A265)*INDEX(Personnel[FTE],A265)&lt;pers_NSP_min_months,$B$138,""),""),"")</f>
        <v/>
      </c>
      <c r="P265" s="218" t="str">
        <f>IFERROR(IF(COUNTIF(INDEX(Personnel[Category],A265),"*Non-scientific*")&gt;0,IF(INDEX(Personnel[Months],A265)*INDEX(Personnel[FTE],A265)&gt;pers_NSP_max_months,$B$139,""),""),"")</f>
        <v/>
      </c>
      <c r="Q265" s="218" t="str">
        <f>IFERROR(IF(COUNTIF(INDEX(Personnel[Category],A265),"*Other scientific*")&gt;0,IF(OR(IFERROR(MATCH("*PhD*",Personnel[Category],0),0)&gt;0,IFERROR(MATCH("*PostDoc*",Personnel[Category],0),0)&gt;0),"",$B$140),""),"")</f>
        <v/>
      </c>
      <c r="R265" s="218" t="str">
        <f>IFERROR(IF(COUNTIF(INDEX(Personnel[Category],A265),"*Other scientific*")&gt;0,IF(Total_OSP&gt;pers_max_OSP,$B$141,""),""),"")</f>
        <v/>
      </c>
      <c r="S265" s="218" t="str">
        <f>IFERROR(IF(COUNTIF(INDEX(Personnel[Category],A265),"*Other scientific*")&gt;0,IF(INDEX(Personnel[Months],A265)*INDEX(Personnel[FTE],A265)&lt;pers_OSP_min_months,$B$142,""),""),"")</f>
        <v/>
      </c>
      <c r="T265" s="218" t="str">
        <f>IFERROR(IF(COUNTIF(INDEX(Personnel[Category],A265),"*Other scientific*")&gt;0,IF(INDEX(Personnel[Months],A265)*INDEX(Personnel[FTE],A265)&gt;pers_OSP_max_months,$B$143,""),""),"")</f>
        <v/>
      </c>
      <c r="U265" s="218" t="str">
        <f>IFERROR(IF(COUNTIF(INDEX(Personnel[Category],A265),"*leave*")&gt;0,IF(Total_Research_leave&gt;pers_leave_maxperc*Total_NWO_funding,$B$144,""),""),"")</f>
        <v/>
      </c>
      <c r="V265" s="218" t="str">
        <f>IFERROR(IF(COUNTIF(INDEX(Personnel[Category],A265),"*leave*")&gt;0,IF(Research_leave_FTE_months&gt;pers_leave_maxduration,$B$145,""),""),"")</f>
        <v/>
      </c>
      <c r="W265" s="218" t="str">
        <f>IFERROR(IF(AND(INDEX(Personnel[Costs],A265)=0,INDEX(salaries_academic[[category]:[1]],MATCH(INDEX(Personnel[Category],A265),salaries_academic[category],0),3)=0),$B$148,""),"")</f>
        <v/>
      </c>
      <c r="X265" s="218" t="e">
        <f>IF(AND(organisation_type="yes",INDEX(Personnel[Amount],A265,1)&lt;&gt;"",ISBLANK(INDEX(Personnel[Organisation type],A265,1))),$B$146,"")</f>
        <v>#REF!</v>
      </c>
      <c r="Y265" s="218" t="e">
        <f>IF(AND(organisation_name="yes",INDEX(Personnel[Amount],A265,1)&lt;&gt;"",ISBLANK(INDEX(Personnel[Name organisation],A265,1))),$B$147,"")</f>
        <v>#REF!</v>
      </c>
      <c r="Z265" s="218" t="str">
        <f>IFERROR(IF(AND(INDEX(Personnel[Costs],A265)&gt;0,INDEX(salaries_academic[[category]:[1]],MATCH(INDEX(Personnel[Category],A265),salaries_academic[category],0),3)&gt;0),$B$149,""),"")</f>
        <v/>
      </c>
      <c r="AA265" s="218"/>
    </row>
    <row r="266" spans="1:27" outlineLevel="1" x14ac:dyDescent="0.35">
      <c r="A266" s="195">
        <v>59</v>
      </c>
      <c r="B266" s="195" t="str">
        <f t="array" ref="B266">IFERROR(INDEX(personnel_ac_notes[[#This Row],[Exceeding nr months]:[Costs specified]],1,MATCH(TRUE,LEN(personnel_ac_notes[[#This Row],[Exceeding nr months]:[Costs specified]])&gt;0,0)),"")</f>
        <v/>
      </c>
      <c r="C266" s="195" t="str">
        <f>IFERROR(IF(INDEX(Personnel[Months],A266)&gt;Max_project_duration,$B$128,""),"")</f>
        <v/>
      </c>
      <c r="D266" s="195" t="str">
        <f>IFERROR(IF(AND(LEN(INDEX(Personnel[Category],A266))+LEN(INDEX(Personnel[FTE],A266))+LEN(INDEX(Personnel[Months],A266))&gt;0,LEN(INDEX(Personnel[Category],A266-1))+LEN(INDEX(Personnel[FTE],A266-1))+LEN(INDEX(Personnel[Months],A266-1))=0),$B$127,""),"")</f>
        <v/>
      </c>
      <c r="E266" s="195" t="str">
        <f>IF(AND(NOT(ISBLANK(INDEX(Personnel[Category],A266))),OR(ISBLANK(INDEX(Personnel[FTE],A266)),ISBLANK(INDEX(Personnel[Months],A266)))),VLOOKUP(INDEX(Personnel[Category],A266),salaries_academic[],2,FALSE),"")</f>
        <v/>
      </c>
      <c r="F266" s="195" t="str">
        <f>IFERROR(IF(COUNTIF(INDEX(Personnel[Category],A266),"*- PhD*")&gt;0,IF(INDEX(Personnel[Months],A266)*INDEX(Personnel[FTE],A266)&lt;pers_PhD_min_months,$B$129,""),""),"")</f>
        <v/>
      </c>
      <c r="G266" s="195" t="str">
        <f>IFERROR(IF(COUNTIF(INDEX(Personnel[Category],$A266),"*- PhD*")&gt;0,IF(INDEX(Personnel[Months],$A266)*INDEX(Personnel[FTE],$A266)&gt;pers_PhD_max_months,$B$130,""),""),"")</f>
        <v/>
      </c>
      <c r="H266" s="195" t="str">
        <f>IFERROR(IF(COUNTIF(INDEX(Personnel[Category],A266),"*year*")&gt;0,IF(INDEX(Personnel[Months],A266)*INDEX(Personnel[FTE],A266)&lt;pers_3yPhD_min_months,$B$131,""),""),"")</f>
        <v/>
      </c>
      <c r="I266" s="218" t="str">
        <f>IFERROR(IF(COUNTIF(INDEX(Personnel[Category],A266),"*PDEng*")&gt;0,IF(OR(IFERROR(MATCH("*PhD*",Personnel[Category],0),0)&gt;0,IFERROR(MATCH("*PostDoc*",Personnel[Category],0),0)&gt;0),"",$B$132),""),"")</f>
        <v/>
      </c>
      <c r="J266" s="218" t="str">
        <f>IFERROR(IF(COUNTIF(INDEX(Personnel[Category],A266),"*PDEng*")&gt;0,IF(INDEX(Personnel[Months],A266)*INDEX(Personnel[FTE],A266)&gt;pers_PDEng_max_months,$B$133,""),""),"")</f>
        <v/>
      </c>
      <c r="K266" s="218" t="str">
        <f>IFERROR(IF(COUNTIF(INDEX(Personnel[Category],A266),"*PostDoc*")&gt;0,IF(INDEX(Personnel[Months],A266)*INDEX(Personnel[FTE],A266)&lt;pers_PD_min_months,$B$134,""),""),"")</f>
        <v/>
      </c>
      <c r="L266" s="218" t="str">
        <f>IFERROR(IF(COUNTIF(INDEX(Personnel[Category],A266),"*PostDoc*")&gt;0,IF(INDEX(Personnel[Months],A266)*INDEX(Personnel[FTE],A266)&gt;pers_PD_max_months,$B$135,""),""),"")</f>
        <v/>
      </c>
      <c r="M266" s="218" t="str">
        <f>IFERROR(IF(COUNTIF(INDEX(Personnel[Category],A266),"*Non-scientific*")&gt;0,IF(OR(IFERROR(MATCH("*PhD*",Personnel[Category],0),0)&gt;0,IFERROR(MATCH("*PostDoc*",Personnel[Category],0),0)&gt;0),"",$B$136),""),"")</f>
        <v/>
      </c>
      <c r="N266" s="218" t="str">
        <f>IFERROR(IF(COUNTIF(INDEX(Personnel[Category],A266),"*Non-scientific*")&gt;0,IF(Total_NSP&gt;pers_max_NSP,$B$137,""),""),"")</f>
        <v/>
      </c>
      <c r="O266" s="218" t="str">
        <f>IFERROR(IF(COUNTIF(INDEX(Personnel[Category],A266),"*Non-scientific*")&gt;0,IF(INDEX(Personnel[Months],A266)*INDEX(Personnel[FTE],A266)&lt;pers_NSP_min_months,$B$138,""),""),"")</f>
        <v/>
      </c>
      <c r="P266" s="218" t="str">
        <f>IFERROR(IF(COUNTIF(INDEX(Personnel[Category],A266),"*Non-scientific*")&gt;0,IF(INDEX(Personnel[Months],A266)*INDEX(Personnel[FTE],A266)&gt;pers_NSP_max_months,$B$139,""),""),"")</f>
        <v/>
      </c>
      <c r="Q266" s="218" t="str">
        <f>IFERROR(IF(COUNTIF(INDEX(Personnel[Category],A266),"*Other scientific*")&gt;0,IF(OR(IFERROR(MATCH("*PhD*",Personnel[Category],0),0)&gt;0,IFERROR(MATCH("*PostDoc*",Personnel[Category],0),0)&gt;0),"",$B$140),""),"")</f>
        <v/>
      </c>
      <c r="R266" s="218" t="str">
        <f>IFERROR(IF(COUNTIF(INDEX(Personnel[Category],A266),"*Other scientific*")&gt;0,IF(Total_OSP&gt;pers_max_OSP,$B$141,""),""),"")</f>
        <v/>
      </c>
      <c r="S266" s="218" t="str">
        <f>IFERROR(IF(COUNTIF(INDEX(Personnel[Category],A266),"*Other scientific*")&gt;0,IF(INDEX(Personnel[Months],A266)*INDEX(Personnel[FTE],A266)&lt;pers_OSP_min_months,$B$142,""),""),"")</f>
        <v/>
      </c>
      <c r="T266" s="218" t="str">
        <f>IFERROR(IF(COUNTIF(INDEX(Personnel[Category],A266),"*Other scientific*")&gt;0,IF(INDEX(Personnel[Months],A266)*INDEX(Personnel[FTE],A266)&gt;pers_OSP_max_months,$B$143,""),""),"")</f>
        <v/>
      </c>
      <c r="U266" s="218" t="str">
        <f>IFERROR(IF(COUNTIF(INDEX(Personnel[Category],A266),"*leave*")&gt;0,IF(Total_Research_leave&gt;pers_leave_maxperc*Total_NWO_funding,$B$144,""),""),"")</f>
        <v/>
      </c>
      <c r="V266" s="218" t="str">
        <f>IFERROR(IF(COUNTIF(INDEX(Personnel[Category],A266),"*leave*")&gt;0,IF(Research_leave_FTE_months&gt;pers_leave_maxduration,$B$145,""),""),"")</f>
        <v/>
      </c>
      <c r="W266" s="218" t="str">
        <f>IFERROR(IF(AND(INDEX(Personnel[Costs],A266)=0,INDEX(salaries_academic[[category]:[1]],MATCH(INDEX(Personnel[Category],A266),salaries_academic[category],0),3)=0),$B$148,""),"")</f>
        <v/>
      </c>
      <c r="X266" s="218" t="e">
        <f>IF(AND(organisation_type="yes",INDEX(Personnel[Amount],A266,1)&lt;&gt;"",ISBLANK(INDEX(Personnel[Organisation type],A266,1))),$B$146,"")</f>
        <v>#REF!</v>
      </c>
      <c r="Y266" s="218" t="e">
        <f>IF(AND(organisation_name="yes",INDEX(Personnel[Amount],A266,1)&lt;&gt;"",ISBLANK(INDEX(Personnel[Name organisation],A266,1))),$B$147,"")</f>
        <v>#REF!</v>
      </c>
      <c r="Z266" s="218" t="str">
        <f>IFERROR(IF(AND(INDEX(Personnel[Costs],A266)&gt;0,INDEX(salaries_academic[[category]:[1]],MATCH(INDEX(Personnel[Category],A266),salaries_academic[category],0),3)&gt;0),$B$149,""),"")</f>
        <v/>
      </c>
      <c r="AA266" s="218"/>
    </row>
    <row r="267" spans="1:27" outlineLevel="1" x14ac:dyDescent="0.35">
      <c r="A267" s="195">
        <v>60</v>
      </c>
      <c r="B267" s="195" t="str">
        <f t="array" ref="B267">IFERROR(INDEX(personnel_ac_notes[[#This Row],[Exceeding nr months]:[Costs specified]],1,MATCH(TRUE,LEN(personnel_ac_notes[[#This Row],[Exceeding nr months]:[Costs specified]])&gt;0,0)),"")</f>
        <v/>
      </c>
      <c r="C267" s="195" t="str">
        <f>IFERROR(IF(INDEX(Personnel[Months],A267)&gt;Max_project_duration,$B$128,""),"")</f>
        <v/>
      </c>
      <c r="D267" s="195" t="str">
        <f>IFERROR(IF(AND(LEN(INDEX(Personnel[Category],A267))+LEN(INDEX(Personnel[FTE],A267))+LEN(INDEX(Personnel[Months],A267))&gt;0,LEN(INDEX(Personnel[Category],A267-1))+LEN(INDEX(Personnel[FTE],A267-1))+LEN(INDEX(Personnel[Months],A267-1))=0),$B$127,""),"")</f>
        <v/>
      </c>
      <c r="E267" s="195" t="str">
        <f>IF(AND(NOT(ISBLANK(INDEX(Personnel[Category],A267))),OR(ISBLANK(INDEX(Personnel[FTE],A267)),ISBLANK(INDEX(Personnel[Months],A267)))),VLOOKUP(INDEX(Personnel[Category],A267),salaries_academic[],2,FALSE),"")</f>
        <v/>
      </c>
      <c r="F267" s="195" t="str">
        <f>IFERROR(IF(COUNTIF(INDEX(Personnel[Category],A267),"*- PhD*")&gt;0,IF(INDEX(Personnel[Months],A267)*INDEX(Personnel[FTE],A267)&lt;pers_PhD_min_months,$B$129,""),""),"")</f>
        <v/>
      </c>
      <c r="G267" s="195" t="str">
        <f>IFERROR(IF(COUNTIF(INDEX(Personnel[Category],$A267),"*- PhD*")&gt;0,IF(INDEX(Personnel[Months],$A267)*INDEX(Personnel[FTE],$A267)&gt;pers_PhD_max_months,$B$130,""),""),"")</f>
        <v/>
      </c>
      <c r="H267" s="195" t="str">
        <f>IFERROR(IF(COUNTIF(INDEX(Personnel[Category],A267),"*year*")&gt;0,IF(INDEX(Personnel[Months],A267)*INDEX(Personnel[FTE],A267)&lt;pers_3yPhD_min_months,$B$131,""),""),"")</f>
        <v/>
      </c>
      <c r="I267" s="218" t="str">
        <f>IFERROR(IF(COUNTIF(INDEX(Personnel[Category],A267),"*PDEng*")&gt;0,IF(OR(IFERROR(MATCH("*PhD*",Personnel[Category],0),0)&gt;0,IFERROR(MATCH("*PostDoc*",Personnel[Category],0),0)&gt;0),"",$B$132),""),"")</f>
        <v/>
      </c>
      <c r="J267" s="218" t="str">
        <f>IFERROR(IF(COUNTIF(INDEX(Personnel[Category],A267),"*PDEng*")&gt;0,IF(INDEX(Personnel[Months],A267)*INDEX(Personnel[FTE],A267)&gt;pers_PDEng_max_months,$B$133,""),""),"")</f>
        <v/>
      </c>
      <c r="K267" s="218" t="str">
        <f>IFERROR(IF(COUNTIF(INDEX(Personnel[Category],A267),"*PostDoc*")&gt;0,IF(INDEX(Personnel[Months],A267)*INDEX(Personnel[FTE],A267)&lt;pers_PD_min_months,$B$134,""),""),"")</f>
        <v/>
      </c>
      <c r="L267" s="218" t="str">
        <f>IFERROR(IF(COUNTIF(INDEX(Personnel[Category],A267),"*PostDoc*")&gt;0,IF(INDEX(Personnel[Months],A267)*INDEX(Personnel[FTE],A267)&gt;pers_PD_max_months,$B$135,""),""),"")</f>
        <v/>
      </c>
      <c r="M267" s="218" t="str">
        <f>IFERROR(IF(COUNTIF(INDEX(Personnel[Category],A267),"*Non-scientific*")&gt;0,IF(OR(IFERROR(MATCH("*PhD*",Personnel[Category],0),0)&gt;0,IFERROR(MATCH("*PostDoc*",Personnel[Category],0),0)&gt;0),"",$B$136),""),"")</f>
        <v/>
      </c>
      <c r="N267" s="218" t="str">
        <f>IFERROR(IF(COUNTIF(INDEX(Personnel[Category],A267),"*Non-scientific*")&gt;0,IF(Total_NSP&gt;pers_max_NSP,$B$137,""),""),"")</f>
        <v/>
      </c>
      <c r="O267" s="218" t="str">
        <f>IFERROR(IF(COUNTIF(INDEX(Personnel[Category],A267),"*Non-scientific*")&gt;0,IF(INDEX(Personnel[Months],A267)*INDEX(Personnel[FTE],A267)&lt;pers_NSP_min_months,$B$138,""),""),"")</f>
        <v/>
      </c>
      <c r="P267" s="218" t="str">
        <f>IFERROR(IF(COUNTIF(INDEX(Personnel[Category],A267),"*Non-scientific*")&gt;0,IF(INDEX(Personnel[Months],A267)*INDEX(Personnel[FTE],A267)&gt;pers_NSP_max_months,$B$139,""),""),"")</f>
        <v/>
      </c>
      <c r="Q267" s="218" t="str">
        <f>IFERROR(IF(COUNTIF(INDEX(Personnel[Category],A267),"*Other scientific*")&gt;0,IF(OR(IFERROR(MATCH("*PhD*",Personnel[Category],0),0)&gt;0,IFERROR(MATCH("*PostDoc*",Personnel[Category],0),0)&gt;0),"",$B$140),""),"")</f>
        <v/>
      </c>
      <c r="R267" s="218" t="str">
        <f>IFERROR(IF(COUNTIF(INDEX(Personnel[Category],A267),"*Other scientific*")&gt;0,IF(Total_OSP&gt;pers_max_OSP,$B$141,""),""),"")</f>
        <v/>
      </c>
      <c r="S267" s="218" t="str">
        <f>IFERROR(IF(COUNTIF(INDEX(Personnel[Category],A267),"*Other scientific*")&gt;0,IF(INDEX(Personnel[Months],A267)*INDEX(Personnel[FTE],A267)&lt;pers_OSP_min_months,$B$142,""),""),"")</f>
        <v/>
      </c>
      <c r="T267" s="218" t="str">
        <f>IFERROR(IF(COUNTIF(INDEX(Personnel[Category],A267),"*Other scientific*")&gt;0,IF(INDEX(Personnel[Months],A267)*INDEX(Personnel[FTE],A267)&gt;pers_OSP_max_months,$B$143,""),""),"")</f>
        <v/>
      </c>
      <c r="U267" s="218" t="str">
        <f>IFERROR(IF(COUNTIF(INDEX(Personnel[Category],A267),"*leave*")&gt;0,IF(Total_Research_leave&gt;pers_leave_maxperc*Total_NWO_funding,$B$144,""),""),"")</f>
        <v/>
      </c>
      <c r="V267" s="218" t="str">
        <f>IFERROR(IF(COUNTIF(INDEX(Personnel[Category],A267),"*leave*")&gt;0,IF(Research_leave_FTE_months&gt;pers_leave_maxduration,$B$145,""),""),"")</f>
        <v/>
      </c>
      <c r="W267" s="218" t="str">
        <f>IFERROR(IF(AND(INDEX(Personnel[Costs],A267)=0,INDEX(salaries_academic[[category]:[1]],MATCH(INDEX(Personnel[Category],A267),salaries_academic[category],0),3)=0),$B$148,""),"")</f>
        <v/>
      </c>
      <c r="X267" s="218" t="e">
        <f>IF(AND(organisation_type="yes",INDEX(Personnel[Amount],A267,1)&lt;&gt;"",ISBLANK(INDEX(Personnel[Organisation type],A267,1))),$B$146,"")</f>
        <v>#REF!</v>
      </c>
      <c r="Y267" s="218" t="e">
        <f>IF(AND(organisation_name="yes",INDEX(Personnel[Amount],A267,1)&lt;&gt;"",ISBLANK(INDEX(Personnel[Name organisation],A267,1))),$B$147,"")</f>
        <v>#REF!</v>
      </c>
      <c r="Z267" s="218" t="str">
        <f>IFERROR(IF(AND(INDEX(Personnel[Costs],A267)&gt;0,INDEX(salaries_academic[[category]:[1]],MATCH(INDEX(Personnel[Category],A267),salaries_academic[category],0),3)&gt;0),$B$149,""),"")</f>
        <v/>
      </c>
      <c r="AA267" s="218"/>
    </row>
    <row r="268" spans="1:27" outlineLevel="1" x14ac:dyDescent="0.35">
      <c r="A268" s="195">
        <v>61</v>
      </c>
      <c r="B268" s="195" t="str">
        <f t="array" ref="B268">IFERROR(INDEX(personnel_ac_notes[[#This Row],[Exceeding nr months]:[Costs specified]],1,MATCH(TRUE,LEN(personnel_ac_notes[[#This Row],[Exceeding nr months]:[Costs specified]])&gt;0,0)),"")</f>
        <v/>
      </c>
      <c r="C268" s="195" t="str">
        <f>IFERROR(IF(INDEX(Personnel[Months],A268)&gt;Max_project_duration,$B$128,""),"")</f>
        <v/>
      </c>
      <c r="D268" s="195" t="str">
        <f>IFERROR(IF(AND(LEN(INDEX(Personnel[Category],A268))+LEN(INDEX(Personnel[FTE],A268))+LEN(INDEX(Personnel[Months],A268))&gt;0,LEN(INDEX(Personnel[Category],A268-1))+LEN(INDEX(Personnel[FTE],A268-1))+LEN(INDEX(Personnel[Months],A268-1))=0),$B$127,""),"")</f>
        <v/>
      </c>
      <c r="E268" s="195" t="str">
        <f>IF(AND(NOT(ISBLANK(INDEX(Personnel[Category],A268))),OR(ISBLANK(INDEX(Personnel[FTE],A268)),ISBLANK(INDEX(Personnel[Months],A268)))),VLOOKUP(INDEX(Personnel[Category],A268),salaries_academic[],2,FALSE),"")</f>
        <v/>
      </c>
      <c r="F268" s="195" t="str">
        <f>IFERROR(IF(COUNTIF(INDEX(Personnel[Category],A268),"*- PhD*")&gt;0,IF(INDEX(Personnel[Months],A268)*INDEX(Personnel[FTE],A268)&lt;pers_PhD_min_months,$B$129,""),""),"")</f>
        <v/>
      </c>
      <c r="G268" s="195" t="str">
        <f>IFERROR(IF(COUNTIF(INDEX(Personnel[Category],$A268),"*- PhD*")&gt;0,IF(INDEX(Personnel[Months],$A268)*INDEX(Personnel[FTE],$A268)&gt;pers_PhD_max_months,$B$130,""),""),"")</f>
        <v/>
      </c>
      <c r="H268" s="195" t="str">
        <f>IFERROR(IF(COUNTIF(INDEX(Personnel[Category],A268),"*year*")&gt;0,IF(INDEX(Personnel[Months],A268)*INDEX(Personnel[FTE],A268)&lt;pers_3yPhD_min_months,$B$131,""),""),"")</f>
        <v/>
      </c>
      <c r="I268" s="218" t="str">
        <f>IFERROR(IF(COUNTIF(INDEX(Personnel[Category],A268),"*PDEng*")&gt;0,IF(OR(IFERROR(MATCH("*PhD*",Personnel[Category],0),0)&gt;0,IFERROR(MATCH("*PostDoc*",Personnel[Category],0),0)&gt;0),"",$B$132),""),"")</f>
        <v/>
      </c>
      <c r="J268" s="218" t="str">
        <f>IFERROR(IF(COUNTIF(INDEX(Personnel[Category],A268),"*PDEng*")&gt;0,IF(INDEX(Personnel[Months],A268)*INDEX(Personnel[FTE],A268)&gt;pers_PDEng_max_months,$B$133,""),""),"")</f>
        <v/>
      </c>
      <c r="K268" s="218" t="str">
        <f>IFERROR(IF(COUNTIF(INDEX(Personnel[Category],A268),"*PostDoc*")&gt;0,IF(INDEX(Personnel[Months],A268)*INDEX(Personnel[FTE],A268)&lt;pers_PD_min_months,$B$134,""),""),"")</f>
        <v/>
      </c>
      <c r="L268" s="218" t="str">
        <f>IFERROR(IF(COUNTIF(INDEX(Personnel[Category],A268),"*PostDoc*")&gt;0,IF(INDEX(Personnel[Months],A268)*INDEX(Personnel[FTE],A268)&gt;pers_PD_max_months,$B$135,""),""),"")</f>
        <v/>
      </c>
      <c r="M268" s="218" t="str">
        <f>IFERROR(IF(COUNTIF(INDEX(Personnel[Category],A268),"*Non-scientific*")&gt;0,IF(OR(IFERROR(MATCH("*PhD*",Personnel[Category],0),0)&gt;0,IFERROR(MATCH("*PostDoc*",Personnel[Category],0),0)&gt;0),"",$B$136),""),"")</f>
        <v/>
      </c>
      <c r="N268" s="218" t="str">
        <f>IFERROR(IF(COUNTIF(INDEX(Personnel[Category],A268),"*Non-scientific*")&gt;0,IF(Total_NSP&gt;pers_max_NSP,$B$137,""),""),"")</f>
        <v/>
      </c>
      <c r="O268" s="218" t="str">
        <f>IFERROR(IF(COUNTIF(INDEX(Personnel[Category],A268),"*Non-scientific*")&gt;0,IF(INDEX(Personnel[Months],A268)*INDEX(Personnel[FTE],A268)&lt;pers_NSP_min_months,$B$138,""),""),"")</f>
        <v/>
      </c>
      <c r="P268" s="218" t="str">
        <f>IFERROR(IF(COUNTIF(INDEX(Personnel[Category],A268),"*Non-scientific*")&gt;0,IF(INDEX(Personnel[Months],A268)*INDEX(Personnel[FTE],A268)&gt;pers_NSP_max_months,$B$139,""),""),"")</f>
        <v/>
      </c>
      <c r="Q268" s="218" t="str">
        <f>IFERROR(IF(COUNTIF(INDEX(Personnel[Category],A268),"*Other scientific*")&gt;0,IF(OR(IFERROR(MATCH("*PhD*",Personnel[Category],0),0)&gt;0,IFERROR(MATCH("*PostDoc*",Personnel[Category],0),0)&gt;0),"",$B$140),""),"")</f>
        <v/>
      </c>
      <c r="R268" s="218" t="str">
        <f>IFERROR(IF(COUNTIF(INDEX(Personnel[Category],A268),"*Other scientific*")&gt;0,IF(Total_OSP&gt;pers_max_OSP,$B$141,""),""),"")</f>
        <v/>
      </c>
      <c r="S268" s="218" t="str">
        <f>IFERROR(IF(COUNTIF(INDEX(Personnel[Category],A268),"*Other scientific*")&gt;0,IF(INDEX(Personnel[Months],A268)*INDEX(Personnel[FTE],A268)&lt;pers_OSP_min_months,$B$142,""),""),"")</f>
        <v/>
      </c>
      <c r="T268" s="218" t="str">
        <f>IFERROR(IF(COUNTIF(INDEX(Personnel[Category],A268),"*Other scientific*")&gt;0,IF(INDEX(Personnel[Months],A268)*INDEX(Personnel[FTE],A268)&gt;pers_OSP_max_months,$B$143,""),""),"")</f>
        <v/>
      </c>
      <c r="U268" s="218" t="str">
        <f>IFERROR(IF(COUNTIF(INDEX(Personnel[Category],A268),"*leave*")&gt;0,IF(Total_Research_leave&gt;pers_leave_maxperc*Total_NWO_funding,$B$144,""),""),"")</f>
        <v/>
      </c>
      <c r="V268" s="218" t="str">
        <f>IFERROR(IF(COUNTIF(INDEX(Personnel[Category],A268),"*leave*")&gt;0,IF(Research_leave_FTE_months&gt;pers_leave_maxduration,$B$145,""),""),"")</f>
        <v/>
      </c>
      <c r="W268" s="218" t="str">
        <f>IFERROR(IF(AND(INDEX(Personnel[Costs],A268)=0,INDEX(salaries_academic[[category]:[1]],MATCH(INDEX(Personnel[Category],A268),salaries_academic[category],0),3)=0),$B$148,""),"")</f>
        <v/>
      </c>
      <c r="X268" s="218" t="e">
        <f>IF(AND(organisation_type="yes",INDEX(Personnel[Amount],A268,1)&lt;&gt;"",ISBLANK(INDEX(Personnel[Organisation type],A268,1))),$B$146,"")</f>
        <v>#REF!</v>
      </c>
      <c r="Y268" s="218" t="e">
        <f>IF(AND(organisation_name="yes",INDEX(Personnel[Amount],A268,1)&lt;&gt;"",ISBLANK(INDEX(Personnel[Name organisation],A268,1))),$B$147,"")</f>
        <v>#REF!</v>
      </c>
      <c r="Z268" s="218" t="str">
        <f>IFERROR(IF(AND(INDEX(Personnel[Costs],A268)&gt;0,INDEX(salaries_academic[[category]:[1]],MATCH(INDEX(Personnel[Category],A268),salaries_academic[category],0),3)&gt;0),$B$149,""),"")</f>
        <v/>
      </c>
      <c r="AA268" s="218"/>
    </row>
    <row r="269" spans="1:27" outlineLevel="1" x14ac:dyDescent="0.35">
      <c r="A269" s="195">
        <v>62</v>
      </c>
      <c r="B269" s="195" t="str">
        <f t="array" ref="B269">IFERROR(INDEX(personnel_ac_notes[[#This Row],[Exceeding nr months]:[Costs specified]],1,MATCH(TRUE,LEN(personnel_ac_notes[[#This Row],[Exceeding nr months]:[Costs specified]])&gt;0,0)),"")</f>
        <v/>
      </c>
      <c r="C269" s="195" t="str">
        <f>IFERROR(IF(INDEX(Personnel[Months],A269)&gt;Max_project_duration,$B$128,""),"")</f>
        <v/>
      </c>
      <c r="D269" s="195" t="str">
        <f>IFERROR(IF(AND(LEN(INDEX(Personnel[Category],A269))+LEN(INDEX(Personnel[FTE],A269))+LEN(INDEX(Personnel[Months],A269))&gt;0,LEN(INDEX(Personnel[Category],A269-1))+LEN(INDEX(Personnel[FTE],A269-1))+LEN(INDEX(Personnel[Months],A269-1))=0),$B$127,""),"")</f>
        <v/>
      </c>
      <c r="E269" s="195" t="str">
        <f>IF(AND(NOT(ISBLANK(INDEX(Personnel[Category],A269))),OR(ISBLANK(INDEX(Personnel[FTE],A269)),ISBLANK(INDEX(Personnel[Months],A269)))),VLOOKUP(INDEX(Personnel[Category],A269),salaries_academic[],2,FALSE),"")</f>
        <v/>
      </c>
      <c r="F269" s="195" t="str">
        <f>IFERROR(IF(COUNTIF(INDEX(Personnel[Category],A269),"*- PhD*")&gt;0,IF(INDEX(Personnel[Months],A269)*INDEX(Personnel[FTE],A269)&lt;pers_PhD_min_months,$B$129,""),""),"")</f>
        <v/>
      </c>
      <c r="G269" s="195" t="str">
        <f>IFERROR(IF(COUNTIF(INDEX(Personnel[Category],$A269),"*- PhD*")&gt;0,IF(INDEX(Personnel[Months],$A269)*INDEX(Personnel[FTE],$A269)&gt;pers_PhD_max_months,$B$130,""),""),"")</f>
        <v/>
      </c>
      <c r="H269" s="195" t="str">
        <f>IFERROR(IF(COUNTIF(INDEX(Personnel[Category],A269),"*year*")&gt;0,IF(INDEX(Personnel[Months],A269)*INDEX(Personnel[FTE],A269)&lt;pers_3yPhD_min_months,$B$131,""),""),"")</f>
        <v/>
      </c>
      <c r="I269" s="218" t="str">
        <f>IFERROR(IF(COUNTIF(INDEX(Personnel[Category],A269),"*PDEng*")&gt;0,IF(OR(IFERROR(MATCH("*PhD*",Personnel[Category],0),0)&gt;0,IFERROR(MATCH("*PostDoc*",Personnel[Category],0),0)&gt;0),"",$B$132),""),"")</f>
        <v/>
      </c>
      <c r="J269" s="218" t="str">
        <f>IFERROR(IF(COUNTIF(INDEX(Personnel[Category],A269),"*PDEng*")&gt;0,IF(INDEX(Personnel[Months],A269)*INDEX(Personnel[FTE],A269)&gt;pers_PDEng_max_months,$B$133,""),""),"")</f>
        <v/>
      </c>
      <c r="K269" s="218" t="str">
        <f>IFERROR(IF(COUNTIF(INDEX(Personnel[Category],A269),"*PostDoc*")&gt;0,IF(INDEX(Personnel[Months],A269)*INDEX(Personnel[FTE],A269)&lt;pers_PD_min_months,$B$134,""),""),"")</f>
        <v/>
      </c>
      <c r="L269" s="218" t="str">
        <f>IFERROR(IF(COUNTIF(INDEX(Personnel[Category],A269),"*PostDoc*")&gt;0,IF(INDEX(Personnel[Months],A269)*INDEX(Personnel[FTE],A269)&gt;pers_PD_max_months,$B$135,""),""),"")</f>
        <v/>
      </c>
      <c r="M269" s="218" t="str">
        <f>IFERROR(IF(COUNTIF(INDEX(Personnel[Category],A269),"*Non-scientific*")&gt;0,IF(OR(IFERROR(MATCH("*PhD*",Personnel[Category],0),0)&gt;0,IFERROR(MATCH("*PostDoc*",Personnel[Category],0),0)&gt;0),"",$B$136),""),"")</f>
        <v/>
      </c>
      <c r="N269" s="218" t="str">
        <f>IFERROR(IF(COUNTIF(INDEX(Personnel[Category],A269),"*Non-scientific*")&gt;0,IF(Total_NSP&gt;pers_max_NSP,$B$137,""),""),"")</f>
        <v/>
      </c>
      <c r="O269" s="218" t="str">
        <f>IFERROR(IF(COUNTIF(INDEX(Personnel[Category],A269),"*Non-scientific*")&gt;0,IF(INDEX(Personnel[Months],A269)*INDEX(Personnel[FTE],A269)&lt;pers_NSP_min_months,$B$138,""),""),"")</f>
        <v/>
      </c>
      <c r="P269" s="218" t="str">
        <f>IFERROR(IF(COUNTIF(INDEX(Personnel[Category],A269),"*Non-scientific*")&gt;0,IF(INDEX(Personnel[Months],A269)*INDEX(Personnel[FTE],A269)&gt;pers_NSP_max_months,$B$139,""),""),"")</f>
        <v/>
      </c>
      <c r="Q269" s="218" t="str">
        <f>IFERROR(IF(COUNTIF(INDEX(Personnel[Category],A269),"*Other scientific*")&gt;0,IF(OR(IFERROR(MATCH("*PhD*",Personnel[Category],0),0)&gt;0,IFERROR(MATCH("*PostDoc*",Personnel[Category],0),0)&gt;0),"",$B$140),""),"")</f>
        <v/>
      </c>
      <c r="R269" s="218" t="str">
        <f>IFERROR(IF(COUNTIF(INDEX(Personnel[Category],A269),"*Other scientific*")&gt;0,IF(Total_OSP&gt;pers_max_OSP,$B$141,""),""),"")</f>
        <v/>
      </c>
      <c r="S269" s="218" t="str">
        <f>IFERROR(IF(COUNTIF(INDEX(Personnel[Category],A269),"*Other scientific*")&gt;0,IF(INDEX(Personnel[Months],A269)*INDEX(Personnel[FTE],A269)&lt;pers_OSP_min_months,$B$142,""),""),"")</f>
        <v/>
      </c>
      <c r="T269" s="218" t="str">
        <f>IFERROR(IF(COUNTIF(INDEX(Personnel[Category],A269),"*Other scientific*")&gt;0,IF(INDEX(Personnel[Months],A269)*INDEX(Personnel[FTE],A269)&gt;pers_OSP_max_months,$B$143,""),""),"")</f>
        <v/>
      </c>
      <c r="U269" s="218" t="str">
        <f>IFERROR(IF(COUNTIF(INDEX(Personnel[Category],A269),"*leave*")&gt;0,IF(Total_Research_leave&gt;pers_leave_maxperc*Total_NWO_funding,$B$144,""),""),"")</f>
        <v/>
      </c>
      <c r="V269" s="218" t="str">
        <f>IFERROR(IF(COUNTIF(INDEX(Personnel[Category],A269),"*leave*")&gt;0,IF(Research_leave_FTE_months&gt;pers_leave_maxduration,$B$145,""),""),"")</f>
        <v/>
      </c>
      <c r="W269" s="218" t="str">
        <f>IFERROR(IF(AND(INDEX(Personnel[Costs],A269)=0,INDEX(salaries_academic[[category]:[1]],MATCH(INDEX(Personnel[Category],A269),salaries_academic[category],0),3)=0),$B$148,""),"")</f>
        <v/>
      </c>
      <c r="X269" s="218" t="e">
        <f>IF(AND(organisation_type="yes",INDEX(Personnel[Amount],A269,1)&lt;&gt;"",ISBLANK(INDEX(Personnel[Organisation type],A269,1))),$B$146,"")</f>
        <v>#REF!</v>
      </c>
      <c r="Y269" s="218" t="e">
        <f>IF(AND(organisation_name="yes",INDEX(Personnel[Amount],A269,1)&lt;&gt;"",ISBLANK(INDEX(Personnel[Name organisation],A269,1))),$B$147,"")</f>
        <v>#REF!</v>
      </c>
      <c r="Z269" s="218" t="str">
        <f>IFERROR(IF(AND(INDEX(Personnel[Costs],A269)&gt;0,INDEX(salaries_academic[[category]:[1]],MATCH(INDEX(Personnel[Category],A269),salaries_academic[category],0),3)&gt;0),$B$149,""),"")</f>
        <v/>
      </c>
      <c r="AA269" s="218"/>
    </row>
    <row r="270" spans="1:27" outlineLevel="1" x14ac:dyDescent="0.35">
      <c r="A270" s="195">
        <v>63</v>
      </c>
      <c r="B270" s="195" t="str">
        <f t="array" ref="B270">IFERROR(INDEX(personnel_ac_notes[[#This Row],[Exceeding nr months]:[Costs specified]],1,MATCH(TRUE,LEN(personnel_ac_notes[[#This Row],[Exceeding nr months]:[Costs specified]])&gt;0,0)),"")</f>
        <v/>
      </c>
      <c r="C270" s="195" t="str">
        <f>IFERROR(IF(INDEX(Personnel[Months],A270)&gt;Max_project_duration,$B$128,""),"")</f>
        <v/>
      </c>
      <c r="D270" s="195" t="str">
        <f>IFERROR(IF(AND(LEN(INDEX(Personnel[Category],A270))+LEN(INDEX(Personnel[FTE],A270))+LEN(INDEX(Personnel[Months],A270))&gt;0,LEN(INDEX(Personnel[Category],A270-1))+LEN(INDEX(Personnel[FTE],A270-1))+LEN(INDEX(Personnel[Months],A270-1))=0),$B$127,""),"")</f>
        <v/>
      </c>
      <c r="E270" s="195" t="str">
        <f>IF(AND(NOT(ISBLANK(INDEX(Personnel[Category],A270))),OR(ISBLANK(INDEX(Personnel[FTE],A270)),ISBLANK(INDEX(Personnel[Months],A270)))),VLOOKUP(INDEX(Personnel[Category],A270),salaries_academic[],2,FALSE),"")</f>
        <v/>
      </c>
      <c r="F270" s="195" t="str">
        <f>IFERROR(IF(COUNTIF(INDEX(Personnel[Category],A270),"*- PhD*")&gt;0,IF(INDEX(Personnel[Months],A270)*INDEX(Personnel[FTE],A270)&lt;pers_PhD_min_months,$B$129,""),""),"")</f>
        <v/>
      </c>
      <c r="G270" s="195" t="str">
        <f>IFERROR(IF(COUNTIF(INDEX(Personnel[Category],$A270),"*- PhD*")&gt;0,IF(INDEX(Personnel[Months],$A270)*INDEX(Personnel[FTE],$A270)&gt;pers_PhD_max_months,$B$130,""),""),"")</f>
        <v/>
      </c>
      <c r="H270" s="195" t="str">
        <f>IFERROR(IF(COUNTIF(INDEX(Personnel[Category],A270),"*year*")&gt;0,IF(INDEX(Personnel[Months],A270)*INDEX(Personnel[FTE],A270)&lt;pers_3yPhD_min_months,$B$131,""),""),"")</f>
        <v/>
      </c>
      <c r="I270" s="218" t="str">
        <f>IFERROR(IF(COUNTIF(INDEX(Personnel[Category],A270),"*PDEng*")&gt;0,IF(OR(IFERROR(MATCH("*PhD*",Personnel[Category],0),0)&gt;0,IFERROR(MATCH("*PostDoc*",Personnel[Category],0),0)&gt;0),"",$B$132),""),"")</f>
        <v/>
      </c>
      <c r="J270" s="218" t="str">
        <f>IFERROR(IF(COUNTIF(INDEX(Personnel[Category],A270),"*PDEng*")&gt;0,IF(INDEX(Personnel[Months],A270)*INDEX(Personnel[FTE],A270)&gt;pers_PDEng_max_months,$B$133,""),""),"")</f>
        <v/>
      </c>
      <c r="K270" s="218" t="str">
        <f>IFERROR(IF(COUNTIF(INDEX(Personnel[Category],A270),"*PostDoc*")&gt;0,IF(INDEX(Personnel[Months],A270)*INDEX(Personnel[FTE],A270)&lt;pers_PD_min_months,$B$134,""),""),"")</f>
        <v/>
      </c>
      <c r="L270" s="218" t="str">
        <f>IFERROR(IF(COUNTIF(INDEX(Personnel[Category],A270),"*PostDoc*")&gt;0,IF(INDEX(Personnel[Months],A270)*INDEX(Personnel[FTE],A270)&gt;pers_PD_max_months,$B$135,""),""),"")</f>
        <v/>
      </c>
      <c r="M270" s="218" t="str">
        <f>IFERROR(IF(COUNTIF(INDEX(Personnel[Category],A270),"*Non-scientific*")&gt;0,IF(OR(IFERROR(MATCH("*PhD*",Personnel[Category],0),0)&gt;0,IFERROR(MATCH("*PostDoc*",Personnel[Category],0),0)&gt;0),"",$B$136),""),"")</f>
        <v/>
      </c>
      <c r="N270" s="218" t="str">
        <f>IFERROR(IF(COUNTIF(INDEX(Personnel[Category],A270),"*Non-scientific*")&gt;0,IF(Total_NSP&gt;pers_max_NSP,$B$137,""),""),"")</f>
        <v/>
      </c>
      <c r="O270" s="218" t="str">
        <f>IFERROR(IF(COUNTIF(INDEX(Personnel[Category],A270),"*Non-scientific*")&gt;0,IF(INDEX(Personnel[Months],A270)*INDEX(Personnel[FTE],A270)&lt;pers_NSP_min_months,$B$138,""),""),"")</f>
        <v/>
      </c>
      <c r="P270" s="218" t="str">
        <f>IFERROR(IF(COUNTIF(INDEX(Personnel[Category],A270),"*Non-scientific*")&gt;0,IF(INDEX(Personnel[Months],A270)*INDEX(Personnel[FTE],A270)&gt;pers_NSP_max_months,$B$139,""),""),"")</f>
        <v/>
      </c>
      <c r="Q270" s="218" t="str">
        <f>IFERROR(IF(COUNTIF(INDEX(Personnel[Category],A270),"*Other scientific*")&gt;0,IF(OR(IFERROR(MATCH("*PhD*",Personnel[Category],0),0)&gt;0,IFERROR(MATCH("*PostDoc*",Personnel[Category],0),0)&gt;0),"",$B$140),""),"")</f>
        <v/>
      </c>
      <c r="R270" s="218" t="str">
        <f>IFERROR(IF(COUNTIF(INDEX(Personnel[Category],A270),"*Other scientific*")&gt;0,IF(Total_OSP&gt;pers_max_OSP,$B$141,""),""),"")</f>
        <v/>
      </c>
      <c r="S270" s="218" t="str">
        <f>IFERROR(IF(COUNTIF(INDEX(Personnel[Category],A270),"*Other scientific*")&gt;0,IF(INDEX(Personnel[Months],A270)*INDEX(Personnel[FTE],A270)&lt;pers_OSP_min_months,$B$142,""),""),"")</f>
        <v/>
      </c>
      <c r="T270" s="218" t="str">
        <f>IFERROR(IF(COUNTIF(INDEX(Personnel[Category],A270),"*Other scientific*")&gt;0,IF(INDEX(Personnel[Months],A270)*INDEX(Personnel[FTE],A270)&gt;pers_OSP_max_months,$B$143,""),""),"")</f>
        <v/>
      </c>
      <c r="U270" s="218" t="str">
        <f>IFERROR(IF(COUNTIF(INDEX(Personnel[Category],A270),"*leave*")&gt;0,IF(Total_Research_leave&gt;pers_leave_maxperc*Total_NWO_funding,$B$144,""),""),"")</f>
        <v/>
      </c>
      <c r="V270" s="218" t="str">
        <f>IFERROR(IF(COUNTIF(INDEX(Personnel[Category],A270),"*leave*")&gt;0,IF(Research_leave_FTE_months&gt;pers_leave_maxduration,$B$145,""),""),"")</f>
        <v/>
      </c>
      <c r="W270" s="218" t="str">
        <f>IFERROR(IF(AND(INDEX(Personnel[Costs],A270)=0,INDEX(salaries_academic[[category]:[1]],MATCH(INDEX(Personnel[Category],A270),salaries_academic[category],0),3)=0),$B$148,""),"")</f>
        <v/>
      </c>
      <c r="X270" s="218" t="e">
        <f>IF(AND(organisation_type="yes",INDEX(Personnel[Amount],A270,1)&lt;&gt;"",ISBLANK(INDEX(Personnel[Organisation type],A270,1))),$B$146,"")</f>
        <v>#REF!</v>
      </c>
      <c r="Y270" s="218" t="e">
        <f>IF(AND(organisation_name="yes",INDEX(Personnel[Amount],A270,1)&lt;&gt;"",ISBLANK(INDEX(Personnel[Name organisation],A270,1))),$B$147,"")</f>
        <v>#REF!</v>
      </c>
      <c r="Z270" s="218" t="str">
        <f>IFERROR(IF(AND(INDEX(Personnel[Costs],A270)&gt;0,INDEX(salaries_academic[[category]:[1]],MATCH(INDEX(Personnel[Category],A270),salaries_academic[category],0),3)&gt;0),$B$149,""),"")</f>
        <v/>
      </c>
      <c r="AA270" s="218"/>
    </row>
    <row r="271" spans="1:27" outlineLevel="1" x14ac:dyDescent="0.35">
      <c r="A271" s="195">
        <v>64</v>
      </c>
      <c r="B271" s="195" t="str">
        <f t="array" ref="B271">IFERROR(INDEX(personnel_ac_notes[[#This Row],[Exceeding nr months]:[Costs specified]],1,MATCH(TRUE,LEN(personnel_ac_notes[[#This Row],[Exceeding nr months]:[Costs specified]])&gt;0,0)),"")</f>
        <v/>
      </c>
      <c r="C271" s="195" t="str">
        <f>IFERROR(IF(INDEX(Personnel[Months],A271)&gt;Max_project_duration,$B$128,""),"")</f>
        <v/>
      </c>
      <c r="D271" s="195" t="str">
        <f>IFERROR(IF(AND(LEN(INDEX(Personnel[Category],A271))+LEN(INDEX(Personnel[FTE],A271))+LEN(INDEX(Personnel[Months],A271))&gt;0,LEN(INDEX(Personnel[Category],A271-1))+LEN(INDEX(Personnel[FTE],A271-1))+LEN(INDEX(Personnel[Months],A271-1))=0),$B$127,""),"")</f>
        <v/>
      </c>
      <c r="E271" s="195" t="str">
        <f>IF(AND(NOT(ISBLANK(INDEX(Personnel[Category],A271))),OR(ISBLANK(INDEX(Personnel[FTE],A271)),ISBLANK(INDEX(Personnel[Months],A271)))),VLOOKUP(INDEX(Personnel[Category],A271),salaries_academic[],2,FALSE),"")</f>
        <v/>
      </c>
      <c r="F271" s="195" t="str">
        <f>IFERROR(IF(COUNTIF(INDEX(Personnel[Category],A271),"*- PhD*")&gt;0,IF(INDEX(Personnel[Months],A271)*INDEX(Personnel[FTE],A271)&lt;pers_PhD_min_months,$B$129,""),""),"")</f>
        <v/>
      </c>
      <c r="G271" s="195" t="str">
        <f>IFERROR(IF(COUNTIF(INDEX(Personnel[Category],$A271),"*- PhD*")&gt;0,IF(INDEX(Personnel[Months],$A271)*INDEX(Personnel[FTE],$A271)&gt;pers_PhD_max_months,$B$130,""),""),"")</f>
        <v/>
      </c>
      <c r="H271" s="195" t="str">
        <f>IFERROR(IF(COUNTIF(INDEX(Personnel[Category],A271),"*year*")&gt;0,IF(INDEX(Personnel[Months],A271)*INDEX(Personnel[FTE],A271)&lt;pers_3yPhD_min_months,$B$131,""),""),"")</f>
        <v/>
      </c>
      <c r="I271" s="218" t="str">
        <f>IFERROR(IF(COUNTIF(INDEX(Personnel[Category],A271),"*PDEng*")&gt;0,IF(OR(IFERROR(MATCH("*PhD*",Personnel[Category],0),0)&gt;0,IFERROR(MATCH("*PostDoc*",Personnel[Category],0),0)&gt;0),"",$B$132),""),"")</f>
        <v/>
      </c>
      <c r="J271" s="218" t="str">
        <f>IFERROR(IF(COUNTIF(INDEX(Personnel[Category],A271),"*PDEng*")&gt;0,IF(INDEX(Personnel[Months],A271)*INDEX(Personnel[FTE],A271)&gt;pers_PDEng_max_months,$B$133,""),""),"")</f>
        <v/>
      </c>
      <c r="K271" s="218" t="str">
        <f>IFERROR(IF(COUNTIF(INDEX(Personnel[Category],A271),"*PostDoc*")&gt;0,IF(INDEX(Personnel[Months],A271)*INDEX(Personnel[FTE],A271)&lt;pers_PD_min_months,$B$134,""),""),"")</f>
        <v/>
      </c>
      <c r="L271" s="218" t="str">
        <f>IFERROR(IF(COUNTIF(INDEX(Personnel[Category],A271),"*PostDoc*")&gt;0,IF(INDEX(Personnel[Months],A271)*INDEX(Personnel[FTE],A271)&gt;pers_PD_max_months,$B$135,""),""),"")</f>
        <v/>
      </c>
      <c r="M271" s="218" t="str">
        <f>IFERROR(IF(COUNTIF(INDEX(Personnel[Category],A271),"*Non-scientific*")&gt;0,IF(OR(IFERROR(MATCH("*PhD*",Personnel[Category],0),0)&gt;0,IFERROR(MATCH("*PostDoc*",Personnel[Category],0),0)&gt;0),"",$B$136),""),"")</f>
        <v/>
      </c>
      <c r="N271" s="218" t="str">
        <f>IFERROR(IF(COUNTIF(INDEX(Personnel[Category],A271),"*Non-scientific*")&gt;0,IF(Total_NSP&gt;pers_max_NSP,$B$137,""),""),"")</f>
        <v/>
      </c>
      <c r="O271" s="218" t="str">
        <f>IFERROR(IF(COUNTIF(INDEX(Personnel[Category],A271),"*Non-scientific*")&gt;0,IF(INDEX(Personnel[Months],A271)*INDEX(Personnel[FTE],A271)&lt;pers_NSP_min_months,$B$138,""),""),"")</f>
        <v/>
      </c>
      <c r="P271" s="218" t="str">
        <f>IFERROR(IF(COUNTIF(INDEX(Personnel[Category],A271),"*Non-scientific*")&gt;0,IF(INDEX(Personnel[Months],A271)*INDEX(Personnel[FTE],A271)&gt;pers_NSP_max_months,$B$139,""),""),"")</f>
        <v/>
      </c>
      <c r="Q271" s="218" t="str">
        <f>IFERROR(IF(COUNTIF(INDEX(Personnel[Category],A271),"*Other scientific*")&gt;0,IF(OR(IFERROR(MATCH("*PhD*",Personnel[Category],0),0)&gt;0,IFERROR(MATCH("*PostDoc*",Personnel[Category],0),0)&gt;0),"",$B$140),""),"")</f>
        <v/>
      </c>
      <c r="R271" s="218" t="str">
        <f>IFERROR(IF(COUNTIF(INDEX(Personnel[Category],A271),"*Other scientific*")&gt;0,IF(Total_OSP&gt;pers_max_OSP,$B$141,""),""),"")</f>
        <v/>
      </c>
      <c r="S271" s="218" t="str">
        <f>IFERROR(IF(COUNTIF(INDEX(Personnel[Category],A271),"*Other scientific*")&gt;0,IF(INDEX(Personnel[Months],A271)*INDEX(Personnel[FTE],A271)&lt;pers_OSP_min_months,$B$142,""),""),"")</f>
        <v/>
      </c>
      <c r="T271" s="218" t="str">
        <f>IFERROR(IF(COUNTIF(INDEX(Personnel[Category],A271),"*Other scientific*")&gt;0,IF(INDEX(Personnel[Months],A271)*INDEX(Personnel[FTE],A271)&gt;pers_OSP_max_months,$B$143,""),""),"")</f>
        <v/>
      </c>
      <c r="U271" s="218" t="str">
        <f>IFERROR(IF(COUNTIF(INDEX(Personnel[Category],A271),"*leave*")&gt;0,IF(Total_Research_leave&gt;pers_leave_maxperc*Total_NWO_funding,$B$144,""),""),"")</f>
        <v/>
      </c>
      <c r="V271" s="218" t="str">
        <f>IFERROR(IF(COUNTIF(INDEX(Personnel[Category],A271),"*leave*")&gt;0,IF(Research_leave_FTE_months&gt;pers_leave_maxduration,$B$145,""),""),"")</f>
        <v/>
      </c>
      <c r="W271" s="218" t="str">
        <f>IFERROR(IF(AND(INDEX(Personnel[Costs],A271)=0,INDEX(salaries_academic[[category]:[1]],MATCH(INDEX(Personnel[Category],A271),salaries_academic[category],0),3)=0),$B$148,""),"")</f>
        <v/>
      </c>
      <c r="X271" s="218" t="e">
        <f>IF(AND(organisation_type="yes",INDEX(Personnel[Amount],A271,1)&lt;&gt;"",ISBLANK(INDEX(Personnel[Organisation type],A271,1))),$B$146,"")</f>
        <v>#REF!</v>
      </c>
      <c r="Y271" s="218" t="e">
        <f>IF(AND(organisation_name="yes",INDEX(Personnel[Amount],A271,1)&lt;&gt;"",ISBLANK(INDEX(Personnel[Name organisation],A271,1))),$B$147,"")</f>
        <v>#REF!</v>
      </c>
      <c r="Z271" s="218" t="str">
        <f>IFERROR(IF(AND(INDEX(Personnel[Costs],A271)&gt;0,INDEX(salaries_academic[[category]:[1]],MATCH(INDEX(Personnel[Category],A271),salaries_academic[category],0),3)&gt;0),$B$149,""),"")</f>
        <v/>
      </c>
      <c r="AA271" s="218"/>
    </row>
    <row r="272" spans="1:27" outlineLevel="1" x14ac:dyDescent="0.35">
      <c r="A272" s="195">
        <v>65</v>
      </c>
      <c r="B272" s="195" t="str">
        <f t="array" ref="B272">IFERROR(INDEX(personnel_ac_notes[[#This Row],[Exceeding nr months]:[Costs specified]],1,MATCH(TRUE,LEN(personnel_ac_notes[[#This Row],[Exceeding nr months]:[Costs specified]])&gt;0,0)),"")</f>
        <v/>
      </c>
      <c r="C272" s="195" t="str">
        <f>IFERROR(IF(INDEX(Personnel[Months],A272)&gt;Max_project_duration,$B$128,""),"")</f>
        <v/>
      </c>
      <c r="D272" s="195" t="str">
        <f>IFERROR(IF(AND(LEN(INDEX(Personnel[Category],A272))+LEN(INDEX(Personnel[FTE],A272))+LEN(INDEX(Personnel[Months],A272))&gt;0,LEN(INDEX(Personnel[Category],A272-1))+LEN(INDEX(Personnel[FTE],A272-1))+LEN(INDEX(Personnel[Months],A272-1))=0),$B$127,""),"")</f>
        <v/>
      </c>
      <c r="E272" s="195" t="str">
        <f>IF(AND(NOT(ISBLANK(INDEX(Personnel[Category],A272))),OR(ISBLANK(INDEX(Personnel[FTE],A272)),ISBLANK(INDEX(Personnel[Months],A272)))),VLOOKUP(INDEX(Personnel[Category],A272),salaries_academic[],2,FALSE),"")</f>
        <v/>
      </c>
      <c r="F272" s="195" t="str">
        <f>IFERROR(IF(COUNTIF(INDEX(Personnel[Category],A272),"*- PhD*")&gt;0,IF(INDEX(Personnel[Months],A272)*INDEX(Personnel[FTE],A272)&lt;pers_PhD_min_months,$B$129,""),""),"")</f>
        <v/>
      </c>
      <c r="G272" s="195" t="str">
        <f>IFERROR(IF(COUNTIF(INDEX(Personnel[Category],$A272),"*- PhD*")&gt;0,IF(INDEX(Personnel[Months],$A272)*INDEX(Personnel[FTE],$A272)&gt;pers_PhD_max_months,$B$130,""),""),"")</f>
        <v/>
      </c>
      <c r="H272" s="195" t="str">
        <f>IFERROR(IF(COUNTIF(INDEX(Personnel[Category],A272),"*year*")&gt;0,IF(INDEX(Personnel[Months],A272)*INDEX(Personnel[FTE],A272)&lt;pers_3yPhD_min_months,$B$131,""),""),"")</f>
        <v/>
      </c>
      <c r="I272" s="218" t="str">
        <f>IFERROR(IF(COUNTIF(INDEX(Personnel[Category],A272),"*PDEng*")&gt;0,IF(OR(IFERROR(MATCH("*PhD*",Personnel[Category],0),0)&gt;0,IFERROR(MATCH("*PostDoc*",Personnel[Category],0),0)&gt;0),"",$B$132),""),"")</f>
        <v/>
      </c>
      <c r="J272" s="218" t="str">
        <f>IFERROR(IF(COUNTIF(INDEX(Personnel[Category],A272),"*PDEng*")&gt;0,IF(INDEX(Personnel[Months],A272)*INDEX(Personnel[FTE],A272)&gt;pers_PDEng_max_months,$B$133,""),""),"")</f>
        <v/>
      </c>
      <c r="K272" s="218" t="str">
        <f>IFERROR(IF(COUNTIF(INDEX(Personnel[Category],A272),"*PostDoc*")&gt;0,IF(INDEX(Personnel[Months],A272)*INDEX(Personnel[FTE],A272)&lt;pers_PD_min_months,$B$134,""),""),"")</f>
        <v/>
      </c>
      <c r="L272" s="218" t="str">
        <f>IFERROR(IF(COUNTIF(INDEX(Personnel[Category],A272),"*PostDoc*")&gt;0,IF(INDEX(Personnel[Months],A272)*INDEX(Personnel[FTE],A272)&gt;pers_PD_max_months,$B$135,""),""),"")</f>
        <v/>
      </c>
      <c r="M272" s="218" t="str">
        <f>IFERROR(IF(COUNTIF(INDEX(Personnel[Category],A272),"*Non-scientific*")&gt;0,IF(OR(IFERROR(MATCH("*PhD*",Personnel[Category],0),0)&gt;0,IFERROR(MATCH("*PostDoc*",Personnel[Category],0),0)&gt;0),"",$B$136),""),"")</f>
        <v/>
      </c>
      <c r="N272" s="218" t="str">
        <f>IFERROR(IF(COUNTIF(INDEX(Personnel[Category],A272),"*Non-scientific*")&gt;0,IF(Total_NSP&gt;pers_max_NSP,$B$137,""),""),"")</f>
        <v/>
      </c>
      <c r="O272" s="218" t="str">
        <f>IFERROR(IF(COUNTIF(INDEX(Personnel[Category],A272),"*Non-scientific*")&gt;0,IF(INDEX(Personnel[Months],A272)*INDEX(Personnel[FTE],A272)&lt;pers_NSP_min_months,$B$138,""),""),"")</f>
        <v/>
      </c>
      <c r="P272" s="218" t="str">
        <f>IFERROR(IF(COUNTIF(INDEX(Personnel[Category],A272),"*Non-scientific*")&gt;0,IF(INDEX(Personnel[Months],A272)*INDEX(Personnel[FTE],A272)&gt;pers_NSP_max_months,$B$139,""),""),"")</f>
        <v/>
      </c>
      <c r="Q272" s="218" t="str">
        <f>IFERROR(IF(COUNTIF(INDEX(Personnel[Category],A272),"*Other scientific*")&gt;0,IF(OR(IFERROR(MATCH("*PhD*",Personnel[Category],0),0)&gt;0,IFERROR(MATCH("*PostDoc*",Personnel[Category],0),0)&gt;0),"",$B$140),""),"")</f>
        <v/>
      </c>
      <c r="R272" s="218" t="str">
        <f>IFERROR(IF(COUNTIF(INDEX(Personnel[Category],A272),"*Other scientific*")&gt;0,IF(Total_OSP&gt;pers_max_OSP,$B$141,""),""),"")</f>
        <v/>
      </c>
      <c r="S272" s="218" t="str">
        <f>IFERROR(IF(COUNTIF(INDEX(Personnel[Category],A272),"*Other scientific*")&gt;0,IF(INDEX(Personnel[Months],A272)*INDEX(Personnel[FTE],A272)&lt;pers_OSP_min_months,$B$142,""),""),"")</f>
        <v/>
      </c>
      <c r="T272" s="218" t="str">
        <f>IFERROR(IF(COUNTIF(INDEX(Personnel[Category],A272),"*Other scientific*")&gt;0,IF(INDEX(Personnel[Months],A272)*INDEX(Personnel[FTE],A272)&gt;pers_OSP_max_months,$B$143,""),""),"")</f>
        <v/>
      </c>
      <c r="U272" s="218" t="str">
        <f>IFERROR(IF(COUNTIF(INDEX(Personnel[Category],A272),"*leave*")&gt;0,IF(Total_Research_leave&gt;pers_leave_maxperc*Total_NWO_funding,$B$144,""),""),"")</f>
        <v/>
      </c>
      <c r="V272" s="218" t="str">
        <f>IFERROR(IF(COUNTIF(INDEX(Personnel[Category],A272),"*leave*")&gt;0,IF(Research_leave_FTE_months&gt;pers_leave_maxduration,$B$145,""),""),"")</f>
        <v/>
      </c>
      <c r="W272" s="218" t="str">
        <f>IFERROR(IF(AND(INDEX(Personnel[Costs],A272)=0,INDEX(salaries_academic[[category]:[1]],MATCH(INDEX(Personnel[Category],A272),salaries_academic[category],0),3)=0),$B$148,""),"")</f>
        <v/>
      </c>
      <c r="X272" s="218" t="e">
        <f>IF(AND(organisation_type="yes",INDEX(Personnel[Amount],A272,1)&lt;&gt;"",ISBLANK(INDEX(Personnel[Organisation type],A272,1))),$B$146,"")</f>
        <v>#REF!</v>
      </c>
      <c r="Y272" s="218" t="e">
        <f>IF(AND(organisation_name="yes",INDEX(Personnel[Amount],A272,1)&lt;&gt;"",ISBLANK(INDEX(Personnel[Name organisation],A272,1))),$B$147,"")</f>
        <v>#REF!</v>
      </c>
      <c r="Z272" s="218" t="str">
        <f>IFERROR(IF(AND(INDEX(Personnel[Costs],A272)&gt;0,INDEX(salaries_academic[[category]:[1]],MATCH(INDEX(Personnel[Category],A272),salaries_academic[category],0),3)&gt;0),$B$149,""),"")</f>
        <v/>
      </c>
      <c r="AA272" s="218"/>
    </row>
    <row r="273" spans="1:27" outlineLevel="1" x14ac:dyDescent="0.35">
      <c r="A273" s="195">
        <v>66</v>
      </c>
      <c r="B273" s="195" t="str">
        <f t="array" ref="B273">IFERROR(INDEX(personnel_ac_notes[[#This Row],[Exceeding nr months]:[Costs specified]],1,MATCH(TRUE,LEN(personnel_ac_notes[[#This Row],[Exceeding nr months]:[Costs specified]])&gt;0,0)),"")</f>
        <v/>
      </c>
      <c r="C273" s="195" t="str">
        <f>IFERROR(IF(INDEX(Personnel[Months],A273)&gt;Max_project_duration,$B$128,""),"")</f>
        <v/>
      </c>
      <c r="D273" s="195" t="str">
        <f>IFERROR(IF(AND(LEN(INDEX(Personnel[Category],A273))+LEN(INDEX(Personnel[FTE],A273))+LEN(INDEX(Personnel[Months],A273))&gt;0,LEN(INDEX(Personnel[Category],A273-1))+LEN(INDEX(Personnel[FTE],A273-1))+LEN(INDEX(Personnel[Months],A273-1))=0),$B$127,""),"")</f>
        <v/>
      </c>
      <c r="E273" s="195" t="str">
        <f>IF(AND(NOT(ISBLANK(INDEX(Personnel[Category],A273))),OR(ISBLANK(INDEX(Personnel[FTE],A273)),ISBLANK(INDEX(Personnel[Months],A273)))),VLOOKUP(INDEX(Personnel[Category],A273),salaries_academic[],2,FALSE),"")</f>
        <v/>
      </c>
      <c r="F273" s="195" t="str">
        <f>IFERROR(IF(COUNTIF(INDEX(Personnel[Category],A273),"*- PhD*")&gt;0,IF(INDEX(Personnel[Months],A273)*INDEX(Personnel[FTE],A273)&lt;pers_PhD_min_months,$B$129,""),""),"")</f>
        <v/>
      </c>
      <c r="G273" s="195" t="str">
        <f>IFERROR(IF(COUNTIF(INDEX(Personnel[Category],$A273),"*- PhD*")&gt;0,IF(INDEX(Personnel[Months],$A273)*INDEX(Personnel[FTE],$A273)&gt;pers_PhD_max_months,$B$130,""),""),"")</f>
        <v/>
      </c>
      <c r="H273" s="195" t="str">
        <f>IFERROR(IF(COUNTIF(INDEX(Personnel[Category],A273),"*year*")&gt;0,IF(INDEX(Personnel[Months],A273)*INDEX(Personnel[FTE],A273)&lt;pers_3yPhD_min_months,$B$131,""),""),"")</f>
        <v/>
      </c>
      <c r="I273" s="218" t="str">
        <f>IFERROR(IF(COUNTIF(INDEX(Personnel[Category],A273),"*PDEng*")&gt;0,IF(OR(IFERROR(MATCH("*PhD*",Personnel[Category],0),0)&gt;0,IFERROR(MATCH("*PostDoc*",Personnel[Category],0),0)&gt;0),"",$B$132),""),"")</f>
        <v/>
      </c>
      <c r="J273" s="218" t="str">
        <f>IFERROR(IF(COUNTIF(INDEX(Personnel[Category],A273),"*PDEng*")&gt;0,IF(INDEX(Personnel[Months],A273)*INDEX(Personnel[FTE],A273)&gt;pers_PDEng_max_months,$B$133,""),""),"")</f>
        <v/>
      </c>
      <c r="K273" s="218" t="str">
        <f>IFERROR(IF(COUNTIF(INDEX(Personnel[Category],A273),"*PostDoc*")&gt;0,IF(INDEX(Personnel[Months],A273)*INDEX(Personnel[FTE],A273)&lt;pers_PD_min_months,$B$134,""),""),"")</f>
        <v/>
      </c>
      <c r="L273" s="218" t="str">
        <f>IFERROR(IF(COUNTIF(INDEX(Personnel[Category],A273),"*PostDoc*")&gt;0,IF(INDEX(Personnel[Months],A273)*INDEX(Personnel[FTE],A273)&gt;pers_PD_max_months,$B$135,""),""),"")</f>
        <v/>
      </c>
      <c r="M273" s="218" t="str">
        <f>IFERROR(IF(COUNTIF(INDEX(Personnel[Category],A273),"*Non-scientific*")&gt;0,IF(OR(IFERROR(MATCH("*PhD*",Personnel[Category],0),0)&gt;0,IFERROR(MATCH("*PostDoc*",Personnel[Category],0),0)&gt;0),"",$B$136),""),"")</f>
        <v/>
      </c>
      <c r="N273" s="218" t="str">
        <f>IFERROR(IF(COUNTIF(INDEX(Personnel[Category],A273),"*Non-scientific*")&gt;0,IF(Total_NSP&gt;pers_max_NSP,$B$137,""),""),"")</f>
        <v/>
      </c>
      <c r="O273" s="218" t="str">
        <f>IFERROR(IF(COUNTIF(INDEX(Personnel[Category],A273),"*Non-scientific*")&gt;0,IF(INDEX(Personnel[Months],A273)*INDEX(Personnel[FTE],A273)&lt;pers_NSP_min_months,$B$138,""),""),"")</f>
        <v/>
      </c>
      <c r="P273" s="218" t="str">
        <f>IFERROR(IF(COUNTIF(INDEX(Personnel[Category],A273),"*Non-scientific*")&gt;0,IF(INDEX(Personnel[Months],A273)*INDEX(Personnel[FTE],A273)&gt;pers_NSP_max_months,$B$139,""),""),"")</f>
        <v/>
      </c>
      <c r="Q273" s="218" t="str">
        <f>IFERROR(IF(COUNTIF(INDEX(Personnel[Category],A273),"*Other scientific*")&gt;0,IF(OR(IFERROR(MATCH("*PhD*",Personnel[Category],0),0)&gt;0,IFERROR(MATCH("*PostDoc*",Personnel[Category],0),0)&gt;0),"",$B$140),""),"")</f>
        <v/>
      </c>
      <c r="R273" s="218" t="str">
        <f>IFERROR(IF(COUNTIF(INDEX(Personnel[Category],A273),"*Other scientific*")&gt;0,IF(Total_OSP&gt;pers_max_OSP,$B$141,""),""),"")</f>
        <v/>
      </c>
      <c r="S273" s="218" t="str">
        <f>IFERROR(IF(COUNTIF(INDEX(Personnel[Category],A273),"*Other scientific*")&gt;0,IF(INDEX(Personnel[Months],A273)*INDEX(Personnel[FTE],A273)&lt;pers_OSP_min_months,$B$142,""),""),"")</f>
        <v/>
      </c>
      <c r="T273" s="218" t="str">
        <f>IFERROR(IF(COUNTIF(INDEX(Personnel[Category],A273),"*Other scientific*")&gt;0,IF(INDEX(Personnel[Months],A273)*INDEX(Personnel[FTE],A273)&gt;pers_OSP_max_months,$B$143,""),""),"")</f>
        <v/>
      </c>
      <c r="U273" s="218" t="str">
        <f>IFERROR(IF(COUNTIF(INDEX(Personnel[Category],A273),"*leave*")&gt;0,IF(Total_Research_leave&gt;pers_leave_maxperc*Total_NWO_funding,$B$144,""),""),"")</f>
        <v/>
      </c>
      <c r="V273" s="218" t="str">
        <f>IFERROR(IF(COUNTIF(INDEX(Personnel[Category],A273),"*leave*")&gt;0,IF(Research_leave_FTE_months&gt;pers_leave_maxduration,$B$145,""),""),"")</f>
        <v/>
      </c>
      <c r="W273" s="218" t="str">
        <f>IFERROR(IF(AND(INDEX(Personnel[Costs],A273)=0,INDEX(salaries_academic[[category]:[1]],MATCH(INDEX(Personnel[Category],A273),salaries_academic[category],0),3)=0),$B$148,""),"")</f>
        <v/>
      </c>
      <c r="X273" s="218" t="e">
        <f>IF(AND(organisation_type="yes",INDEX(Personnel[Amount],A273,1)&lt;&gt;"",ISBLANK(INDEX(Personnel[Organisation type],A273,1))),$B$146,"")</f>
        <v>#REF!</v>
      </c>
      <c r="Y273" s="218" t="e">
        <f>IF(AND(organisation_name="yes",INDEX(Personnel[Amount],A273,1)&lt;&gt;"",ISBLANK(INDEX(Personnel[Name organisation],A273,1))),$B$147,"")</f>
        <v>#REF!</v>
      </c>
      <c r="Z273" s="218" t="str">
        <f>IFERROR(IF(AND(INDEX(Personnel[Costs],A273)&gt;0,INDEX(salaries_academic[[category]:[1]],MATCH(INDEX(Personnel[Category],A273),salaries_academic[category],0),3)&gt;0),$B$149,""),"")</f>
        <v/>
      </c>
      <c r="AA273" s="218"/>
    </row>
    <row r="274" spans="1:27" outlineLevel="1" x14ac:dyDescent="0.35">
      <c r="A274" s="195">
        <v>67</v>
      </c>
      <c r="B274" s="195" t="str">
        <f t="array" ref="B274">IFERROR(INDEX(personnel_ac_notes[[#This Row],[Exceeding nr months]:[Costs specified]],1,MATCH(TRUE,LEN(personnel_ac_notes[[#This Row],[Exceeding nr months]:[Costs specified]])&gt;0,0)),"")</f>
        <v/>
      </c>
      <c r="C274" s="195" t="str">
        <f>IFERROR(IF(INDEX(Personnel[Months],A274)&gt;Max_project_duration,$B$128,""),"")</f>
        <v/>
      </c>
      <c r="D274" s="195" t="str">
        <f>IFERROR(IF(AND(LEN(INDEX(Personnel[Category],A274))+LEN(INDEX(Personnel[FTE],A274))+LEN(INDEX(Personnel[Months],A274))&gt;0,LEN(INDEX(Personnel[Category],A274-1))+LEN(INDEX(Personnel[FTE],A274-1))+LEN(INDEX(Personnel[Months],A274-1))=0),$B$127,""),"")</f>
        <v/>
      </c>
      <c r="E274" s="195" t="str">
        <f>IF(AND(NOT(ISBLANK(INDEX(Personnel[Category],A274))),OR(ISBLANK(INDEX(Personnel[FTE],A274)),ISBLANK(INDEX(Personnel[Months],A274)))),VLOOKUP(INDEX(Personnel[Category],A274),salaries_academic[],2,FALSE),"")</f>
        <v/>
      </c>
      <c r="F274" s="195" t="str">
        <f>IFERROR(IF(COUNTIF(INDEX(Personnel[Category],A274),"*- PhD*")&gt;0,IF(INDEX(Personnel[Months],A274)*INDEX(Personnel[FTE],A274)&lt;pers_PhD_min_months,$B$129,""),""),"")</f>
        <v/>
      </c>
      <c r="G274" s="195" t="str">
        <f>IFERROR(IF(COUNTIF(INDEX(Personnel[Category],$A274),"*- PhD*")&gt;0,IF(INDEX(Personnel[Months],$A274)*INDEX(Personnel[FTE],$A274)&gt;pers_PhD_max_months,$B$130,""),""),"")</f>
        <v/>
      </c>
      <c r="H274" s="195" t="str">
        <f>IFERROR(IF(COUNTIF(INDEX(Personnel[Category],A274),"*year*")&gt;0,IF(INDEX(Personnel[Months],A274)*INDEX(Personnel[FTE],A274)&lt;pers_3yPhD_min_months,$B$131,""),""),"")</f>
        <v/>
      </c>
      <c r="I274" s="218" t="str">
        <f>IFERROR(IF(COUNTIF(INDEX(Personnel[Category],A274),"*PDEng*")&gt;0,IF(OR(IFERROR(MATCH("*PhD*",Personnel[Category],0),0)&gt;0,IFERROR(MATCH("*PostDoc*",Personnel[Category],0),0)&gt;0),"",$B$132),""),"")</f>
        <v/>
      </c>
      <c r="J274" s="218" t="str">
        <f>IFERROR(IF(COUNTIF(INDEX(Personnel[Category],A274),"*PDEng*")&gt;0,IF(INDEX(Personnel[Months],A274)*INDEX(Personnel[FTE],A274)&gt;pers_PDEng_max_months,$B$133,""),""),"")</f>
        <v/>
      </c>
      <c r="K274" s="218" t="str">
        <f>IFERROR(IF(COUNTIF(INDEX(Personnel[Category],A274),"*PostDoc*")&gt;0,IF(INDEX(Personnel[Months],A274)*INDEX(Personnel[FTE],A274)&lt;pers_PD_min_months,$B$134,""),""),"")</f>
        <v/>
      </c>
      <c r="L274" s="218" t="str">
        <f>IFERROR(IF(COUNTIF(INDEX(Personnel[Category],A274),"*PostDoc*")&gt;0,IF(INDEX(Personnel[Months],A274)*INDEX(Personnel[FTE],A274)&gt;pers_PD_max_months,$B$135,""),""),"")</f>
        <v/>
      </c>
      <c r="M274" s="218" t="str">
        <f>IFERROR(IF(COUNTIF(INDEX(Personnel[Category],A274),"*Non-scientific*")&gt;0,IF(OR(IFERROR(MATCH("*PhD*",Personnel[Category],0),0)&gt;0,IFERROR(MATCH("*PostDoc*",Personnel[Category],0),0)&gt;0),"",$B$136),""),"")</f>
        <v/>
      </c>
      <c r="N274" s="218" t="str">
        <f>IFERROR(IF(COUNTIF(INDEX(Personnel[Category],A274),"*Non-scientific*")&gt;0,IF(Total_NSP&gt;pers_max_NSP,$B$137,""),""),"")</f>
        <v/>
      </c>
      <c r="O274" s="218" t="str">
        <f>IFERROR(IF(COUNTIF(INDEX(Personnel[Category],A274),"*Non-scientific*")&gt;0,IF(INDEX(Personnel[Months],A274)*INDEX(Personnel[FTE],A274)&lt;pers_NSP_min_months,$B$138,""),""),"")</f>
        <v/>
      </c>
      <c r="P274" s="218" t="str">
        <f>IFERROR(IF(COUNTIF(INDEX(Personnel[Category],A274),"*Non-scientific*")&gt;0,IF(INDEX(Personnel[Months],A274)*INDEX(Personnel[FTE],A274)&gt;pers_NSP_max_months,$B$139,""),""),"")</f>
        <v/>
      </c>
      <c r="Q274" s="218" t="str">
        <f>IFERROR(IF(COUNTIF(INDEX(Personnel[Category],A274),"*Other scientific*")&gt;0,IF(OR(IFERROR(MATCH("*PhD*",Personnel[Category],0),0)&gt;0,IFERROR(MATCH("*PostDoc*",Personnel[Category],0),0)&gt;0),"",$B$140),""),"")</f>
        <v/>
      </c>
      <c r="R274" s="218" t="str">
        <f>IFERROR(IF(COUNTIF(INDEX(Personnel[Category],A274),"*Other scientific*")&gt;0,IF(Total_OSP&gt;pers_max_OSP,$B$141,""),""),"")</f>
        <v/>
      </c>
      <c r="S274" s="218" t="str">
        <f>IFERROR(IF(COUNTIF(INDEX(Personnel[Category],A274),"*Other scientific*")&gt;0,IF(INDEX(Personnel[Months],A274)*INDEX(Personnel[FTE],A274)&lt;pers_OSP_min_months,$B$142,""),""),"")</f>
        <v/>
      </c>
      <c r="T274" s="218" t="str">
        <f>IFERROR(IF(COUNTIF(INDEX(Personnel[Category],A274),"*Other scientific*")&gt;0,IF(INDEX(Personnel[Months],A274)*INDEX(Personnel[FTE],A274)&gt;pers_OSP_max_months,$B$143,""),""),"")</f>
        <v/>
      </c>
      <c r="U274" s="218" t="str">
        <f>IFERROR(IF(COUNTIF(INDEX(Personnel[Category],A274),"*leave*")&gt;0,IF(Total_Research_leave&gt;pers_leave_maxperc*Total_NWO_funding,$B$144,""),""),"")</f>
        <v/>
      </c>
      <c r="V274" s="218" t="str">
        <f>IFERROR(IF(COUNTIF(INDEX(Personnel[Category],A274),"*leave*")&gt;0,IF(Research_leave_FTE_months&gt;pers_leave_maxduration,$B$145,""),""),"")</f>
        <v/>
      </c>
      <c r="W274" s="218" t="str">
        <f>IFERROR(IF(AND(INDEX(Personnel[Costs],A274)=0,INDEX(salaries_academic[[category]:[1]],MATCH(INDEX(Personnel[Category],A274),salaries_academic[category],0),3)=0),$B$148,""),"")</f>
        <v/>
      </c>
      <c r="X274" s="218" t="e">
        <f>IF(AND(organisation_type="yes",INDEX(Personnel[Amount],A274,1)&lt;&gt;"",ISBLANK(INDEX(Personnel[Organisation type],A274,1))),$B$146,"")</f>
        <v>#REF!</v>
      </c>
      <c r="Y274" s="218" t="e">
        <f>IF(AND(organisation_name="yes",INDEX(Personnel[Amount],A274,1)&lt;&gt;"",ISBLANK(INDEX(Personnel[Name organisation],A274,1))),$B$147,"")</f>
        <v>#REF!</v>
      </c>
      <c r="Z274" s="218" t="str">
        <f>IFERROR(IF(AND(INDEX(Personnel[Costs],A274)&gt;0,INDEX(salaries_academic[[category]:[1]],MATCH(INDEX(Personnel[Category],A274),salaries_academic[category],0),3)&gt;0),$B$149,""),"")</f>
        <v/>
      </c>
      <c r="AA274" s="218"/>
    </row>
    <row r="275" spans="1:27" outlineLevel="1" x14ac:dyDescent="0.35">
      <c r="A275" s="195">
        <v>68</v>
      </c>
      <c r="B275" s="195" t="str">
        <f t="array" ref="B275">IFERROR(INDEX(personnel_ac_notes[[#This Row],[Exceeding nr months]:[Costs specified]],1,MATCH(TRUE,LEN(personnel_ac_notes[[#This Row],[Exceeding nr months]:[Costs specified]])&gt;0,0)),"")</f>
        <v/>
      </c>
      <c r="C275" s="195" t="str">
        <f>IFERROR(IF(INDEX(Personnel[Months],A275)&gt;Max_project_duration,$B$128,""),"")</f>
        <v/>
      </c>
      <c r="D275" s="195" t="str">
        <f>IFERROR(IF(AND(LEN(INDEX(Personnel[Category],A275))+LEN(INDEX(Personnel[FTE],A275))+LEN(INDEX(Personnel[Months],A275))&gt;0,LEN(INDEX(Personnel[Category],A275-1))+LEN(INDEX(Personnel[FTE],A275-1))+LEN(INDEX(Personnel[Months],A275-1))=0),$B$127,""),"")</f>
        <v/>
      </c>
      <c r="E275" s="195" t="str">
        <f>IF(AND(NOT(ISBLANK(INDEX(Personnel[Category],A275))),OR(ISBLANK(INDEX(Personnel[FTE],A275)),ISBLANK(INDEX(Personnel[Months],A275)))),VLOOKUP(INDEX(Personnel[Category],A275),salaries_academic[],2,FALSE),"")</f>
        <v/>
      </c>
      <c r="F275" s="195" t="str">
        <f>IFERROR(IF(COUNTIF(INDEX(Personnel[Category],A275),"*- PhD*")&gt;0,IF(INDEX(Personnel[Months],A275)*INDEX(Personnel[FTE],A275)&lt;pers_PhD_min_months,$B$129,""),""),"")</f>
        <v/>
      </c>
      <c r="G275" s="195" t="str">
        <f>IFERROR(IF(COUNTIF(INDEX(Personnel[Category],$A275),"*- PhD*")&gt;0,IF(INDEX(Personnel[Months],$A275)*INDEX(Personnel[FTE],$A275)&gt;pers_PhD_max_months,$B$130,""),""),"")</f>
        <v/>
      </c>
      <c r="H275" s="195" t="str">
        <f>IFERROR(IF(COUNTIF(INDEX(Personnel[Category],A275),"*year*")&gt;0,IF(INDEX(Personnel[Months],A275)*INDEX(Personnel[FTE],A275)&lt;pers_3yPhD_min_months,$B$131,""),""),"")</f>
        <v/>
      </c>
      <c r="I275" s="218" t="str">
        <f>IFERROR(IF(COUNTIF(INDEX(Personnel[Category],A275),"*PDEng*")&gt;0,IF(OR(IFERROR(MATCH("*PhD*",Personnel[Category],0),0)&gt;0,IFERROR(MATCH("*PostDoc*",Personnel[Category],0),0)&gt;0),"",$B$132),""),"")</f>
        <v/>
      </c>
      <c r="J275" s="218" t="str">
        <f>IFERROR(IF(COUNTIF(INDEX(Personnel[Category],A275),"*PDEng*")&gt;0,IF(INDEX(Personnel[Months],A275)*INDEX(Personnel[FTE],A275)&gt;pers_PDEng_max_months,$B$133,""),""),"")</f>
        <v/>
      </c>
      <c r="K275" s="218" t="str">
        <f>IFERROR(IF(COUNTIF(INDEX(Personnel[Category],A275),"*PostDoc*")&gt;0,IF(INDEX(Personnel[Months],A275)*INDEX(Personnel[FTE],A275)&lt;pers_PD_min_months,$B$134,""),""),"")</f>
        <v/>
      </c>
      <c r="L275" s="218" t="str">
        <f>IFERROR(IF(COUNTIF(INDEX(Personnel[Category],A275),"*PostDoc*")&gt;0,IF(INDEX(Personnel[Months],A275)*INDEX(Personnel[FTE],A275)&gt;pers_PD_max_months,$B$135,""),""),"")</f>
        <v/>
      </c>
      <c r="M275" s="218" t="str">
        <f>IFERROR(IF(COUNTIF(INDEX(Personnel[Category],A275),"*Non-scientific*")&gt;0,IF(OR(IFERROR(MATCH("*PhD*",Personnel[Category],0),0)&gt;0,IFERROR(MATCH("*PostDoc*",Personnel[Category],0),0)&gt;0),"",$B$136),""),"")</f>
        <v/>
      </c>
      <c r="N275" s="218" t="str">
        <f>IFERROR(IF(COUNTIF(INDEX(Personnel[Category],A275),"*Non-scientific*")&gt;0,IF(Total_NSP&gt;pers_max_NSP,$B$137,""),""),"")</f>
        <v/>
      </c>
      <c r="O275" s="218" t="str">
        <f>IFERROR(IF(COUNTIF(INDEX(Personnel[Category],A275),"*Non-scientific*")&gt;0,IF(INDEX(Personnel[Months],A275)*INDEX(Personnel[FTE],A275)&lt;pers_NSP_min_months,$B$138,""),""),"")</f>
        <v/>
      </c>
      <c r="P275" s="218" t="str">
        <f>IFERROR(IF(COUNTIF(INDEX(Personnel[Category],A275),"*Non-scientific*")&gt;0,IF(INDEX(Personnel[Months],A275)*INDEX(Personnel[FTE],A275)&gt;pers_NSP_max_months,$B$139,""),""),"")</f>
        <v/>
      </c>
      <c r="Q275" s="218" t="str">
        <f>IFERROR(IF(COUNTIF(INDEX(Personnel[Category],A275),"*Other scientific*")&gt;0,IF(OR(IFERROR(MATCH("*PhD*",Personnel[Category],0),0)&gt;0,IFERROR(MATCH("*PostDoc*",Personnel[Category],0),0)&gt;0),"",$B$140),""),"")</f>
        <v/>
      </c>
      <c r="R275" s="218" t="str">
        <f>IFERROR(IF(COUNTIF(INDEX(Personnel[Category],A275),"*Other scientific*")&gt;0,IF(Total_OSP&gt;pers_max_OSP,$B$141,""),""),"")</f>
        <v/>
      </c>
      <c r="S275" s="218" t="str">
        <f>IFERROR(IF(COUNTIF(INDEX(Personnel[Category],A275),"*Other scientific*")&gt;0,IF(INDEX(Personnel[Months],A275)*INDEX(Personnel[FTE],A275)&lt;pers_OSP_min_months,$B$142,""),""),"")</f>
        <v/>
      </c>
      <c r="T275" s="218" t="str">
        <f>IFERROR(IF(COUNTIF(INDEX(Personnel[Category],A275),"*Other scientific*")&gt;0,IF(INDEX(Personnel[Months],A275)*INDEX(Personnel[FTE],A275)&gt;pers_OSP_max_months,$B$143,""),""),"")</f>
        <v/>
      </c>
      <c r="U275" s="218" t="str">
        <f>IFERROR(IF(COUNTIF(INDEX(Personnel[Category],A275),"*leave*")&gt;0,IF(Total_Research_leave&gt;pers_leave_maxperc*Total_NWO_funding,$B$144,""),""),"")</f>
        <v/>
      </c>
      <c r="V275" s="218" t="str">
        <f>IFERROR(IF(COUNTIF(INDEX(Personnel[Category],A275),"*leave*")&gt;0,IF(Research_leave_FTE_months&gt;pers_leave_maxduration,$B$145,""),""),"")</f>
        <v/>
      </c>
      <c r="W275" s="218" t="str">
        <f>IFERROR(IF(AND(INDEX(Personnel[Costs],A275)=0,INDEX(salaries_academic[[category]:[1]],MATCH(INDEX(Personnel[Category],A275),salaries_academic[category],0),3)=0),$B$148,""),"")</f>
        <v/>
      </c>
      <c r="X275" s="218" t="e">
        <f>IF(AND(organisation_type="yes",INDEX(Personnel[Amount],A275,1)&lt;&gt;"",ISBLANK(INDEX(Personnel[Organisation type],A275,1))),$B$146,"")</f>
        <v>#REF!</v>
      </c>
      <c r="Y275" s="218" t="e">
        <f>IF(AND(organisation_name="yes",INDEX(Personnel[Amount],A275,1)&lt;&gt;"",ISBLANK(INDEX(Personnel[Name organisation],A275,1))),$B$147,"")</f>
        <v>#REF!</v>
      </c>
      <c r="Z275" s="218" t="str">
        <f>IFERROR(IF(AND(INDEX(Personnel[Costs],A275)&gt;0,INDEX(salaries_academic[[category]:[1]],MATCH(INDEX(Personnel[Category],A275),salaries_academic[category],0),3)&gt;0),$B$149,""),"")</f>
        <v/>
      </c>
      <c r="AA275" s="218"/>
    </row>
    <row r="276" spans="1:27" outlineLevel="1" x14ac:dyDescent="0.35">
      <c r="A276" s="195">
        <v>69</v>
      </c>
      <c r="B276" s="195" t="str">
        <f t="array" ref="B276">IFERROR(INDEX(personnel_ac_notes[[#This Row],[Exceeding nr months]:[Costs specified]],1,MATCH(TRUE,LEN(personnel_ac_notes[[#This Row],[Exceeding nr months]:[Costs specified]])&gt;0,0)),"")</f>
        <v/>
      </c>
      <c r="C276" s="195" t="str">
        <f>IFERROR(IF(INDEX(Personnel[Months],A276)&gt;Max_project_duration,$B$128,""),"")</f>
        <v/>
      </c>
      <c r="D276" s="195" t="str">
        <f>IFERROR(IF(AND(LEN(INDEX(Personnel[Category],A276))+LEN(INDEX(Personnel[FTE],A276))+LEN(INDEX(Personnel[Months],A276))&gt;0,LEN(INDEX(Personnel[Category],A276-1))+LEN(INDEX(Personnel[FTE],A276-1))+LEN(INDEX(Personnel[Months],A276-1))=0),$B$127,""),"")</f>
        <v/>
      </c>
      <c r="E276" s="195" t="str">
        <f>IF(AND(NOT(ISBLANK(INDEX(Personnel[Category],A276))),OR(ISBLANK(INDEX(Personnel[FTE],A276)),ISBLANK(INDEX(Personnel[Months],A276)))),VLOOKUP(INDEX(Personnel[Category],A276),salaries_academic[],2,FALSE),"")</f>
        <v/>
      </c>
      <c r="F276" s="195" t="str">
        <f>IFERROR(IF(COUNTIF(INDEX(Personnel[Category],A276),"*- PhD*")&gt;0,IF(INDEX(Personnel[Months],A276)*INDEX(Personnel[FTE],A276)&lt;pers_PhD_min_months,$B$129,""),""),"")</f>
        <v/>
      </c>
      <c r="G276" s="195" t="str">
        <f>IFERROR(IF(COUNTIF(INDEX(Personnel[Category],$A276),"*- PhD*")&gt;0,IF(INDEX(Personnel[Months],$A276)*INDEX(Personnel[FTE],$A276)&gt;pers_PhD_max_months,$B$130,""),""),"")</f>
        <v/>
      </c>
      <c r="H276" s="195" t="str">
        <f>IFERROR(IF(COUNTIF(INDEX(Personnel[Category],A276),"*year*")&gt;0,IF(INDEX(Personnel[Months],A276)*INDEX(Personnel[FTE],A276)&lt;pers_3yPhD_min_months,$B$131,""),""),"")</f>
        <v/>
      </c>
      <c r="I276" s="218" t="str">
        <f>IFERROR(IF(COUNTIF(INDEX(Personnel[Category],A276),"*PDEng*")&gt;0,IF(OR(IFERROR(MATCH("*PhD*",Personnel[Category],0),0)&gt;0,IFERROR(MATCH("*PostDoc*",Personnel[Category],0),0)&gt;0),"",$B$132),""),"")</f>
        <v/>
      </c>
      <c r="J276" s="218" t="str">
        <f>IFERROR(IF(COUNTIF(INDEX(Personnel[Category],A276),"*PDEng*")&gt;0,IF(INDEX(Personnel[Months],A276)*INDEX(Personnel[FTE],A276)&gt;pers_PDEng_max_months,$B$133,""),""),"")</f>
        <v/>
      </c>
      <c r="K276" s="218" t="str">
        <f>IFERROR(IF(COUNTIF(INDEX(Personnel[Category],A276),"*PostDoc*")&gt;0,IF(INDEX(Personnel[Months],A276)*INDEX(Personnel[FTE],A276)&lt;pers_PD_min_months,$B$134,""),""),"")</f>
        <v/>
      </c>
      <c r="L276" s="218" t="str">
        <f>IFERROR(IF(COUNTIF(INDEX(Personnel[Category],A276),"*PostDoc*")&gt;0,IF(INDEX(Personnel[Months],A276)*INDEX(Personnel[FTE],A276)&gt;pers_PD_max_months,$B$135,""),""),"")</f>
        <v/>
      </c>
      <c r="M276" s="218" t="str">
        <f>IFERROR(IF(COUNTIF(INDEX(Personnel[Category],A276),"*Non-scientific*")&gt;0,IF(OR(IFERROR(MATCH("*PhD*",Personnel[Category],0),0)&gt;0,IFERROR(MATCH("*PostDoc*",Personnel[Category],0),0)&gt;0),"",$B$136),""),"")</f>
        <v/>
      </c>
      <c r="N276" s="218" t="str">
        <f>IFERROR(IF(COUNTIF(INDEX(Personnel[Category],A276),"*Non-scientific*")&gt;0,IF(Total_NSP&gt;pers_max_NSP,$B$137,""),""),"")</f>
        <v/>
      </c>
      <c r="O276" s="218" t="str">
        <f>IFERROR(IF(COUNTIF(INDEX(Personnel[Category],A276),"*Non-scientific*")&gt;0,IF(INDEX(Personnel[Months],A276)*INDEX(Personnel[FTE],A276)&lt;pers_NSP_min_months,$B$138,""),""),"")</f>
        <v/>
      </c>
      <c r="P276" s="218" t="str">
        <f>IFERROR(IF(COUNTIF(INDEX(Personnel[Category],A276),"*Non-scientific*")&gt;0,IF(INDEX(Personnel[Months],A276)*INDEX(Personnel[FTE],A276)&gt;pers_NSP_max_months,$B$139,""),""),"")</f>
        <v/>
      </c>
      <c r="Q276" s="218" t="str">
        <f>IFERROR(IF(COUNTIF(INDEX(Personnel[Category],A276),"*Other scientific*")&gt;0,IF(OR(IFERROR(MATCH("*PhD*",Personnel[Category],0),0)&gt;0,IFERROR(MATCH("*PostDoc*",Personnel[Category],0),0)&gt;0),"",$B$140),""),"")</f>
        <v/>
      </c>
      <c r="R276" s="218" t="str">
        <f>IFERROR(IF(COUNTIF(INDEX(Personnel[Category],A276),"*Other scientific*")&gt;0,IF(Total_OSP&gt;pers_max_OSP,$B$141,""),""),"")</f>
        <v/>
      </c>
      <c r="S276" s="218" t="str">
        <f>IFERROR(IF(COUNTIF(INDEX(Personnel[Category],A276),"*Other scientific*")&gt;0,IF(INDEX(Personnel[Months],A276)*INDEX(Personnel[FTE],A276)&lt;pers_OSP_min_months,$B$142,""),""),"")</f>
        <v/>
      </c>
      <c r="T276" s="218" t="str">
        <f>IFERROR(IF(COUNTIF(INDEX(Personnel[Category],A276),"*Other scientific*")&gt;0,IF(INDEX(Personnel[Months],A276)*INDEX(Personnel[FTE],A276)&gt;pers_OSP_max_months,$B$143,""),""),"")</f>
        <v/>
      </c>
      <c r="U276" s="218" t="str">
        <f>IFERROR(IF(COUNTIF(INDEX(Personnel[Category],A276),"*leave*")&gt;0,IF(Total_Research_leave&gt;pers_leave_maxperc*Total_NWO_funding,$B$144,""),""),"")</f>
        <v/>
      </c>
      <c r="V276" s="218" t="str">
        <f>IFERROR(IF(COUNTIF(INDEX(Personnel[Category],A276),"*leave*")&gt;0,IF(Research_leave_FTE_months&gt;pers_leave_maxduration,$B$145,""),""),"")</f>
        <v/>
      </c>
      <c r="W276" s="218" t="str">
        <f>IFERROR(IF(AND(INDEX(Personnel[Costs],A276)=0,INDEX(salaries_academic[[category]:[1]],MATCH(INDEX(Personnel[Category],A276),salaries_academic[category],0),3)=0),$B$148,""),"")</f>
        <v/>
      </c>
      <c r="X276" s="218" t="e">
        <f>IF(AND(organisation_type="yes",INDEX(Personnel[Amount],A276,1)&lt;&gt;"",ISBLANK(INDEX(Personnel[Organisation type],A276,1))),$B$146,"")</f>
        <v>#REF!</v>
      </c>
      <c r="Y276" s="218" t="e">
        <f>IF(AND(organisation_name="yes",INDEX(Personnel[Amount],A276,1)&lt;&gt;"",ISBLANK(INDEX(Personnel[Name organisation],A276,1))),$B$147,"")</f>
        <v>#REF!</v>
      </c>
      <c r="Z276" s="218" t="str">
        <f>IFERROR(IF(AND(INDEX(Personnel[Costs],A276)&gt;0,INDEX(salaries_academic[[category]:[1]],MATCH(INDEX(Personnel[Category],A276),salaries_academic[category],0),3)&gt;0),$B$149,""),"")</f>
        <v/>
      </c>
      <c r="AA276" s="218"/>
    </row>
    <row r="277" spans="1:27" outlineLevel="1" x14ac:dyDescent="0.35">
      <c r="A277" s="195">
        <v>70</v>
      </c>
      <c r="B277" s="195" t="str">
        <f t="array" ref="B277">IFERROR(INDEX(personnel_ac_notes[[#This Row],[Exceeding nr months]:[Costs specified]],1,MATCH(TRUE,LEN(personnel_ac_notes[[#This Row],[Exceeding nr months]:[Costs specified]])&gt;0,0)),"")</f>
        <v/>
      </c>
      <c r="C277" s="195" t="str">
        <f>IFERROR(IF(INDEX(Personnel[Months],A277)&gt;Max_project_duration,$B$128,""),"")</f>
        <v/>
      </c>
      <c r="D277" s="195" t="str">
        <f>IFERROR(IF(AND(LEN(INDEX(Personnel[Category],A277))+LEN(INDEX(Personnel[FTE],A277))+LEN(INDEX(Personnel[Months],A277))&gt;0,LEN(INDEX(Personnel[Category],A277-1))+LEN(INDEX(Personnel[FTE],A277-1))+LEN(INDEX(Personnel[Months],A277-1))=0),$B$127,""),"")</f>
        <v/>
      </c>
      <c r="E277" s="195" t="str">
        <f>IF(AND(NOT(ISBLANK(INDEX(Personnel[Category],A277))),OR(ISBLANK(INDEX(Personnel[FTE],A277)),ISBLANK(INDEX(Personnel[Months],A277)))),VLOOKUP(INDEX(Personnel[Category],A277),salaries_academic[],2,FALSE),"")</f>
        <v/>
      </c>
      <c r="F277" s="195" t="str">
        <f>IFERROR(IF(COUNTIF(INDEX(Personnel[Category],A277),"*- PhD*")&gt;0,IF(INDEX(Personnel[Months],A277)*INDEX(Personnel[FTE],A277)&lt;pers_PhD_min_months,$B$129,""),""),"")</f>
        <v/>
      </c>
      <c r="G277" s="195" t="str">
        <f>IFERROR(IF(COUNTIF(INDEX(Personnel[Category],$A277),"*- PhD*")&gt;0,IF(INDEX(Personnel[Months],$A277)*INDEX(Personnel[FTE],$A277)&gt;pers_PhD_max_months,$B$130,""),""),"")</f>
        <v/>
      </c>
      <c r="H277" s="195" t="str">
        <f>IFERROR(IF(COUNTIF(INDEX(Personnel[Category],A277),"*year*")&gt;0,IF(INDEX(Personnel[Months],A277)*INDEX(Personnel[FTE],A277)&lt;pers_3yPhD_min_months,$B$131,""),""),"")</f>
        <v/>
      </c>
      <c r="I277" s="218" t="str">
        <f>IFERROR(IF(COUNTIF(INDEX(Personnel[Category],A277),"*PDEng*")&gt;0,IF(OR(IFERROR(MATCH("*PhD*",Personnel[Category],0),0)&gt;0,IFERROR(MATCH("*PostDoc*",Personnel[Category],0),0)&gt;0),"",$B$132),""),"")</f>
        <v/>
      </c>
      <c r="J277" s="218" t="str">
        <f>IFERROR(IF(COUNTIF(INDEX(Personnel[Category],A277),"*PDEng*")&gt;0,IF(INDEX(Personnel[Months],A277)*INDEX(Personnel[FTE],A277)&gt;pers_PDEng_max_months,$B$133,""),""),"")</f>
        <v/>
      </c>
      <c r="K277" s="218" t="str">
        <f>IFERROR(IF(COUNTIF(INDEX(Personnel[Category],A277),"*PostDoc*")&gt;0,IF(INDEX(Personnel[Months],A277)*INDEX(Personnel[FTE],A277)&lt;pers_PD_min_months,$B$134,""),""),"")</f>
        <v/>
      </c>
      <c r="L277" s="218" t="str">
        <f>IFERROR(IF(COUNTIF(INDEX(Personnel[Category],A277),"*PostDoc*")&gt;0,IF(INDEX(Personnel[Months],A277)*INDEX(Personnel[FTE],A277)&gt;pers_PD_max_months,$B$135,""),""),"")</f>
        <v/>
      </c>
      <c r="M277" s="218" t="str">
        <f>IFERROR(IF(COUNTIF(INDEX(Personnel[Category],A277),"*Non-scientific*")&gt;0,IF(OR(IFERROR(MATCH("*PhD*",Personnel[Category],0),0)&gt;0,IFERROR(MATCH("*PostDoc*",Personnel[Category],0),0)&gt;0),"",$B$136),""),"")</f>
        <v/>
      </c>
      <c r="N277" s="218" t="str">
        <f>IFERROR(IF(COUNTIF(INDEX(Personnel[Category],A277),"*Non-scientific*")&gt;0,IF(Total_NSP&gt;pers_max_NSP,$B$137,""),""),"")</f>
        <v/>
      </c>
      <c r="O277" s="218" t="str">
        <f>IFERROR(IF(COUNTIF(INDEX(Personnel[Category],A277),"*Non-scientific*")&gt;0,IF(INDEX(Personnel[Months],A277)*INDEX(Personnel[FTE],A277)&lt;pers_NSP_min_months,$B$138,""),""),"")</f>
        <v/>
      </c>
      <c r="P277" s="218" t="str">
        <f>IFERROR(IF(COUNTIF(INDEX(Personnel[Category],A277),"*Non-scientific*")&gt;0,IF(INDEX(Personnel[Months],A277)*INDEX(Personnel[FTE],A277)&gt;pers_NSP_max_months,$B$139,""),""),"")</f>
        <v/>
      </c>
      <c r="Q277" s="218" t="str">
        <f>IFERROR(IF(COUNTIF(INDEX(Personnel[Category],A277),"*Other scientific*")&gt;0,IF(OR(IFERROR(MATCH("*PhD*",Personnel[Category],0),0)&gt;0,IFERROR(MATCH("*PostDoc*",Personnel[Category],0),0)&gt;0),"",$B$140),""),"")</f>
        <v/>
      </c>
      <c r="R277" s="218" t="str">
        <f>IFERROR(IF(COUNTIF(INDEX(Personnel[Category],A277),"*Other scientific*")&gt;0,IF(Total_OSP&gt;pers_max_OSP,$B$141,""),""),"")</f>
        <v/>
      </c>
      <c r="S277" s="218" t="str">
        <f>IFERROR(IF(COUNTIF(INDEX(Personnel[Category],A277),"*Other scientific*")&gt;0,IF(INDEX(Personnel[Months],A277)*INDEX(Personnel[FTE],A277)&lt;pers_OSP_min_months,$B$142,""),""),"")</f>
        <v/>
      </c>
      <c r="T277" s="218" t="str">
        <f>IFERROR(IF(COUNTIF(INDEX(Personnel[Category],A277),"*Other scientific*")&gt;0,IF(INDEX(Personnel[Months],A277)*INDEX(Personnel[FTE],A277)&gt;pers_OSP_max_months,$B$143,""),""),"")</f>
        <v/>
      </c>
      <c r="U277" s="218" t="str">
        <f>IFERROR(IF(COUNTIF(INDEX(Personnel[Category],A277),"*leave*")&gt;0,IF(Total_Research_leave&gt;pers_leave_maxperc*Total_NWO_funding,$B$144,""),""),"")</f>
        <v/>
      </c>
      <c r="V277" s="218" t="str">
        <f>IFERROR(IF(COUNTIF(INDEX(Personnel[Category],A277),"*leave*")&gt;0,IF(Research_leave_FTE_months&gt;pers_leave_maxduration,$B$145,""),""),"")</f>
        <v/>
      </c>
      <c r="W277" s="218" t="str">
        <f>IFERROR(IF(AND(INDEX(Personnel[Costs],A277)=0,INDEX(salaries_academic[[category]:[1]],MATCH(INDEX(Personnel[Category],A277),salaries_academic[category],0),3)=0),$B$148,""),"")</f>
        <v/>
      </c>
      <c r="X277" s="218" t="e">
        <f>IF(AND(organisation_type="yes",INDEX(Personnel[Amount],A277,1)&lt;&gt;"",ISBLANK(INDEX(Personnel[Organisation type],A277,1))),$B$146,"")</f>
        <v>#REF!</v>
      </c>
      <c r="Y277" s="218" t="e">
        <f>IF(AND(organisation_name="yes",INDEX(Personnel[Amount],A277,1)&lt;&gt;"",ISBLANK(INDEX(Personnel[Name organisation],A277,1))),$B$147,"")</f>
        <v>#REF!</v>
      </c>
      <c r="Z277" s="218" t="str">
        <f>IFERROR(IF(AND(INDEX(Personnel[Costs],A277)&gt;0,INDEX(salaries_academic[[category]:[1]],MATCH(INDEX(Personnel[Category],A277),salaries_academic[category],0),3)&gt;0),$B$149,""),"")</f>
        <v/>
      </c>
      <c r="AA277" s="218"/>
    </row>
    <row r="278" spans="1:27" outlineLevel="1" x14ac:dyDescent="0.35">
      <c r="A278" s="195">
        <v>71</v>
      </c>
      <c r="B278" s="195" t="str">
        <f t="array" ref="B278">IFERROR(INDEX(personnel_ac_notes[[#This Row],[Exceeding nr months]:[Costs specified]],1,MATCH(TRUE,LEN(personnel_ac_notes[[#This Row],[Exceeding nr months]:[Costs specified]])&gt;0,0)),"")</f>
        <v/>
      </c>
      <c r="C278" s="195" t="str">
        <f>IFERROR(IF(INDEX(Personnel[Months],A278)&gt;Max_project_duration,$B$128,""),"")</f>
        <v/>
      </c>
      <c r="D278" s="195" t="str">
        <f>IFERROR(IF(AND(LEN(INDEX(Personnel[Category],A278))+LEN(INDEX(Personnel[FTE],A278))+LEN(INDEX(Personnel[Months],A278))&gt;0,LEN(INDEX(Personnel[Category],A278-1))+LEN(INDEX(Personnel[FTE],A278-1))+LEN(INDEX(Personnel[Months],A278-1))=0),$B$127,""),"")</f>
        <v/>
      </c>
      <c r="E278" s="195" t="str">
        <f>IF(AND(NOT(ISBLANK(INDEX(Personnel[Category],A278))),OR(ISBLANK(INDEX(Personnel[FTE],A278)),ISBLANK(INDEX(Personnel[Months],A278)))),VLOOKUP(INDEX(Personnel[Category],A278),salaries_academic[],2,FALSE),"")</f>
        <v/>
      </c>
      <c r="F278" s="195" t="str">
        <f>IFERROR(IF(COUNTIF(INDEX(Personnel[Category],A278),"*- PhD*")&gt;0,IF(INDEX(Personnel[Months],A278)*INDEX(Personnel[FTE],A278)&lt;pers_PhD_min_months,$B$129,""),""),"")</f>
        <v/>
      </c>
      <c r="G278" s="195" t="str">
        <f>IFERROR(IF(COUNTIF(INDEX(Personnel[Category],$A278),"*- PhD*")&gt;0,IF(INDEX(Personnel[Months],$A278)*INDEX(Personnel[FTE],$A278)&gt;pers_PhD_max_months,$B$130,""),""),"")</f>
        <v/>
      </c>
      <c r="H278" s="195" t="str">
        <f>IFERROR(IF(COUNTIF(INDEX(Personnel[Category],A278),"*year*")&gt;0,IF(INDEX(Personnel[Months],A278)*INDEX(Personnel[FTE],A278)&lt;pers_3yPhD_min_months,$B$131,""),""),"")</f>
        <v/>
      </c>
      <c r="I278" s="218" t="str">
        <f>IFERROR(IF(COUNTIF(INDEX(Personnel[Category],A278),"*PDEng*")&gt;0,IF(OR(IFERROR(MATCH("*PhD*",Personnel[Category],0),0)&gt;0,IFERROR(MATCH("*PostDoc*",Personnel[Category],0),0)&gt;0),"",$B$132),""),"")</f>
        <v/>
      </c>
      <c r="J278" s="218" t="str">
        <f>IFERROR(IF(COUNTIF(INDEX(Personnel[Category],A278),"*PDEng*")&gt;0,IF(INDEX(Personnel[Months],A278)*INDEX(Personnel[FTE],A278)&gt;pers_PDEng_max_months,$B$133,""),""),"")</f>
        <v/>
      </c>
      <c r="K278" s="218" t="str">
        <f>IFERROR(IF(COUNTIF(INDEX(Personnel[Category],A278),"*PostDoc*")&gt;0,IF(INDEX(Personnel[Months],A278)*INDEX(Personnel[FTE],A278)&lt;pers_PD_min_months,$B$134,""),""),"")</f>
        <v/>
      </c>
      <c r="L278" s="218" t="str">
        <f>IFERROR(IF(COUNTIF(INDEX(Personnel[Category],A278),"*PostDoc*")&gt;0,IF(INDEX(Personnel[Months],A278)*INDEX(Personnel[FTE],A278)&gt;pers_PD_max_months,$B$135,""),""),"")</f>
        <v/>
      </c>
      <c r="M278" s="218" t="str">
        <f>IFERROR(IF(COUNTIF(INDEX(Personnel[Category],A278),"*Non-scientific*")&gt;0,IF(OR(IFERROR(MATCH("*PhD*",Personnel[Category],0),0)&gt;0,IFERROR(MATCH("*PostDoc*",Personnel[Category],0),0)&gt;0),"",$B$136),""),"")</f>
        <v/>
      </c>
      <c r="N278" s="218" t="str">
        <f>IFERROR(IF(COUNTIF(INDEX(Personnel[Category],A278),"*Non-scientific*")&gt;0,IF(Total_NSP&gt;pers_max_NSP,$B$137,""),""),"")</f>
        <v/>
      </c>
      <c r="O278" s="218" t="str">
        <f>IFERROR(IF(COUNTIF(INDEX(Personnel[Category],A278),"*Non-scientific*")&gt;0,IF(INDEX(Personnel[Months],A278)*INDEX(Personnel[FTE],A278)&lt;pers_NSP_min_months,$B$138,""),""),"")</f>
        <v/>
      </c>
      <c r="P278" s="218" t="str">
        <f>IFERROR(IF(COUNTIF(INDEX(Personnel[Category],A278),"*Non-scientific*")&gt;0,IF(INDEX(Personnel[Months],A278)*INDEX(Personnel[FTE],A278)&gt;pers_NSP_max_months,$B$139,""),""),"")</f>
        <v/>
      </c>
      <c r="Q278" s="218" t="str">
        <f>IFERROR(IF(COUNTIF(INDEX(Personnel[Category],A278),"*Other scientific*")&gt;0,IF(OR(IFERROR(MATCH("*PhD*",Personnel[Category],0),0)&gt;0,IFERROR(MATCH("*PostDoc*",Personnel[Category],0),0)&gt;0),"",$B$140),""),"")</f>
        <v/>
      </c>
      <c r="R278" s="218" t="str">
        <f>IFERROR(IF(COUNTIF(INDEX(Personnel[Category],A278),"*Other scientific*")&gt;0,IF(Total_OSP&gt;pers_max_OSP,$B$141,""),""),"")</f>
        <v/>
      </c>
      <c r="S278" s="218" t="str">
        <f>IFERROR(IF(COUNTIF(INDEX(Personnel[Category],A278),"*Other scientific*")&gt;0,IF(INDEX(Personnel[Months],A278)*INDEX(Personnel[FTE],A278)&lt;pers_OSP_min_months,$B$142,""),""),"")</f>
        <v/>
      </c>
      <c r="T278" s="218" t="str">
        <f>IFERROR(IF(COUNTIF(INDEX(Personnel[Category],A278),"*Other scientific*")&gt;0,IF(INDEX(Personnel[Months],A278)*INDEX(Personnel[FTE],A278)&gt;pers_OSP_max_months,$B$143,""),""),"")</f>
        <v/>
      </c>
      <c r="U278" s="218" t="str">
        <f>IFERROR(IF(COUNTIF(INDEX(Personnel[Category],A278),"*leave*")&gt;0,IF(Total_Research_leave&gt;pers_leave_maxperc*Total_NWO_funding,$B$144,""),""),"")</f>
        <v/>
      </c>
      <c r="V278" s="218" t="str">
        <f>IFERROR(IF(COUNTIF(INDEX(Personnel[Category],A278),"*leave*")&gt;0,IF(Research_leave_FTE_months&gt;pers_leave_maxduration,$B$145,""),""),"")</f>
        <v/>
      </c>
      <c r="W278" s="218" t="str">
        <f>IFERROR(IF(AND(INDEX(Personnel[Costs],A278)=0,INDEX(salaries_academic[[category]:[1]],MATCH(INDEX(Personnel[Category],A278),salaries_academic[category],0),3)=0),$B$148,""),"")</f>
        <v/>
      </c>
      <c r="X278" s="218" t="e">
        <f>IF(AND(organisation_type="yes",INDEX(Personnel[Amount],A278,1)&lt;&gt;"",ISBLANK(INDEX(Personnel[Organisation type],A278,1))),$B$146,"")</f>
        <v>#REF!</v>
      </c>
      <c r="Y278" s="218" t="e">
        <f>IF(AND(organisation_name="yes",INDEX(Personnel[Amount],A278,1)&lt;&gt;"",ISBLANK(INDEX(Personnel[Name organisation],A278,1))),$B$147,"")</f>
        <v>#REF!</v>
      </c>
      <c r="Z278" s="218" t="str">
        <f>IFERROR(IF(AND(INDEX(Personnel[Costs],A278)&gt;0,INDEX(salaries_academic[[category]:[1]],MATCH(INDEX(Personnel[Category],A278),salaries_academic[category],0),3)&gt;0),$B$149,""),"")</f>
        <v/>
      </c>
      <c r="AA278" s="218"/>
    </row>
    <row r="279" spans="1:27" outlineLevel="1" x14ac:dyDescent="0.35">
      <c r="A279" s="195">
        <v>72</v>
      </c>
      <c r="B279" s="195" t="str">
        <f t="array" ref="B279">IFERROR(INDEX(personnel_ac_notes[[#This Row],[Exceeding nr months]:[Costs specified]],1,MATCH(TRUE,LEN(personnel_ac_notes[[#This Row],[Exceeding nr months]:[Costs specified]])&gt;0,0)),"")</f>
        <v/>
      </c>
      <c r="C279" s="195" t="str">
        <f>IFERROR(IF(INDEX(Personnel[Months],A279)&gt;Max_project_duration,$B$128,""),"")</f>
        <v/>
      </c>
      <c r="D279" s="195" t="str">
        <f>IFERROR(IF(AND(LEN(INDEX(Personnel[Category],A279))+LEN(INDEX(Personnel[FTE],A279))+LEN(INDEX(Personnel[Months],A279))&gt;0,LEN(INDEX(Personnel[Category],A279-1))+LEN(INDEX(Personnel[FTE],A279-1))+LEN(INDEX(Personnel[Months],A279-1))=0),$B$127,""),"")</f>
        <v/>
      </c>
      <c r="E279" s="195" t="str">
        <f>IF(AND(NOT(ISBLANK(INDEX(Personnel[Category],A279))),OR(ISBLANK(INDEX(Personnel[FTE],A279)),ISBLANK(INDEX(Personnel[Months],A279)))),VLOOKUP(INDEX(Personnel[Category],A279),salaries_academic[],2,FALSE),"")</f>
        <v/>
      </c>
      <c r="F279" s="195" t="str">
        <f>IFERROR(IF(COUNTIF(INDEX(Personnel[Category],A279),"*- PhD*")&gt;0,IF(INDEX(Personnel[Months],A279)*INDEX(Personnel[FTE],A279)&lt;pers_PhD_min_months,$B$129,""),""),"")</f>
        <v/>
      </c>
      <c r="G279" s="195" t="str">
        <f>IFERROR(IF(COUNTIF(INDEX(Personnel[Category],$A279),"*- PhD*")&gt;0,IF(INDEX(Personnel[Months],$A279)*INDEX(Personnel[FTE],$A279)&gt;pers_PhD_max_months,$B$130,""),""),"")</f>
        <v/>
      </c>
      <c r="H279" s="195" t="str">
        <f>IFERROR(IF(COUNTIF(INDEX(Personnel[Category],A279),"*year*")&gt;0,IF(INDEX(Personnel[Months],A279)*INDEX(Personnel[FTE],A279)&lt;pers_3yPhD_min_months,$B$131,""),""),"")</f>
        <v/>
      </c>
      <c r="I279" s="218" t="str">
        <f>IFERROR(IF(COUNTIF(INDEX(Personnel[Category],A279),"*PDEng*")&gt;0,IF(OR(IFERROR(MATCH("*PhD*",Personnel[Category],0),0)&gt;0,IFERROR(MATCH("*PostDoc*",Personnel[Category],0),0)&gt;0),"",$B$132),""),"")</f>
        <v/>
      </c>
      <c r="J279" s="218" t="str">
        <f>IFERROR(IF(COUNTIF(INDEX(Personnel[Category],A279),"*PDEng*")&gt;0,IF(INDEX(Personnel[Months],A279)*INDEX(Personnel[FTE],A279)&gt;pers_PDEng_max_months,$B$133,""),""),"")</f>
        <v/>
      </c>
      <c r="K279" s="218" t="str">
        <f>IFERROR(IF(COUNTIF(INDEX(Personnel[Category],A279),"*PostDoc*")&gt;0,IF(INDEX(Personnel[Months],A279)*INDEX(Personnel[FTE],A279)&lt;pers_PD_min_months,$B$134,""),""),"")</f>
        <v/>
      </c>
      <c r="L279" s="218" t="str">
        <f>IFERROR(IF(COUNTIF(INDEX(Personnel[Category],A279),"*PostDoc*")&gt;0,IF(INDEX(Personnel[Months],A279)*INDEX(Personnel[FTE],A279)&gt;pers_PD_max_months,$B$135,""),""),"")</f>
        <v/>
      </c>
      <c r="M279" s="218" t="str">
        <f>IFERROR(IF(COUNTIF(INDEX(Personnel[Category],A279),"*Non-scientific*")&gt;0,IF(OR(IFERROR(MATCH("*PhD*",Personnel[Category],0),0)&gt;0,IFERROR(MATCH("*PostDoc*",Personnel[Category],0),0)&gt;0),"",$B$136),""),"")</f>
        <v/>
      </c>
      <c r="N279" s="218" t="str">
        <f>IFERROR(IF(COUNTIF(INDEX(Personnel[Category],A279),"*Non-scientific*")&gt;0,IF(Total_NSP&gt;pers_max_NSP,$B$137,""),""),"")</f>
        <v/>
      </c>
      <c r="O279" s="218" t="str">
        <f>IFERROR(IF(COUNTIF(INDEX(Personnel[Category],A279),"*Non-scientific*")&gt;0,IF(INDEX(Personnel[Months],A279)*INDEX(Personnel[FTE],A279)&lt;pers_NSP_min_months,$B$138,""),""),"")</f>
        <v/>
      </c>
      <c r="P279" s="218" t="str">
        <f>IFERROR(IF(COUNTIF(INDEX(Personnel[Category],A279),"*Non-scientific*")&gt;0,IF(INDEX(Personnel[Months],A279)*INDEX(Personnel[FTE],A279)&gt;pers_NSP_max_months,$B$139,""),""),"")</f>
        <v/>
      </c>
      <c r="Q279" s="218" t="str">
        <f>IFERROR(IF(COUNTIF(INDEX(Personnel[Category],A279),"*Other scientific*")&gt;0,IF(OR(IFERROR(MATCH("*PhD*",Personnel[Category],0),0)&gt;0,IFERROR(MATCH("*PostDoc*",Personnel[Category],0),0)&gt;0),"",$B$140),""),"")</f>
        <v/>
      </c>
      <c r="R279" s="218" t="str">
        <f>IFERROR(IF(COUNTIF(INDEX(Personnel[Category],A279),"*Other scientific*")&gt;0,IF(Total_OSP&gt;pers_max_OSP,$B$141,""),""),"")</f>
        <v/>
      </c>
      <c r="S279" s="218" t="str">
        <f>IFERROR(IF(COUNTIF(INDEX(Personnel[Category],A279),"*Other scientific*")&gt;0,IF(INDEX(Personnel[Months],A279)*INDEX(Personnel[FTE],A279)&lt;pers_OSP_min_months,$B$142,""),""),"")</f>
        <v/>
      </c>
      <c r="T279" s="218" t="str">
        <f>IFERROR(IF(COUNTIF(INDEX(Personnel[Category],A279),"*Other scientific*")&gt;0,IF(INDEX(Personnel[Months],A279)*INDEX(Personnel[FTE],A279)&gt;pers_OSP_max_months,$B$143,""),""),"")</f>
        <v/>
      </c>
      <c r="U279" s="218" t="str">
        <f>IFERROR(IF(COUNTIF(INDEX(Personnel[Category],A279),"*leave*")&gt;0,IF(Total_Research_leave&gt;pers_leave_maxperc*Total_NWO_funding,$B$144,""),""),"")</f>
        <v/>
      </c>
      <c r="V279" s="218" t="str">
        <f>IFERROR(IF(COUNTIF(INDEX(Personnel[Category],A279),"*leave*")&gt;0,IF(Research_leave_FTE_months&gt;pers_leave_maxduration,$B$145,""),""),"")</f>
        <v/>
      </c>
      <c r="W279" s="218" t="str">
        <f>IFERROR(IF(AND(INDEX(Personnel[Costs],A279)=0,INDEX(salaries_academic[[category]:[1]],MATCH(INDEX(Personnel[Category],A279),salaries_academic[category],0),3)=0),$B$148,""),"")</f>
        <v/>
      </c>
      <c r="X279" s="218" t="e">
        <f>IF(AND(organisation_type="yes",INDEX(Personnel[Amount],A279,1)&lt;&gt;"",ISBLANK(INDEX(Personnel[Organisation type],A279,1))),$B$146,"")</f>
        <v>#REF!</v>
      </c>
      <c r="Y279" s="218" t="e">
        <f>IF(AND(organisation_name="yes",INDEX(Personnel[Amount],A279,1)&lt;&gt;"",ISBLANK(INDEX(Personnel[Name organisation],A279,1))),$B$147,"")</f>
        <v>#REF!</v>
      </c>
      <c r="Z279" s="218" t="str">
        <f>IFERROR(IF(AND(INDEX(Personnel[Costs],A279)&gt;0,INDEX(salaries_academic[[category]:[1]],MATCH(INDEX(Personnel[Category],A279),salaries_academic[category],0),3)&gt;0),$B$149,""),"")</f>
        <v/>
      </c>
      <c r="AA279" s="218"/>
    </row>
    <row r="280" spans="1:27" outlineLevel="1" x14ac:dyDescent="0.35">
      <c r="A280" s="195">
        <v>73</v>
      </c>
      <c r="B280" s="195" t="str">
        <f t="array" ref="B280">IFERROR(INDEX(personnel_ac_notes[[#This Row],[Exceeding nr months]:[Costs specified]],1,MATCH(TRUE,LEN(personnel_ac_notes[[#This Row],[Exceeding nr months]:[Costs specified]])&gt;0,0)),"")</f>
        <v/>
      </c>
      <c r="C280" s="195" t="str">
        <f>IFERROR(IF(INDEX(Personnel[Months],A280)&gt;Max_project_duration,$B$128,""),"")</f>
        <v/>
      </c>
      <c r="D280" s="195" t="str">
        <f>IFERROR(IF(AND(LEN(INDEX(Personnel[Category],A280))+LEN(INDEX(Personnel[FTE],A280))+LEN(INDEX(Personnel[Months],A280))&gt;0,LEN(INDEX(Personnel[Category],A280-1))+LEN(INDEX(Personnel[FTE],A280-1))+LEN(INDEX(Personnel[Months],A280-1))=0),$B$127,""),"")</f>
        <v/>
      </c>
      <c r="E280" s="195" t="str">
        <f>IF(AND(NOT(ISBLANK(INDEX(Personnel[Category],A280))),OR(ISBLANK(INDEX(Personnel[FTE],A280)),ISBLANK(INDEX(Personnel[Months],A280)))),VLOOKUP(INDEX(Personnel[Category],A280),salaries_academic[],2,FALSE),"")</f>
        <v/>
      </c>
      <c r="F280" s="195" t="str">
        <f>IFERROR(IF(COUNTIF(INDEX(Personnel[Category],A280),"*- PhD*")&gt;0,IF(INDEX(Personnel[Months],A280)*INDEX(Personnel[FTE],A280)&lt;pers_PhD_min_months,$B$129,""),""),"")</f>
        <v/>
      </c>
      <c r="G280" s="195" t="str">
        <f>IFERROR(IF(COUNTIF(INDEX(Personnel[Category],$A280),"*- PhD*")&gt;0,IF(INDEX(Personnel[Months],$A280)*INDEX(Personnel[FTE],$A280)&gt;pers_PhD_max_months,$B$130,""),""),"")</f>
        <v/>
      </c>
      <c r="H280" s="195" t="str">
        <f>IFERROR(IF(COUNTIF(INDEX(Personnel[Category],A280),"*year*")&gt;0,IF(INDEX(Personnel[Months],A280)*INDEX(Personnel[FTE],A280)&lt;pers_3yPhD_min_months,$B$131,""),""),"")</f>
        <v/>
      </c>
      <c r="I280" s="218" t="str">
        <f>IFERROR(IF(COUNTIF(INDEX(Personnel[Category],A280),"*PDEng*")&gt;0,IF(OR(IFERROR(MATCH("*PhD*",Personnel[Category],0),0)&gt;0,IFERROR(MATCH("*PostDoc*",Personnel[Category],0),0)&gt;0),"",$B$132),""),"")</f>
        <v/>
      </c>
      <c r="J280" s="218" t="str">
        <f>IFERROR(IF(COUNTIF(INDEX(Personnel[Category],A280),"*PDEng*")&gt;0,IF(INDEX(Personnel[Months],A280)*INDEX(Personnel[FTE],A280)&gt;pers_PDEng_max_months,$B$133,""),""),"")</f>
        <v/>
      </c>
      <c r="K280" s="218" t="str">
        <f>IFERROR(IF(COUNTIF(INDEX(Personnel[Category],A280),"*PostDoc*")&gt;0,IF(INDEX(Personnel[Months],A280)*INDEX(Personnel[FTE],A280)&lt;pers_PD_min_months,$B$134,""),""),"")</f>
        <v/>
      </c>
      <c r="L280" s="218" t="str">
        <f>IFERROR(IF(COUNTIF(INDEX(Personnel[Category],A280),"*PostDoc*")&gt;0,IF(INDEX(Personnel[Months],A280)*INDEX(Personnel[FTE],A280)&gt;pers_PD_max_months,$B$135,""),""),"")</f>
        <v/>
      </c>
      <c r="M280" s="218" t="str">
        <f>IFERROR(IF(COUNTIF(INDEX(Personnel[Category],A280),"*Non-scientific*")&gt;0,IF(OR(IFERROR(MATCH("*PhD*",Personnel[Category],0),0)&gt;0,IFERROR(MATCH("*PostDoc*",Personnel[Category],0),0)&gt;0),"",$B$136),""),"")</f>
        <v/>
      </c>
      <c r="N280" s="218" t="str">
        <f>IFERROR(IF(COUNTIF(INDEX(Personnel[Category],A280),"*Non-scientific*")&gt;0,IF(Total_NSP&gt;pers_max_NSP,$B$137,""),""),"")</f>
        <v/>
      </c>
      <c r="O280" s="218" t="str">
        <f>IFERROR(IF(COUNTIF(INDEX(Personnel[Category],A280),"*Non-scientific*")&gt;0,IF(INDEX(Personnel[Months],A280)*INDEX(Personnel[FTE],A280)&lt;pers_NSP_min_months,$B$138,""),""),"")</f>
        <v/>
      </c>
      <c r="P280" s="218" t="str">
        <f>IFERROR(IF(COUNTIF(INDEX(Personnel[Category],A280),"*Non-scientific*")&gt;0,IF(INDEX(Personnel[Months],A280)*INDEX(Personnel[FTE],A280)&gt;pers_NSP_max_months,$B$139,""),""),"")</f>
        <v/>
      </c>
      <c r="Q280" s="218" t="str">
        <f>IFERROR(IF(COUNTIF(INDEX(Personnel[Category],A280),"*Other scientific*")&gt;0,IF(OR(IFERROR(MATCH("*PhD*",Personnel[Category],0),0)&gt;0,IFERROR(MATCH("*PostDoc*",Personnel[Category],0),0)&gt;0),"",$B$140),""),"")</f>
        <v/>
      </c>
      <c r="R280" s="218" t="str">
        <f>IFERROR(IF(COUNTIF(INDEX(Personnel[Category],A280),"*Other scientific*")&gt;0,IF(Total_OSP&gt;pers_max_OSP,$B$141,""),""),"")</f>
        <v/>
      </c>
      <c r="S280" s="218" t="str">
        <f>IFERROR(IF(COUNTIF(INDEX(Personnel[Category],A280),"*Other scientific*")&gt;0,IF(INDEX(Personnel[Months],A280)*INDEX(Personnel[FTE],A280)&lt;pers_OSP_min_months,$B$142,""),""),"")</f>
        <v/>
      </c>
      <c r="T280" s="218" t="str">
        <f>IFERROR(IF(COUNTIF(INDEX(Personnel[Category],A280),"*Other scientific*")&gt;0,IF(INDEX(Personnel[Months],A280)*INDEX(Personnel[FTE],A280)&gt;pers_OSP_max_months,$B$143,""),""),"")</f>
        <v/>
      </c>
      <c r="U280" s="218" t="str">
        <f>IFERROR(IF(COUNTIF(INDEX(Personnel[Category],A280),"*leave*")&gt;0,IF(Total_Research_leave&gt;pers_leave_maxperc*Total_NWO_funding,$B$144,""),""),"")</f>
        <v/>
      </c>
      <c r="V280" s="218" t="str">
        <f>IFERROR(IF(COUNTIF(INDEX(Personnel[Category],A280),"*leave*")&gt;0,IF(Research_leave_FTE_months&gt;pers_leave_maxduration,$B$145,""),""),"")</f>
        <v/>
      </c>
      <c r="W280" s="218" t="str">
        <f>IFERROR(IF(AND(INDEX(Personnel[Costs],A280)=0,INDEX(salaries_academic[[category]:[1]],MATCH(INDEX(Personnel[Category],A280),salaries_academic[category],0),3)=0),$B$148,""),"")</f>
        <v/>
      </c>
      <c r="X280" s="218" t="e">
        <f>IF(AND(organisation_type="yes",INDEX(Personnel[Amount],A280,1)&lt;&gt;"",ISBLANK(INDEX(Personnel[Organisation type],A280,1))),$B$146,"")</f>
        <v>#REF!</v>
      </c>
      <c r="Y280" s="218" t="e">
        <f>IF(AND(organisation_name="yes",INDEX(Personnel[Amount],A280,1)&lt;&gt;"",ISBLANK(INDEX(Personnel[Name organisation],A280,1))),$B$147,"")</f>
        <v>#REF!</v>
      </c>
      <c r="Z280" s="218" t="str">
        <f>IFERROR(IF(AND(INDEX(Personnel[Costs],A280)&gt;0,INDEX(salaries_academic[[category]:[1]],MATCH(INDEX(Personnel[Category],A280),salaries_academic[category],0),3)&gt;0),$B$149,""),"")</f>
        <v/>
      </c>
      <c r="AA280" s="218"/>
    </row>
    <row r="281" spans="1:27" outlineLevel="1" x14ac:dyDescent="0.35">
      <c r="A281" s="195">
        <v>74</v>
      </c>
      <c r="B281" s="195" t="str">
        <f t="array" ref="B281">IFERROR(INDEX(personnel_ac_notes[[#This Row],[Exceeding nr months]:[Costs specified]],1,MATCH(TRUE,LEN(personnel_ac_notes[[#This Row],[Exceeding nr months]:[Costs specified]])&gt;0,0)),"")</f>
        <v/>
      </c>
      <c r="C281" s="195" t="str">
        <f>IFERROR(IF(INDEX(Personnel[Months],A281)&gt;Max_project_duration,$B$128,""),"")</f>
        <v/>
      </c>
      <c r="D281" s="195" t="str">
        <f>IFERROR(IF(AND(LEN(INDEX(Personnel[Category],A281))+LEN(INDEX(Personnel[FTE],A281))+LEN(INDEX(Personnel[Months],A281))&gt;0,LEN(INDEX(Personnel[Category],A281-1))+LEN(INDEX(Personnel[FTE],A281-1))+LEN(INDEX(Personnel[Months],A281-1))=0),$B$127,""),"")</f>
        <v/>
      </c>
      <c r="E281" s="195" t="str">
        <f>IF(AND(NOT(ISBLANK(INDEX(Personnel[Category],A281))),OR(ISBLANK(INDEX(Personnel[FTE],A281)),ISBLANK(INDEX(Personnel[Months],A281)))),VLOOKUP(INDEX(Personnel[Category],A281),salaries_academic[],2,FALSE),"")</f>
        <v/>
      </c>
      <c r="F281" s="195" t="str">
        <f>IFERROR(IF(COUNTIF(INDEX(Personnel[Category],A281),"*- PhD*")&gt;0,IF(INDEX(Personnel[Months],A281)*INDEX(Personnel[FTE],A281)&lt;pers_PhD_min_months,$B$129,""),""),"")</f>
        <v/>
      </c>
      <c r="G281" s="195" t="str">
        <f>IFERROR(IF(COUNTIF(INDEX(Personnel[Category],$A281),"*- PhD*")&gt;0,IF(INDEX(Personnel[Months],$A281)*INDEX(Personnel[FTE],$A281)&gt;pers_PhD_max_months,$B$130,""),""),"")</f>
        <v/>
      </c>
      <c r="H281" s="195" t="str">
        <f>IFERROR(IF(COUNTIF(INDEX(Personnel[Category],A281),"*year*")&gt;0,IF(INDEX(Personnel[Months],A281)*INDEX(Personnel[FTE],A281)&lt;pers_3yPhD_min_months,$B$131,""),""),"")</f>
        <v/>
      </c>
      <c r="I281" s="218" t="str">
        <f>IFERROR(IF(COUNTIF(INDEX(Personnel[Category],A281),"*PDEng*")&gt;0,IF(OR(IFERROR(MATCH("*PhD*",Personnel[Category],0),0)&gt;0,IFERROR(MATCH("*PostDoc*",Personnel[Category],0),0)&gt;0),"",$B$132),""),"")</f>
        <v/>
      </c>
      <c r="J281" s="218" t="str">
        <f>IFERROR(IF(COUNTIF(INDEX(Personnel[Category],A281),"*PDEng*")&gt;0,IF(INDEX(Personnel[Months],A281)*INDEX(Personnel[FTE],A281)&gt;pers_PDEng_max_months,$B$133,""),""),"")</f>
        <v/>
      </c>
      <c r="K281" s="218" t="str">
        <f>IFERROR(IF(COUNTIF(INDEX(Personnel[Category],A281),"*PostDoc*")&gt;0,IF(INDEX(Personnel[Months],A281)*INDEX(Personnel[FTE],A281)&lt;pers_PD_min_months,$B$134,""),""),"")</f>
        <v/>
      </c>
      <c r="L281" s="218" t="str">
        <f>IFERROR(IF(COUNTIF(INDEX(Personnel[Category],A281),"*PostDoc*")&gt;0,IF(INDEX(Personnel[Months],A281)*INDEX(Personnel[FTE],A281)&gt;pers_PD_max_months,$B$135,""),""),"")</f>
        <v/>
      </c>
      <c r="M281" s="218" t="str">
        <f>IFERROR(IF(COUNTIF(INDEX(Personnel[Category],A281),"*Non-scientific*")&gt;0,IF(OR(IFERROR(MATCH("*PhD*",Personnel[Category],0),0)&gt;0,IFERROR(MATCH("*PostDoc*",Personnel[Category],0),0)&gt;0),"",$B$136),""),"")</f>
        <v/>
      </c>
      <c r="N281" s="218" t="str">
        <f>IFERROR(IF(COUNTIF(INDEX(Personnel[Category],A281),"*Non-scientific*")&gt;0,IF(Total_NSP&gt;pers_max_NSP,$B$137,""),""),"")</f>
        <v/>
      </c>
      <c r="O281" s="218" t="str">
        <f>IFERROR(IF(COUNTIF(INDEX(Personnel[Category],A281),"*Non-scientific*")&gt;0,IF(INDEX(Personnel[Months],A281)*INDEX(Personnel[FTE],A281)&lt;pers_NSP_min_months,$B$138,""),""),"")</f>
        <v/>
      </c>
      <c r="P281" s="218" t="str">
        <f>IFERROR(IF(COUNTIF(INDEX(Personnel[Category],A281),"*Non-scientific*")&gt;0,IF(INDEX(Personnel[Months],A281)*INDEX(Personnel[FTE],A281)&gt;pers_NSP_max_months,$B$139,""),""),"")</f>
        <v/>
      </c>
      <c r="Q281" s="218" t="str">
        <f>IFERROR(IF(COUNTIF(INDEX(Personnel[Category],A281),"*Other scientific*")&gt;0,IF(OR(IFERROR(MATCH("*PhD*",Personnel[Category],0),0)&gt;0,IFERROR(MATCH("*PostDoc*",Personnel[Category],0),0)&gt;0),"",$B$140),""),"")</f>
        <v/>
      </c>
      <c r="R281" s="218" t="str">
        <f>IFERROR(IF(COUNTIF(INDEX(Personnel[Category],A281),"*Other scientific*")&gt;0,IF(Total_OSP&gt;pers_max_OSP,$B$141,""),""),"")</f>
        <v/>
      </c>
      <c r="S281" s="218" t="str">
        <f>IFERROR(IF(COUNTIF(INDEX(Personnel[Category],A281),"*Other scientific*")&gt;0,IF(INDEX(Personnel[Months],A281)*INDEX(Personnel[FTE],A281)&lt;pers_OSP_min_months,$B$142,""),""),"")</f>
        <v/>
      </c>
      <c r="T281" s="218" t="str">
        <f>IFERROR(IF(COUNTIF(INDEX(Personnel[Category],A281),"*Other scientific*")&gt;0,IF(INDEX(Personnel[Months],A281)*INDEX(Personnel[FTE],A281)&gt;pers_OSP_max_months,$B$143,""),""),"")</f>
        <v/>
      </c>
      <c r="U281" s="218" t="str">
        <f>IFERROR(IF(COUNTIF(INDEX(Personnel[Category],A281),"*leave*")&gt;0,IF(Total_Research_leave&gt;pers_leave_maxperc*Total_NWO_funding,$B$144,""),""),"")</f>
        <v/>
      </c>
      <c r="V281" s="218" t="str">
        <f>IFERROR(IF(COUNTIF(INDEX(Personnel[Category],A281),"*leave*")&gt;0,IF(Research_leave_FTE_months&gt;pers_leave_maxduration,$B$145,""),""),"")</f>
        <v/>
      </c>
      <c r="W281" s="218" t="str">
        <f>IFERROR(IF(AND(INDEX(Personnel[Costs],A281)=0,INDEX(salaries_academic[[category]:[1]],MATCH(INDEX(Personnel[Category],A281),salaries_academic[category],0),3)=0),$B$148,""),"")</f>
        <v/>
      </c>
      <c r="X281" s="218" t="e">
        <f>IF(AND(organisation_type="yes",INDEX(Personnel[Amount],A281,1)&lt;&gt;"",ISBLANK(INDEX(Personnel[Organisation type],A281,1))),$B$146,"")</f>
        <v>#REF!</v>
      </c>
      <c r="Y281" s="218" t="e">
        <f>IF(AND(organisation_name="yes",INDEX(Personnel[Amount],A281,1)&lt;&gt;"",ISBLANK(INDEX(Personnel[Name organisation],A281,1))),$B$147,"")</f>
        <v>#REF!</v>
      </c>
      <c r="Z281" s="218" t="str">
        <f>IFERROR(IF(AND(INDEX(Personnel[Costs],A281)&gt;0,INDEX(salaries_academic[[category]:[1]],MATCH(INDEX(Personnel[Category],A281),salaries_academic[category],0),3)&gt;0),$B$149,""),"")</f>
        <v/>
      </c>
      <c r="AA281" s="218"/>
    </row>
    <row r="282" spans="1:27" outlineLevel="1" x14ac:dyDescent="0.35">
      <c r="A282" s="195">
        <v>75</v>
      </c>
      <c r="B282" s="195" t="str">
        <f t="array" ref="B282">IFERROR(INDEX(personnel_ac_notes[[#This Row],[Exceeding nr months]:[Costs specified]],1,MATCH(TRUE,LEN(personnel_ac_notes[[#This Row],[Exceeding nr months]:[Costs specified]])&gt;0,0)),"")</f>
        <v/>
      </c>
      <c r="C282" s="195" t="str">
        <f>IFERROR(IF(INDEX(Personnel[Months],A282)&gt;Max_project_duration,$B$128,""),"")</f>
        <v/>
      </c>
      <c r="D282" s="195" t="str">
        <f>IFERROR(IF(AND(LEN(INDEX(Personnel[Category],A282))+LEN(INDEX(Personnel[FTE],A282))+LEN(INDEX(Personnel[Months],A282))&gt;0,LEN(INDEX(Personnel[Category],A282-1))+LEN(INDEX(Personnel[FTE],A282-1))+LEN(INDEX(Personnel[Months],A282-1))=0),$B$127,""),"")</f>
        <v/>
      </c>
      <c r="E282" s="195" t="str">
        <f>IF(AND(NOT(ISBLANK(INDEX(Personnel[Category],A282))),OR(ISBLANK(INDEX(Personnel[FTE],A282)),ISBLANK(INDEX(Personnel[Months],A282)))),VLOOKUP(INDEX(Personnel[Category],A282),salaries_academic[],2,FALSE),"")</f>
        <v/>
      </c>
      <c r="F282" s="195" t="str">
        <f>IFERROR(IF(COUNTIF(INDEX(Personnel[Category],A282),"*- PhD*")&gt;0,IF(INDEX(Personnel[Months],A282)*INDEX(Personnel[FTE],A282)&lt;pers_PhD_min_months,$B$129,""),""),"")</f>
        <v/>
      </c>
      <c r="G282" s="195" t="str">
        <f>IFERROR(IF(COUNTIF(INDEX(Personnel[Category],$A282),"*- PhD*")&gt;0,IF(INDEX(Personnel[Months],$A282)*INDEX(Personnel[FTE],$A282)&gt;pers_PhD_max_months,$B$130,""),""),"")</f>
        <v/>
      </c>
      <c r="H282" s="195" t="str">
        <f>IFERROR(IF(COUNTIF(INDEX(Personnel[Category],A282),"*year*")&gt;0,IF(INDEX(Personnel[Months],A282)*INDEX(Personnel[FTE],A282)&lt;pers_3yPhD_min_months,$B$131,""),""),"")</f>
        <v/>
      </c>
      <c r="I282" s="218" t="str">
        <f>IFERROR(IF(COUNTIF(INDEX(Personnel[Category],A282),"*PDEng*")&gt;0,IF(OR(IFERROR(MATCH("*PhD*",Personnel[Category],0),0)&gt;0,IFERROR(MATCH("*PostDoc*",Personnel[Category],0),0)&gt;0),"",$B$132),""),"")</f>
        <v/>
      </c>
      <c r="J282" s="218" t="str">
        <f>IFERROR(IF(COUNTIF(INDEX(Personnel[Category],A282),"*PDEng*")&gt;0,IF(INDEX(Personnel[Months],A282)*INDEX(Personnel[FTE],A282)&gt;pers_PDEng_max_months,$B$133,""),""),"")</f>
        <v/>
      </c>
      <c r="K282" s="218" t="str">
        <f>IFERROR(IF(COUNTIF(INDEX(Personnel[Category],A282),"*PostDoc*")&gt;0,IF(INDEX(Personnel[Months],A282)*INDEX(Personnel[FTE],A282)&lt;pers_PD_min_months,$B$134,""),""),"")</f>
        <v/>
      </c>
      <c r="L282" s="218" t="str">
        <f>IFERROR(IF(COUNTIF(INDEX(Personnel[Category],A282),"*PostDoc*")&gt;0,IF(INDEX(Personnel[Months],A282)*INDEX(Personnel[FTE],A282)&gt;pers_PD_max_months,$B$135,""),""),"")</f>
        <v/>
      </c>
      <c r="M282" s="218" t="str">
        <f>IFERROR(IF(COUNTIF(INDEX(Personnel[Category],A282),"*Non-scientific*")&gt;0,IF(OR(IFERROR(MATCH("*PhD*",Personnel[Category],0),0)&gt;0,IFERROR(MATCH("*PostDoc*",Personnel[Category],0),0)&gt;0),"",$B$136),""),"")</f>
        <v/>
      </c>
      <c r="N282" s="218" t="str">
        <f>IFERROR(IF(COUNTIF(INDEX(Personnel[Category],A282),"*Non-scientific*")&gt;0,IF(Total_NSP&gt;pers_max_NSP,$B$137,""),""),"")</f>
        <v/>
      </c>
      <c r="O282" s="218" t="str">
        <f>IFERROR(IF(COUNTIF(INDEX(Personnel[Category],A282),"*Non-scientific*")&gt;0,IF(INDEX(Personnel[Months],A282)*INDEX(Personnel[FTE],A282)&lt;pers_NSP_min_months,$B$138,""),""),"")</f>
        <v/>
      </c>
      <c r="P282" s="218" t="str">
        <f>IFERROR(IF(COUNTIF(INDEX(Personnel[Category],A282),"*Non-scientific*")&gt;0,IF(INDEX(Personnel[Months],A282)*INDEX(Personnel[FTE],A282)&gt;pers_NSP_max_months,$B$139,""),""),"")</f>
        <v/>
      </c>
      <c r="Q282" s="218" t="str">
        <f>IFERROR(IF(COUNTIF(INDEX(Personnel[Category],A282),"*Other scientific*")&gt;0,IF(OR(IFERROR(MATCH("*PhD*",Personnel[Category],0),0)&gt;0,IFERROR(MATCH("*PostDoc*",Personnel[Category],0),0)&gt;0),"",$B$140),""),"")</f>
        <v/>
      </c>
      <c r="R282" s="218" t="str">
        <f>IFERROR(IF(COUNTIF(INDEX(Personnel[Category],A282),"*Other scientific*")&gt;0,IF(Total_OSP&gt;pers_max_OSP,$B$141,""),""),"")</f>
        <v/>
      </c>
      <c r="S282" s="218" t="str">
        <f>IFERROR(IF(COUNTIF(INDEX(Personnel[Category],A282),"*Other scientific*")&gt;0,IF(INDEX(Personnel[Months],A282)*INDEX(Personnel[FTE],A282)&lt;pers_OSP_min_months,$B$142,""),""),"")</f>
        <v/>
      </c>
      <c r="T282" s="218" t="str">
        <f>IFERROR(IF(COUNTIF(INDEX(Personnel[Category],A282),"*Other scientific*")&gt;0,IF(INDEX(Personnel[Months],A282)*INDEX(Personnel[FTE],A282)&gt;pers_OSP_max_months,$B$143,""),""),"")</f>
        <v/>
      </c>
      <c r="U282" s="218" t="str">
        <f>IFERROR(IF(COUNTIF(INDEX(Personnel[Category],A282),"*leave*")&gt;0,IF(Total_Research_leave&gt;pers_leave_maxperc*Total_NWO_funding,$B$144,""),""),"")</f>
        <v/>
      </c>
      <c r="V282" s="218" t="str">
        <f>IFERROR(IF(COUNTIF(INDEX(Personnel[Category],A282),"*leave*")&gt;0,IF(Research_leave_FTE_months&gt;pers_leave_maxduration,$B$145,""),""),"")</f>
        <v/>
      </c>
      <c r="W282" s="218" t="str">
        <f>IFERROR(IF(AND(INDEX(Personnel[Costs],A282)=0,INDEX(salaries_academic[[category]:[1]],MATCH(INDEX(Personnel[Category],A282),salaries_academic[category],0),3)=0),$B$148,""),"")</f>
        <v/>
      </c>
      <c r="X282" s="218" t="e">
        <f>IF(AND(organisation_type="yes",INDEX(Personnel[Amount],A282,1)&lt;&gt;"",ISBLANK(INDEX(Personnel[Organisation type],A282,1))),$B$146,"")</f>
        <v>#REF!</v>
      </c>
      <c r="Y282" s="218" t="e">
        <f>IF(AND(organisation_name="yes",INDEX(Personnel[Amount],A282,1)&lt;&gt;"",ISBLANK(INDEX(Personnel[Name organisation],A282,1))),$B$147,"")</f>
        <v>#REF!</v>
      </c>
      <c r="Z282" s="218" t="str">
        <f>IFERROR(IF(AND(INDEX(Personnel[Costs],A282)&gt;0,INDEX(salaries_academic[[category]:[1]],MATCH(INDEX(Personnel[Category],A282),salaries_academic[category],0),3)&gt;0),$B$149,""),"")</f>
        <v/>
      </c>
      <c r="AA282" s="218"/>
    </row>
    <row r="283" spans="1:27" outlineLevel="1" x14ac:dyDescent="0.35">
      <c r="A283" s="195">
        <v>76</v>
      </c>
      <c r="B283" s="195" t="str">
        <f t="array" ref="B283">IFERROR(INDEX(personnel_ac_notes[[#This Row],[Exceeding nr months]:[Costs specified]],1,MATCH(TRUE,LEN(personnel_ac_notes[[#This Row],[Exceeding nr months]:[Costs specified]])&gt;0,0)),"")</f>
        <v/>
      </c>
      <c r="C283" s="195" t="str">
        <f>IFERROR(IF(INDEX(Personnel[Months],A283)&gt;Max_project_duration,$B$128,""),"")</f>
        <v/>
      </c>
      <c r="D283" s="195" t="str">
        <f>IFERROR(IF(AND(LEN(INDEX(Personnel[Category],A283))+LEN(INDEX(Personnel[FTE],A283))+LEN(INDEX(Personnel[Months],A283))&gt;0,LEN(INDEX(Personnel[Category],A283-1))+LEN(INDEX(Personnel[FTE],A283-1))+LEN(INDEX(Personnel[Months],A283-1))=0),$B$127,""),"")</f>
        <v/>
      </c>
      <c r="E283" s="195" t="str">
        <f>IF(AND(NOT(ISBLANK(INDEX(Personnel[Category],A283))),OR(ISBLANK(INDEX(Personnel[FTE],A283)),ISBLANK(INDEX(Personnel[Months],A283)))),VLOOKUP(INDEX(Personnel[Category],A283),salaries_academic[],2,FALSE),"")</f>
        <v/>
      </c>
      <c r="F283" s="195" t="str">
        <f>IFERROR(IF(COUNTIF(INDEX(Personnel[Category],A283),"*- PhD*")&gt;0,IF(INDEX(Personnel[Months],A283)*INDEX(Personnel[FTE],A283)&lt;pers_PhD_min_months,$B$129,""),""),"")</f>
        <v/>
      </c>
      <c r="G283" s="195" t="str">
        <f>IFERROR(IF(COUNTIF(INDEX(Personnel[Category],$A283),"*- PhD*")&gt;0,IF(INDEX(Personnel[Months],$A283)*INDEX(Personnel[FTE],$A283)&gt;pers_PhD_max_months,$B$130,""),""),"")</f>
        <v/>
      </c>
      <c r="H283" s="195" t="str">
        <f>IFERROR(IF(COUNTIF(INDEX(Personnel[Category],A283),"*year*")&gt;0,IF(INDEX(Personnel[Months],A283)*INDEX(Personnel[FTE],A283)&lt;pers_3yPhD_min_months,$B$131,""),""),"")</f>
        <v/>
      </c>
      <c r="I283" s="218" t="str">
        <f>IFERROR(IF(COUNTIF(INDEX(Personnel[Category],A283),"*PDEng*")&gt;0,IF(OR(IFERROR(MATCH("*PhD*",Personnel[Category],0),0)&gt;0,IFERROR(MATCH("*PostDoc*",Personnel[Category],0),0)&gt;0),"",$B$132),""),"")</f>
        <v/>
      </c>
      <c r="J283" s="218" t="str">
        <f>IFERROR(IF(COUNTIF(INDEX(Personnel[Category],A283),"*PDEng*")&gt;0,IF(INDEX(Personnel[Months],A283)*INDEX(Personnel[FTE],A283)&gt;pers_PDEng_max_months,$B$133,""),""),"")</f>
        <v/>
      </c>
      <c r="K283" s="218" t="str">
        <f>IFERROR(IF(COUNTIF(INDEX(Personnel[Category],A283),"*PostDoc*")&gt;0,IF(INDEX(Personnel[Months],A283)*INDEX(Personnel[FTE],A283)&lt;pers_PD_min_months,$B$134,""),""),"")</f>
        <v/>
      </c>
      <c r="L283" s="218" t="str">
        <f>IFERROR(IF(COUNTIF(INDEX(Personnel[Category],A283),"*PostDoc*")&gt;0,IF(INDEX(Personnel[Months],A283)*INDEX(Personnel[FTE],A283)&gt;pers_PD_max_months,$B$135,""),""),"")</f>
        <v/>
      </c>
      <c r="M283" s="218" t="str">
        <f>IFERROR(IF(COUNTIF(INDEX(Personnel[Category],A283),"*Non-scientific*")&gt;0,IF(OR(IFERROR(MATCH("*PhD*",Personnel[Category],0),0)&gt;0,IFERROR(MATCH("*PostDoc*",Personnel[Category],0),0)&gt;0),"",$B$136),""),"")</f>
        <v/>
      </c>
      <c r="N283" s="218" t="str">
        <f>IFERROR(IF(COUNTIF(INDEX(Personnel[Category],A283),"*Non-scientific*")&gt;0,IF(Total_NSP&gt;pers_max_NSP,$B$137,""),""),"")</f>
        <v/>
      </c>
      <c r="O283" s="218" t="str">
        <f>IFERROR(IF(COUNTIF(INDEX(Personnel[Category],A283),"*Non-scientific*")&gt;0,IF(INDEX(Personnel[Months],A283)*INDEX(Personnel[FTE],A283)&lt;pers_NSP_min_months,$B$138,""),""),"")</f>
        <v/>
      </c>
      <c r="P283" s="218" t="str">
        <f>IFERROR(IF(COUNTIF(INDEX(Personnel[Category],A283),"*Non-scientific*")&gt;0,IF(INDEX(Personnel[Months],A283)*INDEX(Personnel[FTE],A283)&gt;pers_NSP_max_months,$B$139,""),""),"")</f>
        <v/>
      </c>
      <c r="Q283" s="218" t="str">
        <f>IFERROR(IF(COUNTIF(INDEX(Personnel[Category],A283),"*Other scientific*")&gt;0,IF(OR(IFERROR(MATCH("*PhD*",Personnel[Category],0),0)&gt;0,IFERROR(MATCH("*PostDoc*",Personnel[Category],0),0)&gt;0),"",$B$140),""),"")</f>
        <v/>
      </c>
      <c r="R283" s="218" t="str">
        <f>IFERROR(IF(COUNTIF(INDEX(Personnel[Category],A283),"*Other scientific*")&gt;0,IF(Total_OSP&gt;pers_max_OSP,$B$141,""),""),"")</f>
        <v/>
      </c>
      <c r="S283" s="218" t="str">
        <f>IFERROR(IF(COUNTIF(INDEX(Personnel[Category],A283),"*Other scientific*")&gt;0,IF(INDEX(Personnel[Months],A283)*INDEX(Personnel[FTE],A283)&lt;pers_OSP_min_months,$B$142,""),""),"")</f>
        <v/>
      </c>
      <c r="T283" s="218" t="str">
        <f>IFERROR(IF(COUNTIF(INDEX(Personnel[Category],A283),"*Other scientific*")&gt;0,IF(INDEX(Personnel[Months],A283)*INDEX(Personnel[FTE],A283)&gt;pers_OSP_max_months,$B$143,""),""),"")</f>
        <v/>
      </c>
      <c r="U283" s="218" t="str">
        <f>IFERROR(IF(COUNTIF(INDEX(Personnel[Category],A283),"*leave*")&gt;0,IF(Total_Research_leave&gt;pers_leave_maxperc*Total_NWO_funding,$B$144,""),""),"")</f>
        <v/>
      </c>
      <c r="V283" s="218" t="str">
        <f>IFERROR(IF(COUNTIF(INDEX(Personnel[Category],A283),"*leave*")&gt;0,IF(Research_leave_FTE_months&gt;pers_leave_maxduration,$B$145,""),""),"")</f>
        <v/>
      </c>
      <c r="W283" s="218" t="str">
        <f>IFERROR(IF(AND(INDEX(Personnel[Costs],A283)=0,INDEX(salaries_academic[[category]:[1]],MATCH(INDEX(Personnel[Category],A283),salaries_academic[category],0),3)=0),$B$148,""),"")</f>
        <v/>
      </c>
      <c r="X283" s="218" t="e">
        <f>IF(AND(organisation_type="yes",INDEX(Personnel[Amount],A283,1)&lt;&gt;"",ISBLANK(INDEX(Personnel[Organisation type],A283,1))),$B$146,"")</f>
        <v>#REF!</v>
      </c>
      <c r="Y283" s="218" t="e">
        <f>IF(AND(organisation_name="yes",INDEX(Personnel[Amount],A283,1)&lt;&gt;"",ISBLANK(INDEX(Personnel[Name organisation],A283,1))),$B$147,"")</f>
        <v>#REF!</v>
      </c>
      <c r="Z283" s="218" t="str">
        <f>IFERROR(IF(AND(INDEX(Personnel[Costs],A283)&gt;0,INDEX(salaries_academic[[category]:[1]],MATCH(INDEX(Personnel[Category],A283),salaries_academic[category],0),3)&gt;0),$B$149,""),"")</f>
        <v/>
      </c>
      <c r="AA283" s="218"/>
    </row>
    <row r="284" spans="1:27" outlineLevel="1" x14ac:dyDescent="0.35">
      <c r="A284" s="195">
        <v>77</v>
      </c>
      <c r="B284" s="195" t="str">
        <f t="array" ref="B284">IFERROR(INDEX(personnel_ac_notes[[#This Row],[Exceeding nr months]:[Costs specified]],1,MATCH(TRUE,LEN(personnel_ac_notes[[#This Row],[Exceeding nr months]:[Costs specified]])&gt;0,0)),"")</f>
        <v/>
      </c>
      <c r="C284" s="195" t="str">
        <f>IFERROR(IF(INDEX(Personnel[Months],A284)&gt;Max_project_duration,$B$128,""),"")</f>
        <v/>
      </c>
      <c r="D284" s="195" t="str">
        <f>IFERROR(IF(AND(LEN(INDEX(Personnel[Category],A284))+LEN(INDEX(Personnel[FTE],A284))+LEN(INDEX(Personnel[Months],A284))&gt;0,LEN(INDEX(Personnel[Category],A284-1))+LEN(INDEX(Personnel[FTE],A284-1))+LEN(INDEX(Personnel[Months],A284-1))=0),$B$127,""),"")</f>
        <v/>
      </c>
      <c r="E284" s="195" t="str">
        <f>IF(AND(NOT(ISBLANK(INDEX(Personnel[Category],A284))),OR(ISBLANK(INDEX(Personnel[FTE],A284)),ISBLANK(INDEX(Personnel[Months],A284)))),VLOOKUP(INDEX(Personnel[Category],A284),salaries_academic[],2,FALSE),"")</f>
        <v/>
      </c>
      <c r="F284" s="195" t="str">
        <f>IFERROR(IF(COUNTIF(INDEX(Personnel[Category],A284),"*- PhD*")&gt;0,IF(INDEX(Personnel[Months],A284)*INDEX(Personnel[FTE],A284)&lt;pers_PhD_min_months,$B$129,""),""),"")</f>
        <v/>
      </c>
      <c r="G284" s="195" t="str">
        <f>IFERROR(IF(COUNTIF(INDEX(Personnel[Category],$A284),"*- PhD*")&gt;0,IF(INDEX(Personnel[Months],$A284)*INDEX(Personnel[FTE],$A284)&gt;pers_PhD_max_months,$B$130,""),""),"")</f>
        <v/>
      </c>
      <c r="H284" s="195" t="str">
        <f>IFERROR(IF(COUNTIF(INDEX(Personnel[Category],A284),"*year*")&gt;0,IF(INDEX(Personnel[Months],A284)*INDEX(Personnel[FTE],A284)&lt;pers_3yPhD_min_months,$B$131,""),""),"")</f>
        <v/>
      </c>
      <c r="I284" s="218" t="str">
        <f>IFERROR(IF(COUNTIF(INDEX(Personnel[Category],A284),"*PDEng*")&gt;0,IF(OR(IFERROR(MATCH("*PhD*",Personnel[Category],0),0)&gt;0,IFERROR(MATCH("*PostDoc*",Personnel[Category],0),0)&gt;0),"",$B$132),""),"")</f>
        <v/>
      </c>
      <c r="J284" s="218" t="str">
        <f>IFERROR(IF(COUNTIF(INDEX(Personnel[Category],A284),"*PDEng*")&gt;0,IF(INDEX(Personnel[Months],A284)*INDEX(Personnel[FTE],A284)&gt;pers_PDEng_max_months,$B$133,""),""),"")</f>
        <v/>
      </c>
      <c r="K284" s="218" t="str">
        <f>IFERROR(IF(COUNTIF(INDEX(Personnel[Category],A284),"*PostDoc*")&gt;0,IF(INDEX(Personnel[Months],A284)*INDEX(Personnel[FTE],A284)&lt;pers_PD_min_months,$B$134,""),""),"")</f>
        <v/>
      </c>
      <c r="L284" s="218" t="str">
        <f>IFERROR(IF(COUNTIF(INDEX(Personnel[Category],A284),"*PostDoc*")&gt;0,IF(INDEX(Personnel[Months],A284)*INDEX(Personnel[FTE],A284)&gt;pers_PD_max_months,$B$135,""),""),"")</f>
        <v/>
      </c>
      <c r="M284" s="218" t="str">
        <f>IFERROR(IF(COUNTIF(INDEX(Personnel[Category],A284),"*Non-scientific*")&gt;0,IF(OR(IFERROR(MATCH("*PhD*",Personnel[Category],0),0)&gt;0,IFERROR(MATCH("*PostDoc*",Personnel[Category],0),0)&gt;0),"",$B$136),""),"")</f>
        <v/>
      </c>
      <c r="N284" s="218" t="str">
        <f>IFERROR(IF(COUNTIF(INDEX(Personnel[Category],A284),"*Non-scientific*")&gt;0,IF(Total_NSP&gt;pers_max_NSP,$B$137,""),""),"")</f>
        <v/>
      </c>
      <c r="O284" s="218" t="str">
        <f>IFERROR(IF(COUNTIF(INDEX(Personnel[Category],A284),"*Non-scientific*")&gt;0,IF(INDEX(Personnel[Months],A284)*INDEX(Personnel[FTE],A284)&lt;pers_NSP_min_months,$B$138,""),""),"")</f>
        <v/>
      </c>
      <c r="P284" s="218" t="str">
        <f>IFERROR(IF(COUNTIF(INDEX(Personnel[Category],A284),"*Non-scientific*")&gt;0,IF(INDEX(Personnel[Months],A284)*INDEX(Personnel[FTE],A284)&gt;pers_NSP_max_months,$B$139,""),""),"")</f>
        <v/>
      </c>
      <c r="Q284" s="218" t="str">
        <f>IFERROR(IF(COUNTIF(INDEX(Personnel[Category],A284),"*Other scientific*")&gt;0,IF(OR(IFERROR(MATCH("*PhD*",Personnel[Category],0),0)&gt;0,IFERROR(MATCH("*PostDoc*",Personnel[Category],0),0)&gt;0),"",$B$140),""),"")</f>
        <v/>
      </c>
      <c r="R284" s="218" t="str">
        <f>IFERROR(IF(COUNTIF(INDEX(Personnel[Category],A284),"*Other scientific*")&gt;0,IF(Total_OSP&gt;pers_max_OSP,$B$141,""),""),"")</f>
        <v/>
      </c>
      <c r="S284" s="218" t="str">
        <f>IFERROR(IF(COUNTIF(INDEX(Personnel[Category],A284),"*Other scientific*")&gt;0,IF(INDEX(Personnel[Months],A284)*INDEX(Personnel[FTE],A284)&lt;pers_OSP_min_months,$B$142,""),""),"")</f>
        <v/>
      </c>
      <c r="T284" s="218" t="str">
        <f>IFERROR(IF(COUNTIF(INDEX(Personnel[Category],A284),"*Other scientific*")&gt;0,IF(INDEX(Personnel[Months],A284)*INDEX(Personnel[FTE],A284)&gt;pers_OSP_max_months,$B$143,""),""),"")</f>
        <v/>
      </c>
      <c r="U284" s="218" t="str">
        <f>IFERROR(IF(COUNTIF(INDEX(Personnel[Category],A284),"*leave*")&gt;0,IF(Total_Research_leave&gt;pers_leave_maxperc*Total_NWO_funding,$B$144,""),""),"")</f>
        <v/>
      </c>
      <c r="V284" s="218" t="str">
        <f>IFERROR(IF(COUNTIF(INDEX(Personnel[Category],A284),"*leave*")&gt;0,IF(Research_leave_FTE_months&gt;pers_leave_maxduration,$B$145,""),""),"")</f>
        <v/>
      </c>
      <c r="W284" s="218" t="str">
        <f>IFERROR(IF(AND(INDEX(Personnel[Costs],A284)=0,INDEX(salaries_academic[[category]:[1]],MATCH(INDEX(Personnel[Category],A284),salaries_academic[category],0),3)=0),$B$148,""),"")</f>
        <v/>
      </c>
      <c r="X284" s="218" t="e">
        <f>IF(AND(organisation_type="yes",INDEX(Personnel[Amount],A284,1)&lt;&gt;"",ISBLANK(INDEX(Personnel[Organisation type],A284,1))),$B$146,"")</f>
        <v>#REF!</v>
      </c>
      <c r="Y284" s="218" t="e">
        <f>IF(AND(organisation_name="yes",INDEX(Personnel[Amount],A284,1)&lt;&gt;"",ISBLANK(INDEX(Personnel[Name organisation],A284,1))),$B$147,"")</f>
        <v>#REF!</v>
      </c>
      <c r="Z284" s="218" t="str">
        <f>IFERROR(IF(AND(INDEX(Personnel[Costs],A284)&gt;0,INDEX(salaries_academic[[category]:[1]],MATCH(INDEX(Personnel[Category],A284),salaries_academic[category],0),3)&gt;0),$B$149,""),"")</f>
        <v/>
      </c>
      <c r="AA284" s="218"/>
    </row>
    <row r="285" spans="1:27" outlineLevel="1" x14ac:dyDescent="0.35">
      <c r="A285" s="195">
        <v>78</v>
      </c>
      <c r="B285" s="195" t="str">
        <f t="array" ref="B285">IFERROR(INDEX(personnel_ac_notes[[#This Row],[Exceeding nr months]:[Costs specified]],1,MATCH(TRUE,LEN(personnel_ac_notes[[#This Row],[Exceeding nr months]:[Costs specified]])&gt;0,0)),"")</f>
        <v/>
      </c>
      <c r="C285" s="195" t="str">
        <f>IFERROR(IF(INDEX(Personnel[Months],A285)&gt;Max_project_duration,$B$128,""),"")</f>
        <v/>
      </c>
      <c r="D285" s="195" t="str">
        <f>IFERROR(IF(AND(LEN(INDEX(Personnel[Category],A285))+LEN(INDEX(Personnel[FTE],A285))+LEN(INDEX(Personnel[Months],A285))&gt;0,LEN(INDEX(Personnel[Category],A285-1))+LEN(INDEX(Personnel[FTE],A285-1))+LEN(INDEX(Personnel[Months],A285-1))=0),$B$127,""),"")</f>
        <v/>
      </c>
      <c r="E285" s="195" t="str">
        <f>IF(AND(NOT(ISBLANK(INDEX(Personnel[Category],A285))),OR(ISBLANK(INDEX(Personnel[FTE],A285)),ISBLANK(INDEX(Personnel[Months],A285)))),VLOOKUP(INDEX(Personnel[Category],A285),salaries_academic[],2,FALSE),"")</f>
        <v/>
      </c>
      <c r="F285" s="195" t="str">
        <f>IFERROR(IF(COUNTIF(INDEX(Personnel[Category],A285),"*- PhD*")&gt;0,IF(INDEX(Personnel[Months],A285)*INDEX(Personnel[FTE],A285)&lt;pers_PhD_min_months,$B$129,""),""),"")</f>
        <v/>
      </c>
      <c r="G285" s="195" t="str">
        <f>IFERROR(IF(COUNTIF(INDEX(Personnel[Category],$A285),"*- PhD*")&gt;0,IF(INDEX(Personnel[Months],$A285)*INDEX(Personnel[FTE],$A285)&gt;pers_PhD_max_months,$B$130,""),""),"")</f>
        <v/>
      </c>
      <c r="H285" s="195" t="str">
        <f>IFERROR(IF(COUNTIF(INDEX(Personnel[Category],A285),"*year*")&gt;0,IF(INDEX(Personnel[Months],A285)*INDEX(Personnel[FTE],A285)&lt;pers_3yPhD_min_months,$B$131,""),""),"")</f>
        <v/>
      </c>
      <c r="I285" s="218" t="str">
        <f>IFERROR(IF(COUNTIF(INDEX(Personnel[Category],A285),"*PDEng*")&gt;0,IF(OR(IFERROR(MATCH("*PhD*",Personnel[Category],0),0)&gt;0,IFERROR(MATCH("*PostDoc*",Personnel[Category],0),0)&gt;0),"",$B$132),""),"")</f>
        <v/>
      </c>
      <c r="J285" s="218" t="str">
        <f>IFERROR(IF(COUNTIF(INDEX(Personnel[Category],A285),"*PDEng*")&gt;0,IF(INDEX(Personnel[Months],A285)*INDEX(Personnel[FTE],A285)&gt;pers_PDEng_max_months,$B$133,""),""),"")</f>
        <v/>
      </c>
      <c r="K285" s="218" t="str">
        <f>IFERROR(IF(COUNTIF(INDEX(Personnel[Category],A285),"*PostDoc*")&gt;0,IF(INDEX(Personnel[Months],A285)*INDEX(Personnel[FTE],A285)&lt;pers_PD_min_months,$B$134,""),""),"")</f>
        <v/>
      </c>
      <c r="L285" s="218" t="str">
        <f>IFERROR(IF(COUNTIF(INDEX(Personnel[Category],A285),"*PostDoc*")&gt;0,IF(INDEX(Personnel[Months],A285)*INDEX(Personnel[FTE],A285)&gt;pers_PD_max_months,$B$135,""),""),"")</f>
        <v/>
      </c>
      <c r="M285" s="218" t="str">
        <f>IFERROR(IF(COUNTIF(INDEX(Personnel[Category],A285),"*Non-scientific*")&gt;0,IF(OR(IFERROR(MATCH("*PhD*",Personnel[Category],0),0)&gt;0,IFERROR(MATCH("*PostDoc*",Personnel[Category],0),0)&gt;0),"",$B$136),""),"")</f>
        <v/>
      </c>
      <c r="N285" s="218" t="str">
        <f>IFERROR(IF(COUNTIF(INDEX(Personnel[Category],A285),"*Non-scientific*")&gt;0,IF(Total_NSP&gt;pers_max_NSP,$B$137,""),""),"")</f>
        <v/>
      </c>
      <c r="O285" s="218" t="str">
        <f>IFERROR(IF(COUNTIF(INDEX(Personnel[Category],A285),"*Non-scientific*")&gt;0,IF(INDEX(Personnel[Months],A285)*INDEX(Personnel[FTE],A285)&lt;pers_NSP_min_months,$B$138,""),""),"")</f>
        <v/>
      </c>
      <c r="P285" s="218" t="str">
        <f>IFERROR(IF(COUNTIF(INDEX(Personnel[Category],A285),"*Non-scientific*")&gt;0,IF(INDEX(Personnel[Months],A285)*INDEX(Personnel[FTE],A285)&gt;pers_NSP_max_months,$B$139,""),""),"")</f>
        <v/>
      </c>
      <c r="Q285" s="218" t="str">
        <f>IFERROR(IF(COUNTIF(INDEX(Personnel[Category],A285),"*Other scientific*")&gt;0,IF(OR(IFERROR(MATCH("*PhD*",Personnel[Category],0),0)&gt;0,IFERROR(MATCH("*PostDoc*",Personnel[Category],0),0)&gt;0),"",$B$140),""),"")</f>
        <v/>
      </c>
      <c r="R285" s="218" t="str">
        <f>IFERROR(IF(COUNTIF(INDEX(Personnel[Category],A285),"*Other scientific*")&gt;0,IF(Total_OSP&gt;pers_max_OSP,$B$141,""),""),"")</f>
        <v/>
      </c>
      <c r="S285" s="218" t="str">
        <f>IFERROR(IF(COUNTIF(INDEX(Personnel[Category],A285),"*Other scientific*")&gt;0,IF(INDEX(Personnel[Months],A285)*INDEX(Personnel[FTE],A285)&lt;pers_OSP_min_months,$B$142,""),""),"")</f>
        <v/>
      </c>
      <c r="T285" s="218" t="str">
        <f>IFERROR(IF(COUNTIF(INDEX(Personnel[Category],A285),"*Other scientific*")&gt;0,IF(INDEX(Personnel[Months],A285)*INDEX(Personnel[FTE],A285)&gt;pers_OSP_max_months,$B$143,""),""),"")</f>
        <v/>
      </c>
      <c r="U285" s="218" t="str">
        <f>IFERROR(IF(COUNTIF(INDEX(Personnel[Category],A285),"*leave*")&gt;0,IF(Total_Research_leave&gt;pers_leave_maxperc*Total_NWO_funding,$B$144,""),""),"")</f>
        <v/>
      </c>
      <c r="V285" s="218" t="str">
        <f>IFERROR(IF(COUNTIF(INDEX(Personnel[Category],A285),"*leave*")&gt;0,IF(Research_leave_FTE_months&gt;pers_leave_maxduration,$B$145,""),""),"")</f>
        <v/>
      </c>
      <c r="W285" s="218" t="str">
        <f>IFERROR(IF(AND(INDEX(Personnel[Costs],A285)=0,INDEX(salaries_academic[[category]:[1]],MATCH(INDEX(Personnel[Category],A285),salaries_academic[category],0),3)=0),$B$148,""),"")</f>
        <v/>
      </c>
      <c r="X285" s="218" t="e">
        <f>IF(AND(organisation_type="yes",INDEX(Personnel[Amount],A285,1)&lt;&gt;"",ISBLANK(INDEX(Personnel[Organisation type],A285,1))),$B$146,"")</f>
        <v>#REF!</v>
      </c>
      <c r="Y285" s="218" t="e">
        <f>IF(AND(organisation_name="yes",INDEX(Personnel[Amount],A285,1)&lt;&gt;"",ISBLANK(INDEX(Personnel[Name organisation],A285,1))),$B$147,"")</f>
        <v>#REF!</v>
      </c>
      <c r="Z285" s="218" t="str">
        <f>IFERROR(IF(AND(INDEX(Personnel[Costs],A285)&gt;0,INDEX(salaries_academic[[category]:[1]],MATCH(INDEX(Personnel[Category],A285),salaries_academic[category],0),3)&gt;0),$B$149,""),"")</f>
        <v/>
      </c>
      <c r="AA285" s="218"/>
    </row>
    <row r="286" spans="1:27" outlineLevel="1" x14ac:dyDescent="0.35">
      <c r="A286" s="195">
        <v>79</v>
      </c>
      <c r="B286" s="195" t="str">
        <f t="array" ref="B286">IFERROR(INDEX(personnel_ac_notes[[#This Row],[Exceeding nr months]:[Costs specified]],1,MATCH(TRUE,LEN(personnel_ac_notes[[#This Row],[Exceeding nr months]:[Costs specified]])&gt;0,0)),"")</f>
        <v/>
      </c>
      <c r="C286" s="195" t="str">
        <f>IFERROR(IF(INDEX(Personnel[Months],A286)&gt;Max_project_duration,$B$128,""),"")</f>
        <v/>
      </c>
      <c r="D286" s="195" t="str">
        <f>IFERROR(IF(AND(LEN(INDEX(Personnel[Category],A286))+LEN(INDEX(Personnel[FTE],A286))+LEN(INDEX(Personnel[Months],A286))&gt;0,LEN(INDEX(Personnel[Category],A286-1))+LEN(INDEX(Personnel[FTE],A286-1))+LEN(INDEX(Personnel[Months],A286-1))=0),$B$127,""),"")</f>
        <v/>
      </c>
      <c r="E286" s="195" t="str">
        <f>IF(AND(NOT(ISBLANK(INDEX(Personnel[Category],A286))),OR(ISBLANK(INDEX(Personnel[FTE],A286)),ISBLANK(INDEX(Personnel[Months],A286)))),VLOOKUP(INDEX(Personnel[Category],A286),salaries_academic[],2,FALSE),"")</f>
        <v/>
      </c>
      <c r="F286" s="195" t="str">
        <f>IFERROR(IF(COUNTIF(INDEX(Personnel[Category],A286),"*- PhD*")&gt;0,IF(INDEX(Personnel[Months],A286)*INDEX(Personnel[FTE],A286)&lt;pers_PhD_min_months,$B$129,""),""),"")</f>
        <v/>
      </c>
      <c r="G286" s="195" t="str">
        <f>IFERROR(IF(COUNTIF(INDEX(Personnel[Category],$A286),"*- PhD*")&gt;0,IF(INDEX(Personnel[Months],$A286)*INDEX(Personnel[FTE],$A286)&gt;pers_PhD_max_months,$B$130,""),""),"")</f>
        <v/>
      </c>
      <c r="H286" s="195" t="str">
        <f>IFERROR(IF(COUNTIF(INDEX(Personnel[Category],A286),"*year*")&gt;0,IF(INDEX(Personnel[Months],A286)*INDEX(Personnel[FTE],A286)&lt;pers_3yPhD_min_months,$B$131,""),""),"")</f>
        <v/>
      </c>
      <c r="I286" s="218" t="str">
        <f>IFERROR(IF(COUNTIF(INDEX(Personnel[Category],A286),"*PDEng*")&gt;0,IF(OR(IFERROR(MATCH("*PhD*",Personnel[Category],0),0)&gt;0,IFERROR(MATCH("*PostDoc*",Personnel[Category],0),0)&gt;0),"",$B$132),""),"")</f>
        <v/>
      </c>
      <c r="J286" s="218" t="str">
        <f>IFERROR(IF(COUNTIF(INDEX(Personnel[Category],A286),"*PDEng*")&gt;0,IF(INDEX(Personnel[Months],A286)*INDEX(Personnel[FTE],A286)&gt;pers_PDEng_max_months,$B$133,""),""),"")</f>
        <v/>
      </c>
      <c r="K286" s="218" t="str">
        <f>IFERROR(IF(COUNTIF(INDEX(Personnel[Category],A286),"*PostDoc*")&gt;0,IF(INDEX(Personnel[Months],A286)*INDEX(Personnel[FTE],A286)&lt;pers_PD_min_months,$B$134,""),""),"")</f>
        <v/>
      </c>
      <c r="L286" s="218" t="str">
        <f>IFERROR(IF(COUNTIF(INDEX(Personnel[Category],A286),"*PostDoc*")&gt;0,IF(INDEX(Personnel[Months],A286)*INDEX(Personnel[FTE],A286)&gt;pers_PD_max_months,$B$135,""),""),"")</f>
        <v/>
      </c>
      <c r="M286" s="218" t="str">
        <f>IFERROR(IF(COUNTIF(INDEX(Personnel[Category],A286),"*Non-scientific*")&gt;0,IF(OR(IFERROR(MATCH("*PhD*",Personnel[Category],0),0)&gt;0,IFERROR(MATCH("*PostDoc*",Personnel[Category],0),0)&gt;0),"",$B$136),""),"")</f>
        <v/>
      </c>
      <c r="N286" s="218" t="str">
        <f>IFERROR(IF(COUNTIF(INDEX(Personnel[Category],A286),"*Non-scientific*")&gt;0,IF(Total_NSP&gt;pers_max_NSP,$B$137,""),""),"")</f>
        <v/>
      </c>
      <c r="O286" s="218" t="str">
        <f>IFERROR(IF(COUNTIF(INDEX(Personnel[Category],A286),"*Non-scientific*")&gt;0,IF(INDEX(Personnel[Months],A286)*INDEX(Personnel[FTE],A286)&lt;pers_NSP_min_months,$B$138,""),""),"")</f>
        <v/>
      </c>
      <c r="P286" s="218" t="str">
        <f>IFERROR(IF(COUNTIF(INDEX(Personnel[Category],A286),"*Non-scientific*")&gt;0,IF(INDEX(Personnel[Months],A286)*INDEX(Personnel[FTE],A286)&gt;pers_NSP_max_months,$B$139,""),""),"")</f>
        <v/>
      </c>
      <c r="Q286" s="218" t="str">
        <f>IFERROR(IF(COUNTIF(INDEX(Personnel[Category],A286),"*Other scientific*")&gt;0,IF(OR(IFERROR(MATCH("*PhD*",Personnel[Category],0),0)&gt;0,IFERROR(MATCH("*PostDoc*",Personnel[Category],0),0)&gt;0),"",$B$140),""),"")</f>
        <v/>
      </c>
      <c r="R286" s="218" t="str">
        <f>IFERROR(IF(COUNTIF(INDEX(Personnel[Category],A286),"*Other scientific*")&gt;0,IF(Total_OSP&gt;pers_max_OSP,$B$141,""),""),"")</f>
        <v/>
      </c>
      <c r="S286" s="218" t="str">
        <f>IFERROR(IF(COUNTIF(INDEX(Personnel[Category],A286),"*Other scientific*")&gt;0,IF(INDEX(Personnel[Months],A286)*INDEX(Personnel[FTE],A286)&lt;pers_OSP_min_months,$B$142,""),""),"")</f>
        <v/>
      </c>
      <c r="T286" s="218" t="str">
        <f>IFERROR(IF(COUNTIF(INDEX(Personnel[Category],A286),"*Other scientific*")&gt;0,IF(INDEX(Personnel[Months],A286)*INDEX(Personnel[FTE],A286)&gt;pers_OSP_max_months,$B$143,""),""),"")</f>
        <v/>
      </c>
      <c r="U286" s="218" t="str">
        <f>IFERROR(IF(COUNTIF(INDEX(Personnel[Category],A286),"*leave*")&gt;0,IF(Total_Research_leave&gt;pers_leave_maxperc*Total_NWO_funding,$B$144,""),""),"")</f>
        <v/>
      </c>
      <c r="V286" s="218" t="str">
        <f>IFERROR(IF(COUNTIF(INDEX(Personnel[Category],A286),"*leave*")&gt;0,IF(Research_leave_FTE_months&gt;pers_leave_maxduration,$B$145,""),""),"")</f>
        <v/>
      </c>
      <c r="W286" s="218" t="str">
        <f>IFERROR(IF(AND(INDEX(Personnel[Costs],A286)=0,INDEX(salaries_academic[[category]:[1]],MATCH(INDEX(Personnel[Category],A286),salaries_academic[category],0),3)=0),$B$148,""),"")</f>
        <v/>
      </c>
      <c r="X286" s="218" t="e">
        <f>IF(AND(organisation_type="yes",INDEX(Personnel[Amount],A286,1)&lt;&gt;"",ISBLANK(INDEX(Personnel[Organisation type],A286,1))),$B$146,"")</f>
        <v>#REF!</v>
      </c>
      <c r="Y286" s="218" t="e">
        <f>IF(AND(organisation_name="yes",INDEX(Personnel[Amount],A286,1)&lt;&gt;"",ISBLANK(INDEX(Personnel[Name organisation],A286,1))),$B$147,"")</f>
        <v>#REF!</v>
      </c>
      <c r="Z286" s="218" t="str">
        <f>IFERROR(IF(AND(INDEX(Personnel[Costs],A286)&gt;0,INDEX(salaries_academic[[category]:[1]],MATCH(INDEX(Personnel[Category],A286),salaries_academic[category],0),3)&gt;0),$B$149,""),"")</f>
        <v/>
      </c>
      <c r="AA286" s="218"/>
    </row>
    <row r="287" spans="1:27" outlineLevel="1" x14ac:dyDescent="0.35">
      <c r="A287" s="195">
        <v>80</v>
      </c>
      <c r="B287" s="195" t="str">
        <f t="array" ref="B287">IFERROR(INDEX(personnel_ac_notes[[#This Row],[Exceeding nr months]:[Costs specified]],1,MATCH(TRUE,LEN(personnel_ac_notes[[#This Row],[Exceeding nr months]:[Costs specified]])&gt;0,0)),"")</f>
        <v/>
      </c>
      <c r="C287" s="195" t="str">
        <f>IFERROR(IF(INDEX(Personnel[Months],A287)&gt;Max_project_duration,$B$128,""),"")</f>
        <v/>
      </c>
      <c r="D287" s="195" t="str">
        <f>IFERROR(IF(AND(LEN(INDEX(Personnel[Category],A287))+LEN(INDEX(Personnel[FTE],A287))+LEN(INDEX(Personnel[Months],A287))&gt;0,LEN(INDEX(Personnel[Category],A287-1))+LEN(INDEX(Personnel[FTE],A287-1))+LEN(INDEX(Personnel[Months],A287-1))=0),$B$127,""),"")</f>
        <v/>
      </c>
      <c r="E287" s="195" t="str">
        <f>IF(AND(NOT(ISBLANK(INDEX(Personnel[Category],A287))),OR(ISBLANK(INDEX(Personnel[FTE],A287)),ISBLANK(INDEX(Personnel[Months],A287)))),VLOOKUP(INDEX(Personnel[Category],A287),salaries_academic[],2,FALSE),"")</f>
        <v/>
      </c>
      <c r="F287" s="195" t="str">
        <f>IFERROR(IF(COUNTIF(INDEX(Personnel[Category],A287),"*- PhD*")&gt;0,IF(INDEX(Personnel[Months],A287)*INDEX(Personnel[FTE],A287)&lt;pers_PhD_min_months,$B$129,""),""),"")</f>
        <v/>
      </c>
      <c r="G287" s="195" t="str">
        <f>IFERROR(IF(COUNTIF(INDEX(Personnel[Category],$A287),"*- PhD*")&gt;0,IF(INDEX(Personnel[Months],$A287)*INDEX(Personnel[FTE],$A287)&gt;pers_PhD_max_months,$B$130,""),""),"")</f>
        <v/>
      </c>
      <c r="H287" s="195" t="str">
        <f>IFERROR(IF(COUNTIF(INDEX(Personnel[Category],A287),"*year*")&gt;0,IF(INDEX(Personnel[Months],A287)*INDEX(Personnel[FTE],A287)&lt;pers_3yPhD_min_months,$B$131,""),""),"")</f>
        <v/>
      </c>
      <c r="I287" s="218" t="str">
        <f>IFERROR(IF(COUNTIF(INDEX(Personnel[Category],A287),"*PDEng*")&gt;0,IF(OR(IFERROR(MATCH("*PhD*",Personnel[Category],0),0)&gt;0,IFERROR(MATCH("*PostDoc*",Personnel[Category],0),0)&gt;0),"",$B$132),""),"")</f>
        <v/>
      </c>
      <c r="J287" s="218" t="str">
        <f>IFERROR(IF(COUNTIF(INDEX(Personnel[Category],A287),"*PDEng*")&gt;0,IF(INDEX(Personnel[Months],A287)*INDEX(Personnel[FTE],A287)&gt;pers_PDEng_max_months,$B$133,""),""),"")</f>
        <v/>
      </c>
      <c r="K287" s="218" t="str">
        <f>IFERROR(IF(COUNTIF(INDEX(Personnel[Category],A287),"*PostDoc*")&gt;0,IF(INDEX(Personnel[Months],A287)*INDEX(Personnel[FTE],A287)&lt;pers_PD_min_months,$B$134,""),""),"")</f>
        <v/>
      </c>
      <c r="L287" s="218" t="str">
        <f>IFERROR(IF(COUNTIF(INDEX(Personnel[Category],A287),"*PostDoc*")&gt;0,IF(INDEX(Personnel[Months],A287)*INDEX(Personnel[FTE],A287)&gt;pers_PD_max_months,$B$135,""),""),"")</f>
        <v/>
      </c>
      <c r="M287" s="218" t="str">
        <f>IFERROR(IF(COUNTIF(INDEX(Personnel[Category],A287),"*Non-scientific*")&gt;0,IF(OR(IFERROR(MATCH("*PhD*",Personnel[Category],0),0)&gt;0,IFERROR(MATCH("*PostDoc*",Personnel[Category],0),0)&gt;0),"",$B$136),""),"")</f>
        <v/>
      </c>
      <c r="N287" s="218" t="str">
        <f>IFERROR(IF(COUNTIF(INDEX(Personnel[Category],A287),"*Non-scientific*")&gt;0,IF(Total_NSP&gt;pers_max_NSP,$B$137,""),""),"")</f>
        <v/>
      </c>
      <c r="O287" s="218" t="str">
        <f>IFERROR(IF(COUNTIF(INDEX(Personnel[Category],A287),"*Non-scientific*")&gt;0,IF(INDEX(Personnel[Months],A287)*INDEX(Personnel[FTE],A287)&lt;pers_NSP_min_months,$B$138,""),""),"")</f>
        <v/>
      </c>
      <c r="P287" s="218" t="str">
        <f>IFERROR(IF(COUNTIF(INDEX(Personnel[Category],A287),"*Non-scientific*")&gt;0,IF(INDEX(Personnel[Months],A287)*INDEX(Personnel[FTE],A287)&gt;pers_NSP_max_months,$B$139,""),""),"")</f>
        <v/>
      </c>
      <c r="Q287" s="218" t="str">
        <f>IFERROR(IF(COUNTIF(INDEX(Personnel[Category],A287),"*Other scientific*")&gt;0,IF(OR(IFERROR(MATCH("*PhD*",Personnel[Category],0),0)&gt;0,IFERROR(MATCH("*PostDoc*",Personnel[Category],0),0)&gt;0),"",$B$140),""),"")</f>
        <v/>
      </c>
      <c r="R287" s="218" t="str">
        <f>IFERROR(IF(COUNTIF(INDEX(Personnel[Category],A287),"*Other scientific*")&gt;0,IF(Total_OSP&gt;pers_max_OSP,$B$141,""),""),"")</f>
        <v/>
      </c>
      <c r="S287" s="218" t="str">
        <f>IFERROR(IF(COUNTIF(INDEX(Personnel[Category],A287),"*Other scientific*")&gt;0,IF(INDEX(Personnel[Months],A287)*INDEX(Personnel[FTE],A287)&lt;pers_OSP_min_months,$B$142,""),""),"")</f>
        <v/>
      </c>
      <c r="T287" s="218" t="str">
        <f>IFERROR(IF(COUNTIF(INDEX(Personnel[Category],A287),"*Other scientific*")&gt;0,IF(INDEX(Personnel[Months],A287)*INDEX(Personnel[FTE],A287)&gt;pers_OSP_max_months,$B$143,""),""),"")</f>
        <v/>
      </c>
      <c r="U287" s="218" t="str">
        <f>IFERROR(IF(COUNTIF(INDEX(Personnel[Category],A287),"*leave*")&gt;0,IF(Total_Research_leave&gt;pers_leave_maxperc*Total_NWO_funding,$B$144,""),""),"")</f>
        <v/>
      </c>
      <c r="V287" s="218" t="str">
        <f>IFERROR(IF(COUNTIF(INDEX(Personnel[Category],A287),"*leave*")&gt;0,IF(Research_leave_FTE_months&gt;pers_leave_maxduration,$B$145,""),""),"")</f>
        <v/>
      </c>
      <c r="W287" s="218" t="str">
        <f>IFERROR(IF(AND(INDEX(Personnel[Costs],A287)=0,INDEX(salaries_academic[[category]:[1]],MATCH(INDEX(Personnel[Category],A287),salaries_academic[category],0),3)=0),$B$148,""),"")</f>
        <v/>
      </c>
      <c r="X287" s="218" t="e">
        <f>IF(AND(organisation_type="yes",INDEX(Personnel[Amount],A287,1)&lt;&gt;"",ISBLANK(INDEX(Personnel[Organisation type],A287,1))),$B$146,"")</f>
        <v>#REF!</v>
      </c>
      <c r="Y287" s="218" t="e">
        <f>IF(AND(organisation_name="yes",INDEX(Personnel[Amount],A287,1)&lt;&gt;"",ISBLANK(INDEX(Personnel[Name organisation],A287,1))),$B$147,"")</f>
        <v>#REF!</v>
      </c>
      <c r="Z287" s="218" t="str">
        <f>IFERROR(IF(AND(INDEX(Personnel[Costs],A287)&gt;0,INDEX(salaries_academic[[category]:[1]],MATCH(INDEX(Personnel[Category],A287),salaries_academic[category],0),3)&gt;0),$B$149,""),"")</f>
        <v/>
      </c>
      <c r="AA287" s="218"/>
    </row>
    <row r="288" spans="1:27" outlineLevel="1" x14ac:dyDescent="0.35">
      <c r="A288" s="195">
        <v>81</v>
      </c>
      <c r="B288" s="195" t="str">
        <f t="array" ref="B288">IFERROR(INDEX(personnel_ac_notes[[#This Row],[Exceeding nr months]:[Costs specified]],1,MATCH(TRUE,LEN(personnel_ac_notes[[#This Row],[Exceeding nr months]:[Costs specified]])&gt;0,0)),"")</f>
        <v/>
      </c>
      <c r="C288" s="195" t="str">
        <f>IFERROR(IF(INDEX(Personnel[Months],A288)&gt;Max_project_duration,$B$128,""),"")</f>
        <v/>
      </c>
      <c r="D288" s="195" t="str">
        <f>IFERROR(IF(AND(LEN(INDEX(Personnel[Category],A288))+LEN(INDEX(Personnel[FTE],A288))+LEN(INDEX(Personnel[Months],A288))&gt;0,LEN(INDEX(Personnel[Category],A288-1))+LEN(INDEX(Personnel[FTE],A288-1))+LEN(INDEX(Personnel[Months],A288-1))=0),$B$127,""),"")</f>
        <v/>
      </c>
      <c r="E288" s="195" t="str">
        <f>IF(AND(NOT(ISBLANK(INDEX(Personnel[Category],A288))),OR(ISBLANK(INDEX(Personnel[FTE],A288)),ISBLANK(INDEX(Personnel[Months],A288)))),VLOOKUP(INDEX(Personnel[Category],A288),salaries_academic[],2,FALSE),"")</f>
        <v/>
      </c>
      <c r="F288" s="195" t="str">
        <f>IFERROR(IF(COUNTIF(INDEX(Personnel[Category],A288),"*- PhD*")&gt;0,IF(INDEX(Personnel[Months],A288)*INDEX(Personnel[FTE],A288)&lt;pers_PhD_min_months,$B$129,""),""),"")</f>
        <v/>
      </c>
      <c r="G288" s="195" t="str">
        <f>IFERROR(IF(COUNTIF(INDEX(Personnel[Category],$A288),"*- PhD*")&gt;0,IF(INDEX(Personnel[Months],$A288)*INDEX(Personnel[FTE],$A288)&gt;pers_PhD_max_months,$B$130,""),""),"")</f>
        <v/>
      </c>
      <c r="H288" s="195" t="str">
        <f>IFERROR(IF(COUNTIF(INDEX(Personnel[Category],A288),"*year*")&gt;0,IF(INDEX(Personnel[Months],A288)*INDEX(Personnel[FTE],A288)&lt;pers_3yPhD_min_months,$B$131,""),""),"")</f>
        <v/>
      </c>
      <c r="I288" s="218" t="str">
        <f>IFERROR(IF(COUNTIF(INDEX(Personnel[Category],A288),"*PDEng*")&gt;0,IF(OR(IFERROR(MATCH("*PhD*",Personnel[Category],0),0)&gt;0,IFERROR(MATCH("*PostDoc*",Personnel[Category],0),0)&gt;0),"",$B$132),""),"")</f>
        <v/>
      </c>
      <c r="J288" s="218" t="str">
        <f>IFERROR(IF(COUNTIF(INDEX(Personnel[Category],A288),"*PDEng*")&gt;0,IF(INDEX(Personnel[Months],A288)*INDEX(Personnel[FTE],A288)&gt;pers_PDEng_max_months,$B$133,""),""),"")</f>
        <v/>
      </c>
      <c r="K288" s="218" t="str">
        <f>IFERROR(IF(COUNTIF(INDEX(Personnel[Category],A288),"*PostDoc*")&gt;0,IF(INDEX(Personnel[Months],A288)*INDEX(Personnel[FTE],A288)&lt;pers_PD_min_months,$B$134,""),""),"")</f>
        <v/>
      </c>
      <c r="L288" s="218" t="str">
        <f>IFERROR(IF(COUNTIF(INDEX(Personnel[Category],A288),"*PostDoc*")&gt;0,IF(INDEX(Personnel[Months],A288)*INDEX(Personnel[FTE],A288)&gt;pers_PD_max_months,$B$135,""),""),"")</f>
        <v/>
      </c>
      <c r="M288" s="218" t="str">
        <f>IFERROR(IF(COUNTIF(INDEX(Personnel[Category],A288),"*Non-scientific*")&gt;0,IF(OR(IFERROR(MATCH("*PhD*",Personnel[Category],0),0)&gt;0,IFERROR(MATCH("*PostDoc*",Personnel[Category],0),0)&gt;0),"",$B$136),""),"")</f>
        <v/>
      </c>
      <c r="N288" s="218" t="str">
        <f>IFERROR(IF(COUNTIF(INDEX(Personnel[Category],A288),"*Non-scientific*")&gt;0,IF(Total_NSP&gt;pers_max_NSP,$B$137,""),""),"")</f>
        <v/>
      </c>
      <c r="O288" s="218" t="str">
        <f>IFERROR(IF(COUNTIF(INDEX(Personnel[Category],A288),"*Non-scientific*")&gt;0,IF(INDEX(Personnel[Months],A288)*INDEX(Personnel[FTE],A288)&lt;pers_NSP_min_months,$B$138,""),""),"")</f>
        <v/>
      </c>
      <c r="P288" s="218" t="str">
        <f>IFERROR(IF(COUNTIF(INDEX(Personnel[Category],A288),"*Non-scientific*")&gt;0,IF(INDEX(Personnel[Months],A288)*INDEX(Personnel[FTE],A288)&gt;pers_NSP_max_months,$B$139,""),""),"")</f>
        <v/>
      </c>
      <c r="Q288" s="218" t="str">
        <f>IFERROR(IF(COUNTIF(INDEX(Personnel[Category],A288),"*Other scientific*")&gt;0,IF(OR(IFERROR(MATCH("*PhD*",Personnel[Category],0),0)&gt;0,IFERROR(MATCH("*PostDoc*",Personnel[Category],0),0)&gt;0),"",$B$140),""),"")</f>
        <v/>
      </c>
      <c r="R288" s="218" t="str">
        <f>IFERROR(IF(COUNTIF(INDEX(Personnel[Category],A288),"*Other scientific*")&gt;0,IF(Total_OSP&gt;pers_max_OSP,$B$141,""),""),"")</f>
        <v/>
      </c>
      <c r="S288" s="218" t="str">
        <f>IFERROR(IF(COUNTIF(INDEX(Personnel[Category],A288),"*Other scientific*")&gt;0,IF(INDEX(Personnel[Months],A288)*INDEX(Personnel[FTE],A288)&lt;pers_OSP_min_months,$B$142,""),""),"")</f>
        <v/>
      </c>
      <c r="T288" s="218" t="str">
        <f>IFERROR(IF(COUNTIF(INDEX(Personnel[Category],A288),"*Other scientific*")&gt;0,IF(INDEX(Personnel[Months],A288)*INDEX(Personnel[FTE],A288)&gt;pers_OSP_max_months,$B$143,""),""),"")</f>
        <v/>
      </c>
      <c r="U288" s="218" t="str">
        <f>IFERROR(IF(COUNTIF(INDEX(Personnel[Category],A288),"*leave*")&gt;0,IF(Total_Research_leave&gt;pers_leave_maxperc*Total_NWO_funding,$B$144,""),""),"")</f>
        <v/>
      </c>
      <c r="V288" s="218" t="str">
        <f>IFERROR(IF(COUNTIF(INDEX(Personnel[Category],A288),"*leave*")&gt;0,IF(Research_leave_FTE_months&gt;pers_leave_maxduration,$B$145,""),""),"")</f>
        <v/>
      </c>
      <c r="W288" s="218" t="str">
        <f>IFERROR(IF(AND(INDEX(Personnel[Costs],A288)=0,INDEX(salaries_academic[[category]:[1]],MATCH(INDEX(Personnel[Category],A288),salaries_academic[category],0),3)=0),$B$148,""),"")</f>
        <v/>
      </c>
      <c r="X288" s="218" t="e">
        <f>IF(AND(organisation_type="yes",INDEX(Personnel[Amount],A288,1)&lt;&gt;"",ISBLANK(INDEX(Personnel[Organisation type],A288,1))),$B$146,"")</f>
        <v>#REF!</v>
      </c>
      <c r="Y288" s="218" t="e">
        <f>IF(AND(organisation_name="yes",INDEX(Personnel[Amount],A288,1)&lt;&gt;"",ISBLANK(INDEX(Personnel[Name organisation],A288,1))),$B$147,"")</f>
        <v>#REF!</v>
      </c>
      <c r="Z288" s="218" t="str">
        <f>IFERROR(IF(AND(INDEX(Personnel[Costs],A288)&gt;0,INDEX(salaries_academic[[category]:[1]],MATCH(INDEX(Personnel[Category],A288),salaries_academic[category],0),3)&gt;0),$B$149,""),"")</f>
        <v/>
      </c>
      <c r="AA288" s="218"/>
    </row>
    <row r="289" spans="1:27" outlineLevel="1" x14ac:dyDescent="0.35">
      <c r="A289" s="195">
        <v>82</v>
      </c>
      <c r="B289" s="195" t="str">
        <f t="array" ref="B289">IFERROR(INDEX(personnel_ac_notes[[#This Row],[Exceeding nr months]:[Costs specified]],1,MATCH(TRUE,LEN(personnel_ac_notes[[#This Row],[Exceeding nr months]:[Costs specified]])&gt;0,0)),"")</f>
        <v/>
      </c>
      <c r="C289" s="195" t="str">
        <f>IFERROR(IF(INDEX(Personnel[Months],A289)&gt;Max_project_duration,$B$128,""),"")</f>
        <v/>
      </c>
      <c r="D289" s="195" t="str">
        <f>IFERROR(IF(AND(LEN(INDEX(Personnel[Category],A289))+LEN(INDEX(Personnel[FTE],A289))+LEN(INDEX(Personnel[Months],A289))&gt;0,LEN(INDEX(Personnel[Category],A289-1))+LEN(INDEX(Personnel[FTE],A289-1))+LEN(INDEX(Personnel[Months],A289-1))=0),$B$127,""),"")</f>
        <v/>
      </c>
      <c r="E289" s="195" t="str">
        <f>IF(AND(NOT(ISBLANK(INDEX(Personnel[Category],A289))),OR(ISBLANK(INDEX(Personnel[FTE],A289)),ISBLANK(INDEX(Personnel[Months],A289)))),VLOOKUP(INDEX(Personnel[Category],A289),salaries_academic[],2,FALSE),"")</f>
        <v/>
      </c>
      <c r="F289" s="195" t="str">
        <f>IFERROR(IF(COUNTIF(INDEX(Personnel[Category],A289),"*- PhD*")&gt;0,IF(INDEX(Personnel[Months],A289)*INDEX(Personnel[FTE],A289)&lt;pers_PhD_min_months,$B$129,""),""),"")</f>
        <v/>
      </c>
      <c r="G289" s="195" t="str">
        <f>IFERROR(IF(COUNTIF(INDEX(Personnel[Category],$A289),"*- PhD*")&gt;0,IF(INDEX(Personnel[Months],$A289)*INDEX(Personnel[FTE],$A289)&gt;pers_PhD_max_months,$B$130,""),""),"")</f>
        <v/>
      </c>
      <c r="H289" s="195" t="str">
        <f>IFERROR(IF(COUNTIF(INDEX(Personnel[Category],A289),"*year*")&gt;0,IF(INDEX(Personnel[Months],A289)*INDEX(Personnel[FTE],A289)&lt;pers_3yPhD_min_months,$B$131,""),""),"")</f>
        <v/>
      </c>
      <c r="I289" s="218" t="str">
        <f>IFERROR(IF(COUNTIF(INDEX(Personnel[Category],A289),"*PDEng*")&gt;0,IF(OR(IFERROR(MATCH("*PhD*",Personnel[Category],0),0)&gt;0,IFERROR(MATCH("*PostDoc*",Personnel[Category],0),0)&gt;0),"",$B$132),""),"")</f>
        <v/>
      </c>
      <c r="J289" s="218" t="str">
        <f>IFERROR(IF(COUNTIF(INDEX(Personnel[Category],A289),"*PDEng*")&gt;0,IF(INDEX(Personnel[Months],A289)*INDEX(Personnel[FTE],A289)&gt;pers_PDEng_max_months,$B$133,""),""),"")</f>
        <v/>
      </c>
      <c r="K289" s="218" t="str">
        <f>IFERROR(IF(COUNTIF(INDEX(Personnel[Category],A289),"*PostDoc*")&gt;0,IF(INDEX(Personnel[Months],A289)*INDEX(Personnel[FTE],A289)&lt;pers_PD_min_months,$B$134,""),""),"")</f>
        <v/>
      </c>
      <c r="L289" s="218" t="str">
        <f>IFERROR(IF(COUNTIF(INDEX(Personnel[Category],A289),"*PostDoc*")&gt;0,IF(INDEX(Personnel[Months],A289)*INDEX(Personnel[FTE],A289)&gt;pers_PD_max_months,$B$135,""),""),"")</f>
        <v/>
      </c>
      <c r="M289" s="218" t="str">
        <f>IFERROR(IF(COUNTIF(INDEX(Personnel[Category],A289),"*Non-scientific*")&gt;0,IF(OR(IFERROR(MATCH("*PhD*",Personnel[Category],0),0)&gt;0,IFERROR(MATCH("*PostDoc*",Personnel[Category],0),0)&gt;0),"",$B$136),""),"")</f>
        <v/>
      </c>
      <c r="N289" s="218" t="str">
        <f>IFERROR(IF(COUNTIF(INDEX(Personnel[Category],A289),"*Non-scientific*")&gt;0,IF(Total_NSP&gt;pers_max_NSP,$B$137,""),""),"")</f>
        <v/>
      </c>
      <c r="O289" s="218" t="str">
        <f>IFERROR(IF(COUNTIF(INDEX(Personnel[Category],A289),"*Non-scientific*")&gt;0,IF(INDEX(Personnel[Months],A289)*INDEX(Personnel[FTE],A289)&lt;pers_NSP_min_months,$B$138,""),""),"")</f>
        <v/>
      </c>
      <c r="P289" s="218" t="str">
        <f>IFERROR(IF(COUNTIF(INDEX(Personnel[Category],A289),"*Non-scientific*")&gt;0,IF(INDEX(Personnel[Months],A289)*INDEX(Personnel[FTE],A289)&gt;pers_NSP_max_months,$B$139,""),""),"")</f>
        <v/>
      </c>
      <c r="Q289" s="218" t="str">
        <f>IFERROR(IF(COUNTIF(INDEX(Personnel[Category],A289),"*Other scientific*")&gt;0,IF(OR(IFERROR(MATCH("*PhD*",Personnel[Category],0),0)&gt;0,IFERROR(MATCH("*PostDoc*",Personnel[Category],0),0)&gt;0),"",$B$140),""),"")</f>
        <v/>
      </c>
      <c r="R289" s="218" t="str">
        <f>IFERROR(IF(COUNTIF(INDEX(Personnel[Category],A289),"*Other scientific*")&gt;0,IF(Total_OSP&gt;pers_max_OSP,$B$141,""),""),"")</f>
        <v/>
      </c>
      <c r="S289" s="218" t="str">
        <f>IFERROR(IF(COUNTIF(INDEX(Personnel[Category],A289),"*Other scientific*")&gt;0,IF(INDEX(Personnel[Months],A289)*INDEX(Personnel[FTE],A289)&lt;pers_OSP_min_months,$B$142,""),""),"")</f>
        <v/>
      </c>
      <c r="T289" s="218" t="str">
        <f>IFERROR(IF(COUNTIF(INDEX(Personnel[Category],A289),"*Other scientific*")&gt;0,IF(INDEX(Personnel[Months],A289)*INDEX(Personnel[FTE],A289)&gt;pers_OSP_max_months,$B$143,""),""),"")</f>
        <v/>
      </c>
      <c r="U289" s="218" t="str">
        <f>IFERROR(IF(COUNTIF(INDEX(Personnel[Category],A289),"*leave*")&gt;0,IF(Total_Research_leave&gt;pers_leave_maxperc*Total_NWO_funding,$B$144,""),""),"")</f>
        <v/>
      </c>
      <c r="V289" s="218" t="str">
        <f>IFERROR(IF(COUNTIF(INDEX(Personnel[Category],A289),"*leave*")&gt;0,IF(Research_leave_FTE_months&gt;pers_leave_maxduration,$B$145,""),""),"")</f>
        <v/>
      </c>
      <c r="W289" s="218" t="str">
        <f>IFERROR(IF(AND(INDEX(Personnel[Costs],A289)=0,INDEX(salaries_academic[[category]:[1]],MATCH(INDEX(Personnel[Category],A289),salaries_academic[category],0),3)=0),$B$148,""),"")</f>
        <v/>
      </c>
      <c r="X289" s="218" t="e">
        <f>IF(AND(organisation_type="yes",INDEX(Personnel[Amount],A289,1)&lt;&gt;"",ISBLANK(INDEX(Personnel[Organisation type],A289,1))),$B$146,"")</f>
        <v>#REF!</v>
      </c>
      <c r="Y289" s="218" t="e">
        <f>IF(AND(organisation_name="yes",INDEX(Personnel[Amount],A289,1)&lt;&gt;"",ISBLANK(INDEX(Personnel[Name organisation],A289,1))),$B$147,"")</f>
        <v>#REF!</v>
      </c>
      <c r="Z289" s="218" t="str">
        <f>IFERROR(IF(AND(INDEX(Personnel[Costs],A289)&gt;0,INDEX(salaries_academic[[category]:[1]],MATCH(INDEX(Personnel[Category],A289),salaries_academic[category],0),3)&gt;0),$B$149,""),"")</f>
        <v/>
      </c>
      <c r="AA289" s="218"/>
    </row>
    <row r="290" spans="1:27" outlineLevel="1" x14ac:dyDescent="0.35">
      <c r="A290" s="195">
        <v>83</v>
      </c>
      <c r="B290" s="195" t="str">
        <f t="array" ref="B290">IFERROR(INDEX(personnel_ac_notes[[#This Row],[Exceeding nr months]:[Costs specified]],1,MATCH(TRUE,LEN(personnel_ac_notes[[#This Row],[Exceeding nr months]:[Costs specified]])&gt;0,0)),"")</f>
        <v/>
      </c>
      <c r="C290" s="195" t="str">
        <f>IFERROR(IF(INDEX(Personnel[Months],A290)&gt;Max_project_duration,$B$128,""),"")</f>
        <v/>
      </c>
      <c r="D290" s="195" t="str">
        <f>IFERROR(IF(AND(LEN(INDEX(Personnel[Category],A290))+LEN(INDEX(Personnel[FTE],A290))+LEN(INDEX(Personnel[Months],A290))&gt;0,LEN(INDEX(Personnel[Category],A290-1))+LEN(INDEX(Personnel[FTE],A290-1))+LEN(INDEX(Personnel[Months],A290-1))=0),$B$127,""),"")</f>
        <v/>
      </c>
      <c r="E290" s="195" t="str">
        <f>IF(AND(NOT(ISBLANK(INDEX(Personnel[Category],A290))),OR(ISBLANK(INDEX(Personnel[FTE],A290)),ISBLANK(INDEX(Personnel[Months],A290)))),VLOOKUP(INDEX(Personnel[Category],A290),salaries_academic[],2,FALSE),"")</f>
        <v/>
      </c>
      <c r="F290" s="195" t="str">
        <f>IFERROR(IF(COUNTIF(INDEX(Personnel[Category],A290),"*- PhD*")&gt;0,IF(INDEX(Personnel[Months],A290)*INDEX(Personnel[FTE],A290)&lt;pers_PhD_min_months,$B$129,""),""),"")</f>
        <v/>
      </c>
      <c r="G290" s="195" t="str">
        <f>IFERROR(IF(COUNTIF(INDEX(Personnel[Category],$A290),"*- PhD*")&gt;0,IF(INDEX(Personnel[Months],$A290)*INDEX(Personnel[FTE],$A290)&gt;pers_PhD_max_months,$B$130,""),""),"")</f>
        <v/>
      </c>
      <c r="H290" s="195" t="str">
        <f>IFERROR(IF(COUNTIF(INDEX(Personnel[Category],A290),"*year*")&gt;0,IF(INDEX(Personnel[Months],A290)*INDEX(Personnel[FTE],A290)&lt;pers_3yPhD_min_months,$B$131,""),""),"")</f>
        <v/>
      </c>
      <c r="I290" s="218" t="str">
        <f>IFERROR(IF(COUNTIF(INDEX(Personnel[Category],A290),"*PDEng*")&gt;0,IF(OR(IFERROR(MATCH("*PhD*",Personnel[Category],0),0)&gt;0,IFERROR(MATCH("*PostDoc*",Personnel[Category],0),0)&gt;0),"",$B$132),""),"")</f>
        <v/>
      </c>
      <c r="J290" s="218" t="str">
        <f>IFERROR(IF(COUNTIF(INDEX(Personnel[Category],A290),"*PDEng*")&gt;0,IF(INDEX(Personnel[Months],A290)*INDEX(Personnel[FTE],A290)&gt;pers_PDEng_max_months,$B$133,""),""),"")</f>
        <v/>
      </c>
      <c r="K290" s="218" t="str">
        <f>IFERROR(IF(COUNTIF(INDEX(Personnel[Category],A290),"*PostDoc*")&gt;0,IF(INDEX(Personnel[Months],A290)*INDEX(Personnel[FTE],A290)&lt;pers_PD_min_months,$B$134,""),""),"")</f>
        <v/>
      </c>
      <c r="L290" s="218" t="str">
        <f>IFERROR(IF(COUNTIF(INDEX(Personnel[Category],A290),"*PostDoc*")&gt;0,IF(INDEX(Personnel[Months],A290)*INDEX(Personnel[FTE],A290)&gt;pers_PD_max_months,$B$135,""),""),"")</f>
        <v/>
      </c>
      <c r="M290" s="218" t="str">
        <f>IFERROR(IF(COUNTIF(INDEX(Personnel[Category],A290),"*Non-scientific*")&gt;0,IF(OR(IFERROR(MATCH("*PhD*",Personnel[Category],0),0)&gt;0,IFERROR(MATCH("*PostDoc*",Personnel[Category],0),0)&gt;0),"",$B$136),""),"")</f>
        <v/>
      </c>
      <c r="N290" s="218" t="str">
        <f>IFERROR(IF(COUNTIF(INDEX(Personnel[Category],A290),"*Non-scientific*")&gt;0,IF(Total_NSP&gt;pers_max_NSP,$B$137,""),""),"")</f>
        <v/>
      </c>
      <c r="O290" s="218" t="str">
        <f>IFERROR(IF(COUNTIF(INDEX(Personnel[Category],A290),"*Non-scientific*")&gt;0,IF(INDEX(Personnel[Months],A290)*INDEX(Personnel[FTE],A290)&lt;pers_NSP_min_months,$B$138,""),""),"")</f>
        <v/>
      </c>
      <c r="P290" s="218" t="str">
        <f>IFERROR(IF(COUNTIF(INDEX(Personnel[Category],A290),"*Non-scientific*")&gt;0,IF(INDEX(Personnel[Months],A290)*INDEX(Personnel[FTE],A290)&gt;pers_NSP_max_months,$B$139,""),""),"")</f>
        <v/>
      </c>
      <c r="Q290" s="218" t="str">
        <f>IFERROR(IF(COUNTIF(INDEX(Personnel[Category],A290),"*Other scientific*")&gt;0,IF(OR(IFERROR(MATCH("*PhD*",Personnel[Category],0),0)&gt;0,IFERROR(MATCH("*PostDoc*",Personnel[Category],0),0)&gt;0),"",$B$140),""),"")</f>
        <v/>
      </c>
      <c r="R290" s="218" t="str">
        <f>IFERROR(IF(COUNTIF(INDEX(Personnel[Category],A290),"*Other scientific*")&gt;0,IF(Total_OSP&gt;pers_max_OSP,$B$141,""),""),"")</f>
        <v/>
      </c>
      <c r="S290" s="218" t="str">
        <f>IFERROR(IF(COUNTIF(INDEX(Personnel[Category],A290),"*Other scientific*")&gt;0,IF(INDEX(Personnel[Months],A290)*INDEX(Personnel[FTE],A290)&lt;pers_OSP_min_months,$B$142,""),""),"")</f>
        <v/>
      </c>
      <c r="T290" s="218" t="str">
        <f>IFERROR(IF(COUNTIF(INDEX(Personnel[Category],A290),"*Other scientific*")&gt;0,IF(INDEX(Personnel[Months],A290)*INDEX(Personnel[FTE],A290)&gt;pers_OSP_max_months,$B$143,""),""),"")</f>
        <v/>
      </c>
      <c r="U290" s="218" t="str">
        <f>IFERROR(IF(COUNTIF(INDEX(Personnel[Category],A290),"*leave*")&gt;0,IF(Total_Research_leave&gt;pers_leave_maxperc*Total_NWO_funding,$B$144,""),""),"")</f>
        <v/>
      </c>
      <c r="V290" s="218" t="str">
        <f>IFERROR(IF(COUNTIF(INDEX(Personnel[Category],A290),"*leave*")&gt;0,IF(Research_leave_FTE_months&gt;pers_leave_maxduration,$B$145,""),""),"")</f>
        <v/>
      </c>
      <c r="W290" s="218" t="str">
        <f>IFERROR(IF(AND(INDEX(Personnel[Costs],A290)=0,INDEX(salaries_academic[[category]:[1]],MATCH(INDEX(Personnel[Category],A290),salaries_academic[category],0),3)=0),$B$148,""),"")</f>
        <v/>
      </c>
      <c r="X290" s="218" t="e">
        <f>IF(AND(organisation_type="yes",INDEX(Personnel[Amount],A290,1)&lt;&gt;"",ISBLANK(INDEX(Personnel[Organisation type],A290,1))),$B$146,"")</f>
        <v>#REF!</v>
      </c>
      <c r="Y290" s="218" t="e">
        <f>IF(AND(organisation_name="yes",INDEX(Personnel[Amount],A290,1)&lt;&gt;"",ISBLANK(INDEX(Personnel[Name organisation],A290,1))),$B$147,"")</f>
        <v>#REF!</v>
      </c>
      <c r="Z290" s="218" t="str">
        <f>IFERROR(IF(AND(INDEX(Personnel[Costs],A290)&gt;0,INDEX(salaries_academic[[category]:[1]],MATCH(INDEX(Personnel[Category],A290),salaries_academic[category],0),3)&gt;0),$B$149,""),"")</f>
        <v/>
      </c>
      <c r="AA290" s="218"/>
    </row>
    <row r="291" spans="1:27" outlineLevel="1" x14ac:dyDescent="0.35">
      <c r="A291" s="195">
        <v>84</v>
      </c>
      <c r="B291" s="195" t="str">
        <f t="array" ref="B291">IFERROR(INDEX(personnel_ac_notes[[#This Row],[Exceeding nr months]:[Costs specified]],1,MATCH(TRUE,LEN(personnel_ac_notes[[#This Row],[Exceeding nr months]:[Costs specified]])&gt;0,0)),"")</f>
        <v/>
      </c>
      <c r="C291" s="195" t="str">
        <f>IFERROR(IF(INDEX(Personnel[Months],A291)&gt;Max_project_duration,$B$128,""),"")</f>
        <v/>
      </c>
      <c r="D291" s="195" t="str">
        <f>IFERROR(IF(AND(LEN(INDEX(Personnel[Category],A291))+LEN(INDEX(Personnel[FTE],A291))+LEN(INDEX(Personnel[Months],A291))&gt;0,LEN(INDEX(Personnel[Category],A291-1))+LEN(INDEX(Personnel[FTE],A291-1))+LEN(INDEX(Personnel[Months],A291-1))=0),$B$127,""),"")</f>
        <v/>
      </c>
      <c r="E291" s="195" t="str">
        <f>IF(AND(NOT(ISBLANK(INDEX(Personnel[Category],A291))),OR(ISBLANK(INDEX(Personnel[FTE],A291)),ISBLANK(INDEX(Personnel[Months],A291)))),VLOOKUP(INDEX(Personnel[Category],A291),salaries_academic[],2,FALSE),"")</f>
        <v/>
      </c>
      <c r="F291" s="195" t="str">
        <f>IFERROR(IF(COUNTIF(INDEX(Personnel[Category],A291),"*- PhD*")&gt;0,IF(INDEX(Personnel[Months],A291)*INDEX(Personnel[FTE],A291)&lt;pers_PhD_min_months,$B$129,""),""),"")</f>
        <v/>
      </c>
      <c r="G291" s="195" t="str">
        <f>IFERROR(IF(COUNTIF(INDEX(Personnel[Category],$A291),"*- PhD*")&gt;0,IF(INDEX(Personnel[Months],$A291)*INDEX(Personnel[FTE],$A291)&gt;pers_PhD_max_months,$B$130,""),""),"")</f>
        <v/>
      </c>
      <c r="H291" s="195" t="str">
        <f>IFERROR(IF(COUNTIF(INDEX(Personnel[Category],A291),"*year*")&gt;0,IF(INDEX(Personnel[Months],A291)*INDEX(Personnel[FTE],A291)&lt;pers_3yPhD_min_months,$B$131,""),""),"")</f>
        <v/>
      </c>
      <c r="I291" s="218" t="str">
        <f>IFERROR(IF(COUNTIF(INDEX(Personnel[Category],A291),"*PDEng*")&gt;0,IF(OR(IFERROR(MATCH("*PhD*",Personnel[Category],0),0)&gt;0,IFERROR(MATCH("*PostDoc*",Personnel[Category],0),0)&gt;0),"",$B$132),""),"")</f>
        <v/>
      </c>
      <c r="J291" s="218" t="str">
        <f>IFERROR(IF(COUNTIF(INDEX(Personnel[Category],A291),"*PDEng*")&gt;0,IF(INDEX(Personnel[Months],A291)*INDEX(Personnel[FTE],A291)&gt;pers_PDEng_max_months,$B$133,""),""),"")</f>
        <v/>
      </c>
      <c r="K291" s="218" t="str">
        <f>IFERROR(IF(COUNTIF(INDEX(Personnel[Category],A291),"*PostDoc*")&gt;0,IF(INDEX(Personnel[Months],A291)*INDEX(Personnel[FTE],A291)&lt;pers_PD_min_months,$B$134,""),""),"")</f>
        <v/>
      </c>
      <c r="L291" s="218" t="str">
        <f>IFERROR(IF(COUNTIF(INDEX(Personnel[Category],A291),"*PostDoc*")&gt;0,IF(INDEX(Personnel[Months],A291)*INDEX(Personnel[FTE],A291)&gt;pers_PD_max_months,$B$135,""),""),"")</f>
        <v/>
      </c>
      <c r="M291" s="218" t="str">
        <f>IFERROR(IF(COUNTIF(INDEX(Personnel[Category],A291),"*Non-scientific*")&gt;0,IF(OR(IFERROR(MATCH("*PhD*",Personnel[Category],0),0)&gt;0,IFERROR(MATCH("*PostDoc*",Personnel[Category],0),0)&gt;0),"",$B$136),""),"")</f>
        <v/>
      </c>
      <c r="N291" s="218" t="str">
        <f>IFERROR(IF(COUNTIF(INDEX(Personnel[Category],A291),"*Non-scientific*")&gt;0,IF(Total_NSP&gt;pers_max_NSP,$B$137,""),""),"")</f>
        <v/>
      </c>
      <c r="O291" s="218" t="str">
        <f>IFERROR(IF(COUNTIF(INDEX(Personnel[Category],A291),"*Non-scientific*")&gt;0,IF(INDEX(Personnel[Months],A291)*INDEX(Personnel[FTE],A291)&lt;pers_NSP_min_months,$B$138,""),""),"")</f>
        <v/>
      </c>
      <c r="P291" s="218" t="str">
        <f>IFERROR(IF(COUNTIF(INDEX(Personnel[Category],A291),"*Non-scientific*")&gt;0,IF(INDEX(Personnel[Months],A291)*INDEX(Personnel[FTE],A291)&gt;pers_NSP_max_months,$B$139,""),""),"")</f>
        <v/>
      </c>
      <c r="Q291" s="218" t="str">
        <f>IFERROR(IF(COUNTIF(INDEX(Personnel[Category],A291),"*Other scientific*")&gt;0,IF(OR(IFERROR(MATCH("*PhD*",Personnel[Category],0),0)&gt;0,IFERROR(MATCH("*PostDoc*",Personnel[Category],0),0)&gt;0),"",$B$140),""),"")</f>
        <v/>
      </c>
      <c r="R291" s="218" t="str">
        <f>IFERROR(IF(COUNTIF(INDEX(Personnel[Category],A291),"*Other scientific*")&gt;0,IF(Total_OSP&gt;pers_max_OSP,$B$141,""),""),"")</f>
        <v/>
      </c>
      <c r="S291" s="218" t="str">
        <f>IFERROR(IF(COUNTIF(INDEX(Personnel[Category],A291),"*Other scientific*")&gt;0,IF(INDEX(Personnel[Months],A291)*INDEX(Personnel[FTE],A291)&lt;pers_OSP_min_months,$B$142,""),""),"")</f>
        <v/>
      </c>
      <c r="T291" s="218" t="str">
        <f>IFERROR(IF(COUNTIF(INDEX(Personnel[Category],A291),"*Other scientific*")&gt;0,IF(INDEX(Personnel[Months],A291)*INDEX(Personnel[FTE],A291)&gt;pers_OSP_max_months,$B$143,""),""),"")</f>
        <v/>
      </c>
      <c r="U291" s="218" t="str">
        <f>IFERROR(IF(COUNTIF(INDEX(Personnel[Category],A291),"*leave*")&gt;0,IF(Total_Research_leave&gt;pers_leave_maxperc*Total_NWO_funding,$B$144,""),""),"")</f>
        <v/>
      </c>
      <c r="V291" s="218" t="str">
        <f>IFERROR(IF(COUNTIF(INDEX(Personnel[Category],A291),"*leave*")&gt;0,IF(Research_leave_FTE_months&gt;pers_leave_maxduration,$B$145,""),""),"")</f>
        <v/>
      </c>
      <c r="W291" s="218" t="str">
        <f>IFERROR(IF(AND(INDEX(Personnel[Costs],A291)=0,INDEX(salaries_academic[[category]:[1]],MATCH(INDEX(Personnel[Category],A291),salaries_academic[category],0),3)=0),$B$148,""),"")</f>
        <v/>
      </c>
      <c r="X291" s="218" t="e">
        <f>IF(AND(organisation_type="yes",INDEX(Personnel[Amount],A291,1)&lt;&gt;"",ISBLANK(INDEX(Personnel[Organisation type],A291,1))),$B$146,"")</f>
        <v>#REF!</v>
      </c>
      <c r="Y291" s="218" t="e">
        <f>IF(AND(organisation_name="yes",INDEX(Personnel[Amount],A291,1)&lt;&gt;"",ISBLANK(INDEX(Personnel[Name organisation],A291,1))),$B$147,"")</f>
        <v>#REF!</v>
      </c>
      <c r="Z291" s="218" t="str">
        <f>IFERROR(IF(AND(INDEX(Personnel[Costs],A291)&gt;0,INDEX(salaries_academic[[category]:[1]],MATCH(INDEX(Personnel[Category],A291),salaries_academic[category],0),3)&gt;0),$B$149,""),"")</f>
        <v/>
      </c>
      <c r="AA291" s="218"/>
    </row>
    <row r="292" spans="1:27" outlineLevel="1" x14ac:dyDescent="0.35">
      <c r="A292" s="195">
        <v>85</v>
      </c>
      <c r="B292" s="195" t="str">
        <f t="array" ref="B292">IFERROR(INDEX(personnel_ac_notes[[#This Row],[Exceeding nr months]:[Costs specified]],1,MATCH(TRUE,LEN(personnel_ac_notes[[#This Row],[Exceeding nr months]:[Costs specified]])&gt;0,0)),"")</f>
        <v/>
      </c>
      <c r="C292" s="195" t="str">
        <f>IFERROR(IF(INDEX(Personnel[Months],A292)&gt;Max_project_duration,$B$128,""),"")</f>
        <v/>
      </c>
      <c r="D292" s="195" t="str">
        <f>IFERROR(IF(AND(LEN(INDEX(Personnel[Category],A292))+LEN(INDEX(Personnel[FTE],A292))+LEN(INDEX(Personnel[Months],A292))&gt;0,LEN(INDEX(Personnel[Category],A292-1))+LEN(INDEX(Personnel[FTE],A292-1))+LEN(INDEX(Personnel[Months],A292-1))=0),$B$127,""),"")</f>
        <v/>
      </c>
      <c r="E292" s="195" t="str">
        <f>IF(AND(NOT(ISBLANK(INDEX(Personnel[Category],A292))),OR(ISBLANK(INDEX(Personnel[FTE],A292)),ISBLANK(INDEX(Personnel[Months],A292)))),VLOOKUP(INDEX(Personnel[Category],A292),salaries_academic[],2,FALSE),"")</f>
        <v/>
      </c>
      <c r="F292" s="195" t="str">
        <f>IFERROR(IF(COUNTIF(INDEX(Personnel[Category],A292),"*- PhD*")&gt;0,IF(INDEX(Personnel[Months],A292)*INDEX(Personnel[FTE],A292)&lt;pers_PhD_min_months,$B$129,""),""),"")</f>
        <v/>
      </c>
      <c r="G292" s="195" t="str">
        <f>IFERROR(IF(COUNTIF(INDEX(Personnel[Category],$A292),"*- PhD*")&gt;0,IF(INDEX(Personnel[Months],$A292)*INDEX(Personnel[FTE],$A292)&gt;pers_PhD_max_months,$B$130,""),""),"")</f>
        <v/>
      </c>
      <c r="H292" s="195" t="str">
        <f>IFERROR(IF(COUNTIF(INDEX(Personnel[Category],A292),"*year*")&gt;0,IF(INDEX(Personnel[Months],A292)*INDEX(Personnel[FTE],A292)&lt;pers_3yPhD_min_months,$B$131,""),""),"")</f>
        <v/>
      </c>
      <c r="I292" s="218" t="str">
        <f>IFERROR(IF(COUNTIF(INDEX(Personnel[Category],A292),"*PDEng*")&gt;0,IF(OR(IFERROR(MATCH("*PhD*",Personnel[Category],0),0)&gt;0,IFERROR(MATCH("*PostDoc*",Personnel[Category],0),0)&gt;0),"",$B$132),""),"")</f>
        <v/>
      </c>
      <c r="J292" s="218" t="str">
        <f>IFERROR(IF(COUNTIF(INDEX(Personnel[Category],A292),"*PDEng*")&gt;0,IF(INDEX(Personnel[Months],A292)*INDEX(Personnel[FTE],A292)&gt;pers_PDEng_max_months,$B$133,""),""),"")</f>
        <v/>
      </c>
      <c r="K292" s="218" t="str">
        <f>IFERROR(IF(COUNTIF(INDEX(Personnel[Category],A292),"*PostDoc*")&gt;0,IF(INDEX(Personnel[Months],A292)*INDEX(Personnel[FTE],A292)&lt;pers_PD_min_months,$B$134,""),""),"")</f>
        <v/>
      </c>
      <c r="L292" s="218" t="str">
        <f>IFERROR(IF(COUNTIF(INDEX(Personnel[Category],A292),"*PostDoc*")&gt;0,IF(INDEX(Personnel[Months],A292)*INDEX(Personnel[FTE],A292)&gt;pers_PD_max_months,$B$135,""),""),"")</f>
        <v/>
      </c>
      <c r="M292" s="218" t="str">
        <f>IFERROR(IF(COUNTIF(INDEX(Personnel[Category],A292),"*Non-scientific*")&gt;0,IF(OR(IFERROR(MATCH("*PhD*",Personnel[Category],0),0)&gt;0,IFERROR(MATCH("*PostDoc*",Personnel[Category],0),0)&gt;0),"",$B$136),""),"")</f>
        <v/>
      </c>
      <c r="N292" s="218" t="str">
        <f>IFERROR(IF(COUNTIF(INDEX(Personnel[Category],A292),"*Non-scientific*")&gt;0,IF(Total_NSP&gt;pers_max_NSP,$B$137,""),""),"")</f>
        <v/>
      </c>
      <c r="O292" s="218" t="str">
        <f>IFERROR(IF(COUNTIF(INDEX(Personnel[Category],A292),"*Non-scientific*")&gt;0,IF(INDEX(Personnel[Months],A292)*INDEX(Personnel[FTE],A292)&lt;pers_NSP_min_months,$B$138,""),""),"")</f>
        <v/>
      </c>
      <c r="P292" s="218" t="str">
        <f>IFERROR(IF(COUNTIF(INDEX(Personnel[Category],A292),"*Non-scientific*")&gt;0,IF(INDEX(Personnel[Months],A292)*INDEX(Personnel[FTE],A292)&gt;pers_NSP_max_months,$B$139,""),""),"")</f>
        <v/>
      </c>
      <c r="Q292" s="218" t="str">
        <f>IFERROR(IF(COUNTIF(INDEX(Personnel[Category],A292),"*Other scientific*")&gt;0,IF(OR(IFERROR(MATCH("*PhD*",Personnel[Category],0),0)&gt;0,IFERROR(MATCH("*PostDoc*",Personnel[Category],0),0)&gt;0),"",$B$140),""),"")</f>
        <v/>
      </c>
      <c r="R292" s="218" t="str">
        <f>IFERROR(IF(COUNTIF(INDEX(Personnel[Category],A292),"*Other scientific*")&gt;0,IF(Total_OSP&gt;pers_max_OSP,$B$141,""),""),"")</f>
        <v/>
      </c>
      <c r="S292" s="218" t="str">
        <f>IFERROR(IF(COUNTIF(INDEX(Personnel[Category],A292),"*Other scientific*")&gt;0,IF(INDEX(Personnel[Months],A292)*INDEX(Personnel[FTE],A292)&lt;pers_OSP_min_months,$B$142,""),""),"")</f>
        <v/>
      </c>
      <c r="T292" s="218" t="str">
        <f>IFERROR(IF(COUNTIF(INDEX(Personnel[Category],A292),"*Other scientific*")&gt;0,IF(INDEX(Personnel[Months],A292)*INDEX(Personnel[FTE],A292)&gt;pers_OSP_max_months,$B$143,""),""),"")</f>
        <v/>
      </c>
      <c r="U292" s="218" t="str">
        <f>IFERROR(IF(COUNTIF(INDEX(Personnel[Category],A292),"*leave*")&gt;0,IF(Total_Research_leave&gt;pers_leave_maxperc*Total_NWO_funding,$B$144,""),""),"")</f>
        <v/>
      </c>
      <c r="V292" s="218" t="str">
        <f>IFERROR(IF(COUNTIF(INDEX(Personnel[Category],A292),"*leave*")&gt;0,IF(Research_leave_FTE_months&gt;pers_leave_maxduration,$B$145,""),""),"")</f>
        <v/>
      </c>
      <c r="W292" s="218" t="str">
        <f>IFERROR(IF(AND(INDEX(Personnel[Costs],A292)=0,INDEX(salaries_academic[[category]:[1]],MATCH(INDEX(Personnel[Category],A292),salaries_academic[category],0),3)=0),$B$148,""),"")</f>
        <v/>
      </c>
      <c r="X292" s="218" t="e">
        <f>IF(AND(organisation_type="yes",INDEX(Personnel[Amount],A292,1)&lt;&gt;"",ISBLANK(INDEX(Personnel[Organisation type],A292,1))),$B$146,"")</f>
        <v>#REF!</v>
      </c>
      <c r="Y292" s="218" t="e">
        <f>IF(AND(organisation_name="yes",INDEX(Personnel[Amount],A292,1)&lt;&gt;"",ISBLANK(INDEX(Personnel[Name organisation],A292,1))),$B$147,"")</f>
        <v>#REF!</v>
      </c>
      <c r="Z292" s="218" t="str">
        <f>IFERROR(IF(AND(INDEX(Personnel[Costs],A292)&gt;0,INDEX(salaries_academic[[category]:[1]],MATCH(INDEX(Personnel[Category],A292),salaries_academic[category],0),3)&gt;0),$B$149,""),"")</f>
        <v/>
      </c>
      <c r="AA292" s="218"/>
    </row>
    <row r="293" spans="1:27" outlineLevel="1" x14ac:dyDescent="0.35">
      <c r="A293" s="195">
        <v>86</v>
      </c>
      <c r="B293" s="195" t="str">
        <f t="array" ref="B293">IFERROR(INDEX(personnel_ac_notes[[#This Row],[Exceeding nr months]:[Costs specified]],1,MATCH(TRUE,LEN(personnel_ac_notes[[#This Row],[Exceeding nr months]:[Costs specified]])&gt;0,0)),"")</f>
        <v/>
      </c>
      <c r="C293" s="195" t="str">
        <f>IFERROR(IF(INDEX(Personnel[Months],A293)&gt;Max_project_duration,$B$128,""),"")</f>
        <v/>
      </c>
      <c r="D293" s="195" t="str">
        <f>IFERROR(IF(AND(LEN(INDEX(Personnel[Category],A293))+LEN(INDEX(Personnel[FTE],A293))+LEN(INDEX(Personnel[Months],A293))&gt;0,LEN(INDEX(Personnel[Category],A293-1))+LEN(INDEX(Personnel[FTE],A293-1))+LEN(INDEX(Personnel[Months],A293-1))=0),$B$127,""),"")</f>
        <v/>
      </c>
      <c r="E293" s="195" t="str">
        <f>IF(AND(NOT(ISBLANK(INDEX(Personnel[Category],A293))),OR(ISBLANK(INDEX(Personnel[FTE],A293)),ISBLANK(INDEX(Personnel[Months],A293)))),VLOOKUP(INDEX(Personnel[Category],A293),salaries_academic[],2,FALSE),"")</f>
        <v/>
      </c>
      <c r="F293" s="195" t="str">
        <f>IFERROR(IF(COUNTIF(INDEX(Personnel[Category],A293),"*- PhD*")&gt;0,IF(INDEX(Personnel[Months],A293)*INDEX(Personnel[FTE],A293)&lt;pers_PhD_min_months,$B$129,""),""),"")</f>
        <v/>
      </c>
      <c r="G293" s="195" t="str">
        <f>IFERROR(IF(COUNTIF(INDEX(Personnel[Category],$A293),"*- PhD*")&gt;0,IF(INDEX(Personnel[Months],$A293)*INDEX(Personnel[FTE],$A293)&gt;pers_PhD_max_months,$B$130,""),""),"")</f>
        <v/>
      </c>
      <c r="H293" s="195" t="str">
        <f>IFERROR(IF(COUNTIF(INDEX(Personnel[Category],A293),"*year*")&gt;0,IF(INDEX(Personnel[Months],A293)*INDEX(Personnel[FTE],A293)&lt;pers_3yPhD_min_months,$B$131,""),""),"")</f>
        <v/>
      </c>
      <c r="I293" s="218" t="str">
        <f>IFERROR(IF(COUNTIF(INDEX(Personnel[Category],A293),"*PDEng*")&gt;0,IF(OR(IFERROR(MATCH("*PhD*",Personnel[Category],0),0)&gt;0,IFERROR(MATCH("*PostDoc*",Personnel[Category],0),0)&gt;0),"",$B$132),""),"")</f>
        <v/>
      </c>
      <c r="J293" s="218" t="str">
        <f>IFERROR(IF(COUNTIF(INDEX(Personnel[Category],A293),"*PDEng*")&gt;0,IF(INDEX(Personnel[Months],A293)*INDEX(Personnel[FTE],A293)&gt;pers_PDEng_max_months,$B$133,""),""),"")</f>
        <v/>
      </c>
      <c r="K293" s="218" t="str">
        <f>IFERROR(IF(COUNTIF(INDEX(Personnel[Category],A293),"*PostDoc*")&gt;0,IF(INDEX(Personnel[Months],A293)*INDEX(Personnel[FTE],A293)&lt;pers_PD_min_months,$B$134,""),""),"")</f>
        <v/>
      </c>
      <c r="L293" s="218" t="str">
        <f>IFERROR(IF(COUNTIF(INDEX(Personnel[Category],A293),"*PostDoc*")&gt;0,IF(INDEX(Personnel[Months],A293)*INDEX(Personnel[FTE],A293)&gt;pers_PD_max_months,$B$135,""),""),"")</f>
        <v/>
      </c>
      <c r="M293" s="218" t="str">
        <f>IFERROR(IF(COUNTIF(INDEX(Personnel[Category],A293),"*Non-scientific*")&gt;0,IF(OR(IFERROR(MATCH("*PhD*",Personnel[Category],0),0)&gt;0,IFERROR(MATCH("*PostDoc*",Personnel[Category],0),0)&gt;0),"",$B$136),""),"")</f>
        <v/>
      </c>
      <c r="N293" s="218" t="str">
        <f>IFERROR(IF(COUNTIF(INDEX(Personnel[Category],A293),"*Non-scientific*")&gt;0,IF(Total_NSP&gt;pers_max_NSP,$B$137,""),""),"")</f>
        <v/>
      </c>
      <c r="O293" s="218" t="str">
        <f>IFERROR(IF(COUNTIF(INDEX(Personnel[Category],A293),"*Non-scientific*")&gt;0,IF(INDEX(Personnel[Months],A293)*INDEX(Personnel[FTE],A293)&lt;pers_NSP_min_months,$B$138,""),""),"")</f>
        <v/>
      </c>
      <c r="P293" s="218" t="str">
        <f>IFERROR(IF(COUNTIF(INDEX(Personnel[Category],A293),"*Non-scientific*")&gt;0,IF(INDEX(Personnel[Months],A293)*INDEX(Personnel[FTE],A293)&gt;pers_NSP_max_months,$B$139,""),""),"")</f>
        <v/>
      </c>
      <c r="Q293" s="218" t="str">
        <f>IFERROR(IF(COUNTIF(INDEX(Personnel[Category],A293),"*Other scientific*")&gt;0,IF(OR(IFERROR(MATCH("*PhD*",Personnel[Category],0),0)&gt;0,IFERROR(MATCH("*PostDoc*",Personnel[Category],0),0)&gt;0),"",$B$140),""),"")</f>
        <v/>
      </c>
      <c r="R293" s="218" t="str">
        <f>IFERROR(IF(COUNTIF(INDEX(Personnel[Category],A293),"*Other scientific*")&gt;0,IF(Total_OSP&gt;pers_max_OSP,$B$141,""),""),"")</f>
        <v/>
      </c>
      <c r="S293" s="218" t="str">
        <f>IFERROR(IF(COUNTIF(INDEX(Personnel[Category],A293),"*Other scientific*")&gt;0,IF(INDEX(Personnel[Months],A293)*INDEX(Personnel[FTE],A293)&lt;pers_OSP_min_months,$B$142,""),""),"")</f>
        <v/>
      </c>
      <c r="T293" s="218" t="str">
        <f>IFERROR(IF(COUNTIF(INDEX(Personnel[Category],A293),"*Other scientific*")&gt;0,IF(INDEX(Personnel[Months],A293)*INDEX(Personnel[FTE],A293)&gt;pers_OSP_max_months,$B$143,""),""),"")</f>
        <v/>
      </c>
      <c r="U293" s="218" t="str">
        <f>IFERROR(IF(COUNTIF(INDEX(Personnel[Category],A293),"*leave*")&gt;0,IF(Total_Research_leave&gt;pers_leave_maxperc*Total_NWO_funding,$B$144,""),""),"")</f>
        <v/>
      </c>
      <c r="V293" s="218" t="str">
        <f>IFERROR(IF(COUNTIF(INDEX(Personnel[Category],A293),"*leave*")&gt;0,IF(Research_leave_FTE_months&gt;pers_leave_maxduration,$B$145,""),""),"")</f>
        <v/>
      </c>
      <c r="W293" s="218" t="str">
        <f>IFERROR(IF(AND(INDEX(Personnel[Costs],A293)=0,INDEX(salaries_academic[[category]:[1]],MATCH(INDEX(Personnel[Category],A293),salaries_academic[category],0),3)=0),$B$148,""),"")</f>
        <v/>
      </c>
      <c r="X293" s="218" t="e">
        <f>IF(AND(organisation_type="yes",INDEX(Personnel[Amount],A293,1)&lt;&gt;"",ISBLANK(INDEX(Personnel[Organisation type],A293,1))),$B$146,"")</f>
        <v>#REF!</v>
      </c>
      <c r="Y293" s="218" t="e">
        <f>IF(AND(organisation_name="yes",INDEX(Personnel[Amount],A293,1)&lt;&gt;"",ISBLANK(INDEX(Personnel[Name organisation],A293,1))),$B$147,"")</f>
        <v>#REF!</v>
      </c>
      <c r="Z293" s="218" t="str">
        <f>IFERROR(IF(AND(INDEX(Personnel[Costs],A293)&gt;0,INDEX(salaries_academic[[category]:[1]],MATCH(INDEX(Personnel[Category],A293),salaries_academic[category],0),3)&gt;0),$B$149,""),"")</f>
        <v/>
      </c>
      <c r="AA293" s="218"/>
    </row>
    <row r="294" spans="1:27" outlineLevel="1" x14ac:dyDescent="0.35">
      <c r="A294" s="195">
        <v>87</v>
      </c>
      <c r="B294" s="195" t="str">
        <f t="array" ref="B294">IFERROR(INDEX(personnel_ac_notes[[#This Row],[Exceeding nr months]:[Costs specified]],1,MATCH(TRUE,LEN(personnel_ac_notes[[#This Row],[Exceeding nr months]:[Costs specified]])&gt;0,0)),"")</f>
        <v/>
      </c>
      <c r="C294" s="195" t="str">
        <f>IFERROR(IF(INDEX(Personnel[Months],A294)&gt;Max_project_duration,$B$128,""),"")</f>
        <v/>
      </c>
      <c r="D294" s="195" t="str">
        <f>IFERROR(IF(AND(LEN(INDEX(Personnel[Category],A294))+LEN(INDEX(Personnel[FTE],A294))+LEN(INDEX(Personnel[Months],A294))&gt;0,LEN(INDEX(Personnel[Category],A294-1))+LEN(INDEX(Personnel[FTE],A294-1))+LEN(INDEX(Personnel[Months],A294-1))=0),$B$127,""),"")</f>
        <v/>
      </c>
      <c r="E294" s="195" t="str">
        <f>IF(AND(NOT(ISBLANK(INDEX(Personnel[Category],A294))),OR(ISBLANK(INDEX(Personnel[FTE],A294)),ISBLANK(INDEX(Personnel[Months],A294)))),VLOOKUP(INDEX(Personnel[Category],A294),salaries_academic[],2,FALSE),"")</f>
        <v/>
      </c>
      <c r="F294" s="195" t="str">
        <f>IFERROR(IF(COUNTIF(INDEX(Personnel[Category],A294),"*- PhD*")&gt;0,IF(INDEX(Personnel[Months],A294)*INDEX(Personnel[FTE],A294)&lt;pers_PhD_min_months,$B$129,""),""),"")</f>
        <v/>
      </c>
      <c r="G294" s="195" t="str">
        <f>IFERROR(IF(COUNTIF(INDEX(Personnel[Category],$A294),"*- PhD*")&gt;0,IF(INDEX(Personnel[Months],$A294)*INDEX(Personnel[FTE],$A294)&gt;pers_PhD_max_months,$B$130,""),""),"")</f>
        <v/>
      </c>
      <c r="H294" s="195" t="str">
        <f>IFERROR(IF(COUNTIF(INDEX(Personnel[Category],A294),"*year*")&gt;0,IF(INDEX(Personnel[Months],A294)*INDEX(Personnel[FTE],A294)&lt;pers_3yPhD_min_months,$B$131,""),""),"")</f>
        <v/>
      </c>
      <c r="I294" s="218" t="str">
        <f>IFERROR(IF(COUNTIF(INDEX(Personnel[Category],A294),"*PDEng*")&gt;0,IF(OR(IFERROR(MATCH("*PhD*",Personnel[Category],0),0)&gt;0,IFERROR(MATCH("*PostDoc*",Personnel[Category],0),0)&gt;0),"",$B$132),""),"")</f>
        <v/>
      </c>
      <c r="J294" s="218" t="str">
        <f>IFERROR(IF(COUNTIF(INDEX(Personnel[Category],A294),"*PDEng*")&gt;0,IF(INDEX(Personnel[Months],A294)*INDEX(Personnel[FTE],A294)&gt;pers_PDEng_max_months,$B$133,""),""),"")</f>
        <v/>
      </c>
      <c r="K294" s="218" t="str">
        <f>IFERROR(IF(COUNTIF(INDEX(Personnel[Category],A294),"*PostDoc*")&gt;0,IF(INDEX(Personnel[Months],A294)*INDEX(Personnel[FTE],A294)&lt;pers_PD_min_months,$B$134,""),""),"")</f>
        <v/>
      </c>
      <c r="L294" s="218" t="str">
        <f>IFERROR(IF(COUNTIF(INDEX(Personnel[Category],A294),"*PostDoc*")&gt;0,IF(INDEX(Personnel[Months],A294)*INDEX(Personnel[FTE],A294)&gt;pers_PD_max_months,$B$135,""),""),"")</f>
        <v/>
      </c>
      <c r="M294" s="218" t="str">
        <f>IFERROR(IF(COUNTIF(INDEX(Personnel[Category],A294),"*Non-scientific*")&gt;0,IF(OR(IFERROR(MATCH("*PhD*",Personnel[Category],0),0)&gt;0,IFERROR(MATCH("*PostDoc*",Personnel[Category],0),0)&gt;0),"",$B$136),""),"")</f>
        <v/>
      </c>
      <c r="N294" s="218" t="str">
        <f>IFERROR(IF(COUNTIF(INDEX(Personnel[Category],A294),"*Non-scientific*")&gt;0,IF(Total_NSP&gt;pers_max_NSP,$B$137,""),""),"")</f>
        <v/>
      </c>
      <c r="O294" s="218" t="str">
        <f>IFERROR(IF(COUNTIF(INDEX(Personnel[Category],A294),"*Non-scientific*")&gt;0,IF(INDEX(Personnel[Months],A294)*INDEX(Personnel[FTE],A294)&lt;pers_NSP_min_months,$B$138,""),""),"")</f>
        <v/>
      </c>
      <c r="P294" s="218" t="str">
        <f>IFERROR(IF(COUNTIF(INDEX(Personnel[Category],A294),"*Non-scientific*")&gt;0,IF(INDEX(Personnel[Months],A294)*INDEX(Personnel[FTE],A294)&gt;pers_NSP_max_months,$B$139,""),""),"")</f>
        <v/>
      </c>
      <c r="Q294" s="218" t="str">
        <f>IFERROR(IF(COUNTIF(INDEX(Personnel[Category],A294),"*Other scientific*")&gt;0,IF(OR(IFERROR(MATCH("*PhD*",Personnel[Category],0),0)&gt;0,IFERROR(MATCH("*PostDoc*",Personnel[Category],0),0)&gt;0),"",$B$140),""),"")</f>
        <v/>
      </c>
      <c r="R294" s="218" t="str">
        <f>IFERROR(IF(COUNTIF(INDEX(Personnel[Category],A294),"*Other scientific*")&gt;0,IF(Total_OSP&gt;pers_max_OSP,$B$141,""),""),"")</f>
        <v/>
      </c>
      <c r="S294" s="218" t="str">
        <f>IFERROR(IF(COUNTIF(INDEX(Personnel[Category],A294),"*Other scientific*")&gt;0,IF(INDEX(Personnel[Months],A294)*INDEX(Personnel[FTE],A294)&lt;pers_OSP_min_months,$B$142,""),""),"")</f>
        <v/>
      </c>
      <c r="T294" s="218" t="str">
        <f>IFERROR(IF(COUNTIF(INDEX(Personnel[Category],A294),"*Other scientific*")&gt;0,IF(INDEX(Personnel[Months],A294)*INDEX(Personnel[FTE],A294)&gt;pers_OSP_max_months,$B$143,""),""),"")</f>
        <v/>
      </c>
      <c r="U294" s="218" t="str">
        <f>IFERROR(IF(COUNTIF(INDEX(Personnel[Category],A294),"*leave*")&gt;0,IF(Total_Research_leave&gt;pers_leave_maxperc*Total_NWO_funding,$B$144,""),""),"")</f>
        <v/>
      </c>
      <c r="V294" s="218" t="str">
        <f>IFERROR(IF(COUNTIF(INDEX(Personnel[Category],A294),"*leave*")&gt;0,IF(Research_leave_FTE_months&gt;pers_leave_maxduration,$B$145,""),""),"")</f>
        <v/>
      </c>
      <c r="W294" s="218" t="str">
        <f>IFERROR(IF(AND(INDEX(Personnel[Costs],A294)=0,INDEX(salaries_academic[[category]:[1]],MATCH(INDEX(Personnel[Category],A294),salaries_academic[category],0),3)=0),$B$148,""),"")</f>
        <v/>
      </c>
      <c r="X294" s="218" t="e">
        <f>IF(AND(organisation_type="yes",INDEX(Personnel[Amount],A294,1)&lt;&gt;"",ISBLANK(INDEX(Personnel[Organisation type],A294,1))),$B$146,"")</f>
        <v>#REF!</v>
      </c>
      <c r="Y294" s="218" t="e">
        <f>IF(AND(organisation_name="yes",INDEX(Personnel[Amount],A294,1)&lt;&gt;"",ISBLANK(INDEX(Personnel[Name organisation],A294,1))),$B$147,"")</f>
        <v>#REF!</v>
      </c>
      <c r="Z294" s="218" t="str">
        <f>IFERROR(IF(AND(INDEX(Personnel[Costs],A294)&gt;0,INDEX(salaries_academic[[category]:[1]],MATCH(INDEX(Personnel[Category],A294),salaries_academic[category],0),3)&gt;0),$B$149,""),"")</f>
        <v/>
      </c>
      <c r="AA294" s="218"/>
    </row>
    <row r="295" spans="1:27" outlineLevel="1" x14ac:dyDescent="0.35">
      <c r="A295" s="195">
        <v>88</v>
      </c>
      <c r="B295" s="195" t="str">
        <f t="array" ref="B295">IFERROR(INDEX(personnel_ac_notes[[#This Row],[Exceeding nr months]:[Costs specified]],1,MATCH(TRUE,LEN(personnel_ac_notes[[#This Row],[Exceeding nr months]:[Costs specified]])&gt;0,0)),"")</f>
        <v/>
      </c>
      <c r="C295" s="195" t="str">
        <f>IFERROR(IF(INDEX(Personnel[Months],A295)&gt;Max_project_duration,$B$128,""),"")</f>
        <v/>
      </c>
      <c r="D295" s="195" t="str">
        <f>IFERROR(IF(AND(LEN(INDEX(Personnel[Category],A295))+LEN(INDEX(Personnel[FTE],A295))+LEN(INDEX(Personnel[Months],A295))&gt;0,LEN(INDEX(Personnel[Category],A295-1))+LEN(INDEX(Personnel[FTE],A295-1))+LEN(INDEX(Personnel[Months],A295-1))=0),$B$127,""),"")</f>
        <v/>
      </c>
      <c r="E295" s="195" t="str">
        <f>IF(AND(NOT(ISBLANK(INDEX(Personnel[Category],A295))),OR(ISBLANK(INDEX(Personnel[FTE],A295)),ISBLANK(INDEX(Personnel[Months],A295)))),VLOOKUP(INDEX(Personnel[Category],A295),salaries_academic[],2,FALSE),"")</f>
        <v/>
      </c>
      <c r="F295" s="195" t="str">
        <f>IFERROR(IF(COUNTIF(INDEX(Personnel[Category],A295),"*- PhD*")&gt;0,IF(INDEX(Personnel[Months],A295)*INDEX(Personnel[FTE],A295)&lt;pers_PhD_min_months,$B$129,""),""),"")</f>
        <v/>
      </c>
      <c r="G295" s="195" t="str">
        <f>IFERROR(IF(COUNTIF(INDEX(Personnel[Category],$A295),"*- PhD*")&gt;0,IF(INDEX(Personnel[Months],$A295)*INDEX(Personnel[FTE],$A295)&gt;pers_PhD_max_months,$B$130,""),""),"")</f>
        <v/>
      </c>
      <c r="H295" s="195" t="str">
        <f>IFERROR(IF(COUNTIF(INDEX(Personnel[Category],A295),"*year*")&gt;0,IF(INDEX(Personnel[Months],A295)*INDEX(Personnel[FTE],A295)&lt;pers_3yPhD_min_months,$B$131,""),""),"")</f>
        <v/>
      </c>
      <c r="I295" s="218" t="str">
        <f>IFERROR(IF(COUNTIF(INDEX(Personnel[Category],A295),"*PDEng*")&gt;0,IF(OR(IFERROR(MATCH("*PhD*",Personnel[Category],0),0)&gt;0,IFERROR(MATCH("*PostDoc*",Personnel[Category],0),0)&gt;0),"",$B$132),""),"")</f>
        <v/>
      </c>
      <c r="J295" s="218" t="str">
        <f>IFERROR(IF(COUNTIF(INDEX(Personnel[Category],A295),"*PDEng*")&gt;0,IF(INDEX(Personnel[Months],A295)*INDEX(Personnel[FTE],A295)&gt;pers_PDEng_max_months,$B$133,""),""),"")</f>
        <v/>
      </c>
      <c r="K295" s="218" t="str">
        <f>IFERROR(IF(COUNTIF(INDEX(Personnel[Category],A295),"*PostDoc*")&gt;0,IF(INDEX(Personnel[Months],A295)*INDEX(Personnel[FTE],A295)&lt;pers_PD_min_months,$B$134,""),""),"")</f>
        <v/>
      </c>
      <c r="L295" s="218" t="str">
        <f>IFERROR(IF(COUNTIF(INDEX(Personnel[Category],A295),"*PostDoc*")&gt;0,IF(INDEX(Personnel[Months],A295)*INDEX(Personnel[FTE],A295)&gt;pers_PD_max_months,$B$135,""),""),"")</f>
        <v/>
      </c>
      <c r="M295" s="218" t="str">
        <f>IFERROR(IF(COUNTIF(INDEX(Personnel[Category],A295),"*Non-scientific*")&gt;0,IF(OR(IFERROR(MATCH("*PhD*",Personnel[Category],0),0)&gt;0,IFERROR(MATCH("*PostDoc*",Personnel[Category],0),0)&gt;0),"",$B$136),""),"")</f>
        <v/>
      </c>
      <c r="N295" s="218" t="str">
        <f>IFERROR(IF(COUNTIF(INDEX(Personnel[Category],A295),"*Non-scientific*")&gt;0,IF(Total_NSP&gt;pers_max_NSP,$B$137,""),""),"")</f>
        <v/>
      </c>
      <c r="O295" s="218" t="str">
        <f>IFERROR(IF(COUNTIF(INDEX(Personnel[Category],A295),"*Non-scientific*")&gt;0,IF(INDEX(Personnel[Months],A295)*INDEX(Personnel[FTE],A295)&lt;pers_NSP_min_months,$B$138,""),""),"")</f>
        <v/>
      </c>
      <c r="P295" s="218" t="str">
        <f>IFERROR(IF(COUNTIF(INDEX(Personnel[Category],A295),"*Non-scientific*")&gt;0,IF(INDEX(Personnel[Months],A295)*INDEX(Personnel[FTE],A295)&gt;pers_NSP_max_months,$B$139,""),""),"")</f>
        <v/>
      </c>
      <c r="Q295" s="218" t="str">
        <f>IFERROR(IF(COUNTIF(INDEX(Personnel[Category],A295),"*Other scientific*")&gt;0,IF(OR(IFERROR(MATCH("*PhD*",Personnel[Category],0),0)&gt;0,IFERROR(MATCH("*PostDoc*",Personnel[Category],0),0)&gt;0),"",$B$140),""),"")</f>
        <v/>
      </c>
      <c r="R295" s="218" t="str">
        <f>IFERROR(IF(COUNTIF(INDEX(Personnel[Category],A295),"*Other scientific*")&gt;0,IF(Total_OSP&gt;pers_max_OSP,$B$141,""),""),"")</f>
        <v/>
      </c>
      <c r="S295" s="218" t="str">
        <f>IFERROR(IF(COUNTIF(INDEX(Personnel[Category],A295),"*Other scientific*")&gt;0,IF(INDEX(Personnel[Months],A295)*INDEX(Personnel[FTE],A295)&lt;pers_OSP_min_months,$B$142,""),""),"")</f>
        <v/>
      </c>
      <c r="T295" s="218" t="str">
        <f>IFERROR(IF(COUNTIF(INDEX(Personnel[Category],A295),"*Other scientific*")&gt;0,IF(INDEX(Personnel[Months],A295)*INDEX(Personnel[FTE],A295)&gt;pers_OSP_max_months,$B$143,""),""),"")</f>
        <v/>
      </c>
      <c r="U295" s="218" t="str">
        <f>IFERROR(IF(COUNTIF(INDEX(Personnel[Category],A295),"*leave*")&gt;0,IF(Total_Research_leave&gt;pers_leave_maxperc*Total_NWO_funding,$B$144,""),""),"")</f>
        <v/>
      </c>
      <c r="V295" s="218" t="str">
        <f>IFERROR(IF(COUNTIF(INDEX(Personnel[Category],A295),"*leave*")&gt;0,IF(Research_leave_FTE_months&gt;pers_leave_maxduration,$B$145,""),""),"")</f>
        <v/>
      </c>
      <c r="W295" s="218" t="str">
        <f>IFERROR(IF(AND(INDEX(Personnel[Costs],A295)=0,INDEX(salaries_academic[[category]:[1]],MATCH(INDEX(Personnel[Category],A295),salaries_academic[category],0),3)=0),$B$148,""),"")</f>
        <v/>
      </c>
      <c r="X295" s="218" t="e">
        <f>IF(AND(organisation_type="yes",INDEX(Personnel[Amount],A295,1)&lt;&gt;"",ISBLANK(INDEX(Personnel[Organisation type],A295,1))),$B$146,"")</f>
        <v>#REF!</v>
      </c>
      <c r="Y295" s="218" t="e">
        <f>IF(AND(organisation_name="yes",INDEX(Personnel[Amount],A295,1)&lt;&gt;"",ISBLANK(INDEX(Personnel[Name organisation],A295,1))),$B$147,"")</f>
        <v>#REF!</v>
      </c>
      <c r="Z295" s="218" t="str">
        <f>IFERROR(IF(AND(INDEX(Personnel[Costs],A295)&gt;0,INDEX(salaries_academic[[category]:[1]],MATCH(INDEX(Personnel[Category],A295),salaries_academic[category],0),3)&gt;0),$B$149,""),"")</f>
        <v/>
      </c>
      <c r="AA295" s="218"/>
    </row>
    <row r="296" spans="1:27" outlineLevel="1" x14ac:dyDescent="0.35">
      <c r="A296" s="195">
        <v>89</v>
      </c>
      <c r="B296" s="195" t="str">
        <f t="array" ref="B296">IFERROR(INDEX(personnel_ac_notes[[#This Row],[Exceeding nr months]:[Costs specified]],1,MATCH(TRUE,LEN(personnel_ac_notes[[#This Row],[Exceeding nr months]:[Costs specified]])&gt;0,0)),"")</f>
        <v/>
      </c>
      <c r="C296" s="195" t="str">
        <f>IFERROR(IF(INDEX(Personnel[Months],A296)&gt;Max_project_duration,$B$128,""),"")</f>
        <v/>
      </c>
      <c r="D296" s="195" t="str">
        <f>IFERROR(IF(AND(LEN(INDEX(Personnel[Category],A296))+LEN(INDEX(Personnel[FTE],A296))+LEN(INDEX(Personnel[Months],A296))&gt;0,LEN(INDEX(Personnel[Category],A296-1))+LEN(INDEX(Personnel[FTE],A296-1))+LEN(INDEX(Personnel[Months],A296-1))=0),$B$127,""),"")</f>
        <v/>
      </c>
      <c r="E296" s="195" t="str">
        <f>IF(AND(NOT(ISBLANK(INDEX(Personnel[Category],A296))),OR(ISBLANK(INDEX(Personnel[FTE],A296)),ISBLANK(INDEX(Personnel[Months],A296)))),VLOOKUP(INDEX(Personnel[Category],A296),salaries_academic[],2,FALSE),"")</f>
        <v/>
      </c>
      <c r="F296" s="195" t="str">
        <f>IFERROR(IF(COUNTIF(INDEX(Personnel[Category],A296),"*- PhD*")&gt;0,IF(INDEX(Personnel[Months],A296)*INDEX(Personnel[FTE],A296)&lt;pers_PhD_min_months,$B$129,""),""),"")</f>
        <v/>
      </c>
      <c r="G296" s="195" t="str">
        <f>IFERROR(IF(COUNTIF(INDEX(Personnel[Category],$A296),"*- PhD*")&gt;0,IF(INDEX(Personnel[Months],$A296)*INDEX(Personnel[FTE],$A296)&gt;pers_PhD_max_months,$B$130,""),""),"")</f>
        <v/>
      </c>
      <c r="H296" s="195" t="str">
        <f>IFERROR(IF(COUNTIF(INDEX(Personnel[Category],A296),"*year*")&gt;0,IF(INDEX(Personnel[Months],A296)*INDEX(Personnel[FTE],A296)&lt;pers_3yPhD_min_months,$B$131,""),""),"")</f>
        <v/>
      </c>
      <c r="I296" s="218" t="str">
        <f>IFERROR(IF(COUNTIF(INDEX(Personnel[Category],A296),"*PDEng*")&gt;0,IF(OR(IFERROR(MATCH("*PhD*",Personnel[Category],0),0)&gt;0,IFERROR(MATCH("*PostDoc*",Personnel[Category],0),0)&gt;0),"",$B$132),""),"")</f>
        <v/>
      </c>
      <c r="J296" s="218" t="str">
        <f>IFERROR(IF(COUNTIF(INDEX(Personnel[Category],A296),"*PDEng*")&gt;0,IF(INDEX(Personnel[Months],A296)*INDEX(Personnel[FTE],A296)&gt;pers_PDEng_max_months,$B$133,""),""),"")</f>
        <v/>
      </c>
      <c r="K296" s="218" t="str">
        <f>IFERROR(IF(COUNTIF(INDEX(Personnel[Category],A296),"*PostDoc*")&gt;0,IF(INDEX(Personnel[Months],A296)*INDEX(Personnel[FTE],A296)&lt;pers_PD_min_months,$B$134,""),""),"")</f>
        <v/>
      </c>
      <c r="L296" s="218" t="str">
        <f>IFERROR(IF(COUNTIF(INDEX(Personnel[Category],A296),"*PostDoc*")&gt;0,IF(INDEX(Personnel[Months],A296)*INDEX(Personnel[FTE],A296)&gt;pers_PD_max_months,$B$135,""),""),"")</f>
        <v/>
      </c>
      <c r="M296" s="218" t="str">
        <f>IFERROR(IF(COUNTIF(INDEX(Personnel[Category],A296),"*Non-scientific*")&gt;0,IF(OR(IFERROR(MATCH("*PhD*",Personnel[Category],0),0)&gt;0,IFERROR(MATCH("*PostDoc*",Personnel[Category],0),0)&gt;0),"",$B$136),""),"")</f>
        <v/>
      </c>
      <c r="N296" s="218" t="str">
        <f>IFERROR(IF(COUNTIF(INDEX(Personnel[Category],A296),"*Non-scientific*")&gt;0,IF(Total_NSP&gt;pers_max_NSP,$B$137,""),""),"")</f>
        <v/>
      </c>
      <c r="O296" s="218" t="str">
        <f>IFERROR(IF(COUNTIF(INDEX(Personnel[Category],A296),"*Non-scientific*")&gt;0,IF(INDEX(Personnel[Months],A296)*INDEX(Personnel[FTE],A296)&lt;pers_NSP_min_months,$B$138,""),""),"")</f>
        <v/>
      </c>
      <c r="P296" s="218" t="str">
        <f>IFERROR(IF(COUNTIF(INDEX(Personnel[Category],A296),"*Non-scientific*")&gt;0,IF(INDEX(Personnel[Months],A296)*INDEX(Personnel[FTE],A296)&gt;pers_NSP_max_months,$B$139,""),""),"")</f>
        <v/>
      </c>
      <c r="Q296" s="218" t="str">
        <f>IFERROR(IF(COUNTIF(INDEX(Personnel[Category],A296),"*Other scientific*")&gt;0,IF(OR(IFERROR(MATCH("*PhD*",Personnel[Category],0),0)&gt;0,IFERROR(MATCH("*PostDoc*",Personnel[Category],0),0)&gt;0),"",$B$140),""),"")</f>
        <v/>
      </c>
      <c r="R296" s="218" t="str">
        <f>IFERROR(IF(COUNTIF(INDEX(Personnel[Category],A296),"*Other scientific*")&gt;0,IF(Total_OSP&gt;pers_max_OSP,$B$141,""),""),"")</f>
        <v/>
      </c>
      <c r="S296" s="218" t="str">
        <f>IFERROR(IF(COUNTIF(INDEX(Personnel[Category],A296),"*Other scientific*")&gt;0,IF(INDEX(Personnel[Months],A296)*INDEX(Personnel[FTE],A296)&lt;pers_OSP_min_months,$B$142,""),""),"")</f>
        <v/>
      </c>
      <c r="T296" s="218" t="str">
        <f>IFERROR(IF(COUNTIF(INDEX(Personnel[Category],A296),"*Other scientific*")&gt;0,IF(INDEX(Personnel[Months],A296)*INDEX(Personnel[FTE],A296)&gt;pers_OSP_max_months,$B$143,""),""),"")</f>
        <v/>
      </c>
      <c r="U296" s="218" t="str">
        <f>IFERROR(IF(COUNTIF(INDEX(Personnel[Category],A296),"*leave*")&gt;0,IF(Total_Research_leave&gt;pers_leave_maxperc*Total_NWO_funding,$B$144,""),""),"")</f>
        <v/>
      </c>
      <c r="V296" s="218" t="str">
        <f>IFERROR(IF(COUNTIF(INDEX(Personnel[Category],A296),"*leave*")&gt;0,IF(Research_leave_FTE_months&gt;pers_leave_maxduration,$B$145,""),""),"")</f>
        <v/>
      </c>
      <c r="W296" s="218" t="str">
        <f>IFERROR(IF(AND(INDEX(Personnel[Costs],A296)=0,INDEX(salaries_academic[[category]:[1]],MATCH(INDEX(Personnel[Category],A296),salaries_academic[category],0),3)=0),$B$148,""),"")</f>
        <v/>
      </c>
      <c r="X296" s="218" t="e">
        <f>IF(AND(organisation_type="yes",INDEX(Personnel[Amount],A296,1)&lt;&gt;"",ISBLANK(INDEX(Personnel[Organisation type],A296,1))),$B$146,"")</f>
        <v>#REF!</v>
      </c>
      <c r="Y296" s="218" t="e">
        <f>IF(AND(organisation_name="yes",INDEX(Personnel[Amount],A296,1)&lt;&gt;"",ISBLANK(INDEX(Personnel[Name organisation],A296,1))),$B$147,"")</f>
        <v>#REF!</v>
      </c>
      <c r="Z296" s="218" t="str">
        <f>IFERROR(IF(AND(INDEX(Personnel[Costs],A296)&gt;0,INDEX(salaries_academic[[category]:[1]],MATCH(INDEX(Personnel[Category],A296),salaries_academic[category],0),3)&gt;0),$B$149,""),"")</f>
        <v/>
      </c>
      <c r="AA296" s="218"/>
    </row>
    <row r="297" spans="1:27" outlineLevel="1" x14ac:dyDescent="0.35">
      <c r="A297" s="195">
        <v>90</v>
      </c>
      <c r="B297" s="195" t="str">
        <f t="array" ref="B297">IFERROR(INDEX(personnel_ac_notes[[#This Row],[Exceeding nr months]:[Costs specified]],1,MATCH(TRUE,LEN(personnel_ac_notes[[#This Row],[Exceeding nr months]:[Costs specified]])&gt;0,0)),"")</f>
        <v/>
      </c>
      <c r="C297" s="195" t="str">
        <f>IFERROR(IF(INDEX(Personnel[Months],A297)&gt;Max_project_duration,$B$128,""),"")</f>
        <v/>
      </c>
      <c r="D297" s="195" t="str">
        <f>IFERROR(IF(AND(LEN(INDEX(Personnel[Category],A297))+LEN(INDEX(Personnel[FTE],A297))+LEN(INDEX(Personnel[Months],A297))&gt;0,LEN(INDEX(Personnel[Category],A297-1))+LEN(INDEX(Personnel[FTE],A297-1))+LEN(INDEX(Personnel[Months],A297-1))=0),$B$127,""),"")</f>
        <v/>
      </c>
      <c r="E297" s="195" t="str">
        <f>IF(AND(NOT(ISBLANK(INDEX(Personnel[Category],A297))),OR(ISBLANK(INDEX(Personnel[FTE],A297)),ISBLANK(INDEX(Personnel[Months],A297)))),VLOOKUP(INDEX(Personnel[Category],A297),salaries_academic[],2,FALSE),"")</f>
        <v/>
      </c>
      <c r="F297" s="195" t="str">
        <f>IFERROR(IF(COUNTIF(INDEX(Personnel[Category],A297),"*- PhD*")&gt;0,IF(INDEX(Personnel[Months],A297)*INDEX(Personnel[FTE],A297)&lt;pers_PhD_min_months,$B$129,""),""),"")</f>
        <v/>
      </c>
      <c r="G297" s="195" t="str">
        <f>IFERROR(IF(COUNTIF(INDEX(Personnel[Category],$A297),"*- PhD*")&gt;0,IF(INDEX(Personnel[Months],$A297)*INDEX(Personnel[FTE],$A297)&gt;pers_PhD_max_months,$B$130,""),""),"")</f>
        <v/>
      </c>
      <c r="H297" s="195" t="str">
        <f>IFERROR(IF(COUNTIF(INDEX(Personnel[Category],A297),"*year*")&gt;0,IF(INDEX(Personnel[Months],A297)*INDEX(Personnel[FTE],A297)&lt;pers_3yPhD_min_months,$B$131,""),""),"")</f>
        <v/>
      </c>
      <c r="I297" s="218" t="str">
        <f>IFERROR(IF(COUNTIF(INDEX(Personnel[Category],A297),"*PDEng*")&gt;0,IF(OR(IFERROR(MATCH("*PhD*",Personnel[Category],0),0)&gt;0,IFERROR(MATCH("*PostDoc*",Personnel[Category],0),0)&gt;0),"",$B$132),""),"")</f>
        <v/>
      </c>
      <c r="J297" s="218" t="str">
        <f>IFERROR(IF(COUNTIF(INDEX(Personnel[Category],A297),"*PDEng*")&gt;0,IF(INDEX(Personnel[Months],A297)*INDEX(Personnel[FTE],A297)&gt;pers_PDEng_max_months,$B$133,""),""),"")</f>
        <v/>
      </c>
      <c r="K297" s="218" t="str">
        <f>IFERROR(IF(COUNTIF(INDEX(Personnel[Category],A297),"*PostDoc*")&gt;0,IF(INDEX(Personnel[Months],A297)*INDEX(Personnel[FTE],A297)&lt;pers_PD_min_months,$B$134,""),""),"")</f>
        <v/>
      </c>
      <c r="L297" s="218" t="str">
        <f>IFERROR(IF(COUNTIF(INDEX(Personnel[Category],A297),"*PostDoc*")&gt;0,IF(INDEX(Personnel[Months],A297)*INDEX(Personnel[FTE],A297)&gt;pers_PD_max_months,$B$135,""),""),"")</f>
        <v/>
      </c>
      <c r="M297" s="218" t="str">
        <f>IFERROR(IF(COUNTIF(INDEX(Personnel[Category],A297),"*Non-scientific*")&gt;0,IF(OR(IFERROR(MATCH("*PhD*",Personnel[Category],0),0)&gt;0,IFERROR(MATCH("*PostDoc*",Personnel[Category],0),0)&gt;0),"",$B$136),""),"")</f>
        <v/>
      </c>
      <c r="N297" s="218" t="str">
        <f>IFERROR(IF(COUNTIF(INDEX(Personnel[Category],A297),"*Non-scientific*")&gt;0,IF(Total_NSP&gt;pers_max_NSP,$B$137,""),""),"")</f>
        <v/>
      </c>
      <c r="O297" s="218" t="str">
        <f>IFERROR(IF(COUNTIF(INDEX(Personnel[Category],A297),"*Non-scientific*")&gt;0,IF(INDEX(Personnel[Months],A297)*INDEX(Personnel[FTE],A297)&lt;pers_NSP_min_months,$B$138,""),""),"")</f>
        <v/>
      </c>
      <c r="P297" s="218" t="str">
        <f>IFERROR(IF(COUNTIF(INDEX(Personnel[Category],A297),"*Non-scientific*")&gt;0,IF(INDEX(Personnel[Months],A297)*INDEX(Personnel[FTE],A297)&gt;pers_NSP_max_months,$B$139,""),""),"")</f>
        <v/>
      </c>
      <c r="Q297" s="218" t="str">
        <f>IFERROR(IF(COUNTIF(INDEX(Personnel[Category],A297),"*Other scientific*")&gt;0,IF(OR(IFERROR(MATCH("*PhD*",Personnel[Category],0),0)&gt;0,IFERROR(MATCH("*PostDoc*",Personnel[Category],0),0)&gt;0),"",$B$140),""),"")</f>
        <v/>
      </c>
      <c r="R297" s="218" t="str">
        <f>IFERROR(IF(COUNTIF(INDEX(Personnel[Category],A297),"*Other scientific*")&gt;0,IF(Total_OSP&gt;pers_max_OSP,$B$141,""),""),"")</f>
        <v/>
      </c>
      <c r="S297" s="218" t="str">
        <f>IFERROR(IF(COUNTIF(INDEX(Personnel[Category],A297),"*Other scientific*")&gt;0,IF(INDEX(Personnel[Months],A297)*INDEX(Personnel[FTE],A297)&lt;pers_OSP_min_months,$B$142,""),""),"")</f>
        <v/>
      </c>
      <c r="T297" s="218" t="str">
        <f>IFERROR(IF(COUNTIF(INDEX(Personnel[Category],A297),"*Other scientific*")&gt;0,IF(INDEX(Personnel[Months],A297)*INDEX(Personnel[FTE],A297)&gt;pers_OSP_max_months,$B$143,""),""),"")</f>
        <v/>
      </c>
      <c r="U297" s="218" t="str">
        <f>IFERROR(IF(COUNTIF(INDEX(Personnel[Category],A297),"*leave*")&gt;0,IF(Total_Research_leave&gt;pers_leave_maxperc*Total_NWO_funding,$B$144,""),""),"")</f>
        <v/>
      </c>
      <c r="V297" s="218" t="str">
        <f>IFERROR(IF(COUNTIF(INDEX(Personnel[Category],A297),"*leave*")&gt;0,IF(Research_leave_FTE_months&gt;pers_leave_maxduration,$B$145,""),""),"")</f>
        <v/>
      </c>
      <c r="W297" s="218" t="str">
        <f>IFERROR(IF(AND(INDEX(Personnel[Costs],A297)=0,INDEX(salaries_academic[[category]:[1]],MATCH(INDEX(Personnel[Category],A297),salaries_academic[category],0),3)=0),$B$148,""),"")</f>
        <v/>
      </c>
      <c r="X297" s="218" t="e">
        <f>IF(AND(organisation_type="yes",INDEX(Personnel[Amount],A297,1)&lt;&gt;"",ISBLANK(INDEX(Personnel[Organisation type],A297,1))),$B$146,"")</f>
        <v>#REF!</v>
      </c>
      <c r="Y297" s="218" t="e">
        <f>IF(AND(organisation_name="yes",INDEX(Personnel[Amount],A297,1)&lt;&gt;"",ISBLANK(INDEX(Personnel[Name organisation],A297,1))),$B$147,"")</f>
        <v>#REF!</v>
      </c>
      <c r="Z297" s="218" t="str">
        <f>IFERROR(IF(AND(INDEX(Personnel[Costs],A297)&gt;0,INDEX(salaries_academic[[category]:[1]],MATCH(INDEX(Personnel[Category],A297),salaries_academic[category],0),3)&gt;0),$B$149,""),"")</f>
        <v/>
      </c>
      <c r="AA297" s="218"/>
    </row>
    <row r="298" spans="1:27" outlineLevel="1" x14ac:dyDescent="0.35">
      <c r="A298" s="195">
        <v>91</v>
      </c>
      <c r="B298" s="195" t="str">
        <f t="array" ref="B298">IFERROR(INDEX(personnel_ac_notes[[#This Row],[Exceeding nr months]:[Costs specified]],1,MATCH(TRUE,LEN(personnel_ac_notes[[#This Row],[Exceeding nr months]:[Costs specified]])&gt;0,0)),"")</f>
        <v/>
      </c>
      <c r="C298" s="195" t="str">
        <f>IFERROR(IF(INDEX(Personnel[Months],A298)&gt;Max_project_duration,$B$128,""),"")</f>
        <v/>
      </c>
      <c r="D298" s="195" t="str">
        <f>IFERROR(IF(AND(LEN(INDEX(Personnel[Category],A298))+LEN(INDEX(Personnel[FTE],A298))+LEN(INDEX(Personnel[Months],A298))&gt;0,LEN(INDEX(Personnel[Category],A298-1))+LEN(INDEX(Personnel[FTE],A298-1))+LEN(INDEX(Personnel[Months],A298-1))=0),$B$127,""),"")</f>
        <v/>
      </c>
      <c r="E298" s="195" t="str">
        <f>IF(AND(NOT(ISBLANK(INDEX(Personnel[Category],A298))),OR(ISBLANK(INDEX(Personnel[FTE],A298)),ISBLANK(INDEX(Personnel[Months],A298)))),VLOOKUP(INDEX(Personnel[Category],A298),salaries_academic[],2,FALSE),"")</f>
        <v/>
      </c>
      <c r="F298" s="195" t="str">
        <f>IFERROR(IF(COUNTIF(INDEX(Personnel[Category],A298),"*- PhD*")&gt;0,IF(INDEX(Personnel[Months],A298)*INDEX(Personnel[FTE],A298)&lt;pers_PhD_min_months,$B$129,""),""),"")</f>
        <v/>
      </c>
      <c r="G298" s="195" t="str">
        <f>IFERROR(IF(COUNTIF(INDEX(Personnel[Category],$A298),"*- PhD*")&gt;0,IF(INDEX(Personnel[Months],$A298)*INDEX(Personnel[FTE],$A298)&gt;pers_PhD_max_months,$B$130,""),""),"")</f>
        <v/>
      </c>
      <c r="H298" s="195" t="str">
        <f>IFERROR(IF(COUNTIF(INDEX(Personnel[Category],A298),"*year*")&gt;0,IF(INDEX(Personnel[Months],A298)*INDEX(Personnel[FTE],A298)&lt;pers_3yPhD_min_months,$B$131,""),""),"")</f>
        <v/>
      </c>
      <c r="I298" s="218" t="str">
        <f>IFERROR(IF(COUNTIF(INDEX(Personnel[Category],A298),"*PDEng*")&gt;0,IF(OR(IFERROR(MATCH("*PhD*",Personnel[Category],0),0)&gt;0,IFERROR(MATCH("*PostDoc*",Personnel[Category],0),0)&gt;0),"",$B$132),""),"")</f>
        <v/>
      </c>
      <c r="J298" s="218" t="str">
        <f>IFERROR(IF(COUNTIF(INDEX(Personnel[Category],A298),"*PDEng*")&gt;0,IF(INDEX(Personnel[Months],A298)*INDEX(Personnel[FTE],A298)&gt;pers_PDEng_max_months,$B$133,""),""),"")</f>
        <v/>
      </c>
      <c r="K298" s="218" t="str">
        <f>IFERROR(IF(COUNTIF(INDEX(Personnel[Category],A298),"*PostDoc*")&gt;0,IF(INDEX(Personnel[Months],A298)*INDEX(Personnel[FTE],A298)&lt;pers_PD_min_months,$B$134,""),""),"")</f>
        <v/>
      </c>
      <c r="L298" s="218" t="str">
        <f>IFERROR(IF(COUNTIF(INDEX(Personnel[Category],A298),"*PostDoc*")&gt;0,IF(INDEX(Personnel[Months],A298)*INDEX(Personnel[FTE],A298)&gt;pers_PD_max_months,$B$135,""),""),"")</f>
        <v/>
      </c>
      <c r="M298" s="218" t="str">
        <f>IFERROR(IF(COUNTIF(INDEX(Personnel[Category],A298),"*Non-scientific*")&gt;0,IF(OR(IFERROR(MATCH("*PhD*",Personnel[Category],0),0)&gt;0,IFERROR(MATCH("*PostDoc*",Personnel[Category],0),0)&gt;0),"",$B$136),""),"")</f>
        <v/>
      </c>
      <c r="N298" s="218" t="str">
        <f>IFERROR(IF(COUNTIF(INDEX(Personnel[Category],A298),"*Non-scientific*")&gt;0,IF(Total_NSP&gt;pers_max_NSP,$B$137,""),""),"")</f>
        <v/>
      </c>
      <c r="O298" s="218" t="str">
        <f>IFERROR(IF(COUNTIF(INDEX(Personnel[Category],A298),"*Non-scientific*")&gt;0,IF(INDEX(Personnel[Months],A298)*INDEX(Personnel[FTE],A298)&lt;pers_NSP_min_months,$B$138,""),""),"")</f>
        <v/>
      </c>
      <c r="P298" s="218" t="str">
        <f>IFERROR(IF(COUNTIF(INDEX(Personnel[Category],A298),"*Non-scientific*")&gt;0,IF(INDEX(Personnel[Months],A298)*INDEX(Personnel[FTE],A298)&gt;pers_NSP_max_months,$B$139,""),""),"")</f>
        <v/>
      </c>
      <c r="Q298" s="218" t="str">
        <f>IFERROR(IF(COUNTIF(INDEX(Personnel[Category],A298),"*Other scientific*")&gt;0,IF(OR(IFERROR(MATCH("*PhD*",Personnel[Category],0),0)&gt;0,IFERROR(MATCH("*PostDoc*",Personnel[Category],0),0)&gt;0),"",$B$140),""),"")</f>
        <v/>
      </c>
      <c r="R298" s="218" t="str">
        <f>IFERROR(IF(COUNTIF(INDEX(Personnel[Category],A298),"*Other scientific*")&gt;0,IF(Total_OSP&gt;pers_max_OSP,$B$141,""),""),"")</f>
        <v/>
      </c>
      <c r="S298" s="218" t="str">
        <f>IFERROR(IF(COUNTIF(INDEX(Personnel[Category],A298),"*Other scientific*")&gt;0,IF(INDEX(Personnel[Months],A298)*INDEX(Personnel[FTE],A298)&lt;pers_OSP_min_months,$B$142,""),""),"")</f>
        <v/>
      </c>
      <c r="T298" s="218" t="str">
        <f>IFERROR(IF(COUNTIF(INDEX(Personnel[Category],A298),"*Other scientific*")&gt;0,IF(INDEX(Personnel[Months],A298)*INDEX(Personnel[FTE],A298)&gt;pers_OSP_max_months,$B$143,""),""),"")</f>
        <v/>
      </c>
      <c r="U298" s="218" t="str">
        <f>IFERROR(IF(COUNTIF(INDEX(Personnel[Category],A298),"*leave*")&gt;0,IF(Total_Research_leave&gt;pers_leave_maxperc*Total_NWO_funding,$B$144,""),""),"")</f>
        <v/>
      </c>
      <c r="V298" s="218" t="str">
        <f>IFERROR(IF(COUNTIF(INDEX(Personnel[Category],A298),"*leave*")&gt;0,IF(Research_leave_FTE_months&gt;pers_leave_maxduration,$B$145,""),""),"")</f>
        <v/>
      </c>
      <c r="W298" s="218" t="str">
        <f>IFERROR(IF(AND(INDEX(Personnel[Costs],A298)=0,INDEX(salaries_academic[[category]:[1]],MATCH(INDEX(Personnel[Category],A298),salaries_academic[category],0),3)=0),$B$148,""),"")</f>
        <v/>
      </c>
      <c r="X298" s="218" t="e">
        <f>IF(AND(organisation_type="yes",INDEX(Personnel[Amount],A298,1)&lt;&gt;"",ISBLANK(INDEX(Personnel[Organisation type],A298,1))),$B$146,"")</f>
        <v>#REF!</v>
      </c>
      <c r="Y298" s="218" t="e">
        <f>IF(AND(organisation_name="yes",INDEX(Personnel[Amount],A298,1)&lt;&gt;"",ISBLANK(INDEX(Personnel[Name organisation],A298,1))),$B$147,"")</f>
        <v>#REF!</v>
      </c>
      <c r="Z298" s="218" t="str">
        <f>IFERROR(IF(AND(INDEX(Personnel[Costs],A298)&gt;0,INDEX(salaries_academic[[category]:[1]],MATCH(INDEX(Personnel[Category],A298),salaries_academic[category],0),3)&gt;0),$B$149,""),"")</f>
        <v/>
      </c>
      <c r="AA298" s="218"/>
    </row>
    <row r="299" spans="1:27" outlineLevel="1" x14ac:dyDescent="0.35">
      <c r="A299" s="195">
        <v>92</v>
      </c>
      <c r="B299" s="195" t="str">
        <f t="array" ref="B299">IFERROR(INDEX(personnel_ac_notes[[#This Row],[Exceeding nr months]:[Costs specified]],1,MATCH(TRUE,LEN(personnel_ac_notes[[#This Row],[Exceeding nr months]:[Costs specified]])&gt;0,0)),"")</f>
        <v/>
      </c>
      <c r="C299" s="195" t="str">
        <f>IFERROR(IF(INDEX(Personnel[Months],A299)&gt;Max_project_duration,$B$128,""),"")</f>
        <v/>
      </c>
      <c r="D299" s="195" t="str">
        <f>IFERROR(IF(AND(LEN(INDEX(Personnel[Category],A299))+LEN(INDEX(Personnel[FTE],A299))+LEN(INDEX(Personnel[Months],A299))&gt;0,LEN(INDEX(Personnel[Category],A299-1))+LEN(INDEX(Personnel[FTE],A299-1))+LEN(INDEX(Personnel[Months],A299-1))=0),$B$127,""),"")</f>
        <v/>
      </c>
      <c r="E299" s="195" t="str">
        <f>IF(AND(NOT(ISBLANK(INDEX(Personnel[Category],A299))),OR(ISBLANK(INDEX(Personnel[FTE],A299)),ISBLANK(INDEX(Personnel[Months],A299)))),VLOOKUP(INDEX(Personnel[Category],A299),salaries_academic[],2,FALSE),"")</f>
        <v/>
      </c>
      <c r="F299" s="195" t="str">
        <f>IFERROR(IF(COUNTIF(INDEX(Personnel[Category],A299),"*- PhD*")&gt;0,IF(INDEX(Personnel[Months],A299)*INDEX(Personnel[FTE],A299)&lt;pers_PhD_min_months,$B$129,""),""),"")</f>
        <v/>
      </c>
      <c r="G299" s="195" t="str">
        <f>IFERROR(IF(COUNTIF(INDEX(Personnel[Category],$A299),"*- PhD*")&gt;0,IF(INDEX(Personnel[Months],$A299)*INDEX(Personnel[FTE],$A299)&gt;pers_PhD_max_months,$B$130,""),""),"")</f>
        <v/>
      </c>
      <c r="H299" s="195" t="str">
        <f>IFERROR(IF(COUNTIF(INDEX(Personnel[Category],A299),"*year*")&gt;0,IF(INDEX(Personnel[Months],A299)*INDEX(Personnel[FTE],A299)&lt;pers_3yPhD_min_months,$B$131,""),""),"")</f>
        <v/>
      </c>
      <c r="I299" s="218" t="str">
        <f>IFERROR(IF(COUNTIF(INDEX(Personnel[Category],A299),"*PDEng*")&gt;0,IF(OR(IFERROR(MATCH("*PhD*",Personnel[Category],0),0)&gt;0,IFERROR(MATCH("*PostDoc*",Personnel[Category],0),0)&gt;0),"",$B$132),""),"")</f>
        <v/>
      </c>
      <c r="J299" s="218" t="str">
        <f>IFERROR(IF(COUNTIF(INDEX(Personnel[Category],A299),"*PDEng*")&gt;0,IF(INDEX(Personnel[Months],A299)*INDEX(Personnel[FTE],A299)&gt;pers_PDEng_max_months,$B$133,""),""),"")</f>
        <v/>
      </c>
      <c r="K299" s="218" t="str">
        <f>IFERROR(IF(COUNTIF(INDEX(Personnel[Category],A299),"*PostDoc*")&gt;0,IF(INDEX(Personnel[Months],A299)*INDEX(Personnel[FTE],A299)&lt;pers_PD_min_months,$B$134,""),""),"")</f>
        <v/>
      </c>
      <c r="L299" s="218" t="str">
        <f>IFERROR(IF(COUNTIF(INDEX(Personnel[Category],A299),"*PostDoc*")&gt;0,IF(INDEX(Personnel[Months],A299)*INDEX(Personnel[FTE],A299)&gt;pers_PD_max_months,$B$135,""),""),"")</f>
        <v/>
      </c>
      <c r="M299" s="218" t="str">
        <f>IFERROR(IF(COUNTIF(INDEX(Personnel[Category],A299),"*Non-scientific*")&gt;0,IF(OR(IFERROR(MATCH("*PhD*",Personnel[Category],0),0)&gt;0,IFERROR(MATCH("*PostDoc*",Personnel[Category],0),0)&gt;0),"",$B$136),""),"")</f>
        <v/>
      </c>
      <c r="N299" s="218" t="str">
        <f>IFERROR(IF(COUNTIF(INDEX(Personnel[Category],A299),"*Non-scientific*")&gt;0,IF(Total_NSP&gt;pers_max_NSP,$B$137,""),""),"")</f>
        <v/>
      </c>
      <c r="O299" s="218" t="str">
        <f>IFERROR(IF(COUNTIF(INDEX(Personnel[Category],A299),"*Non-scientific*")&gt;0,IF(INDEX(Personnel[Months],A299)*INDEX(Personnel[FTE],A299)&lt;pers_NSP_min_months,$B$138,""),""),"")</f>
        <v/>
      </c>
      <c r="P299" s="218" t="str">
        <f>IFERROR(IF(COUNTIF(INDEX(Personnel[Category],A299),"*Non-scientific*")&gt;0,IF(INDEX(Personnel[Months],A299)*INDEX(Personnel[FTE],A299)&gt;pers_NSP_max_months,$B$139,""),""),"")</f>
        <v/>
      </c>
      <c r="Q299" s="218" t="str">
        <f>IFERROR(IF(COUNTIF(INDEX(Personnel[Category],A299),"*Other scientific*")&gt;0,IF(OR(IFERROR(MATCH("*PhD*",Personnel[Category],0),0)&gt;0,IFERROR(MATCH("*PostDoc*",Personnel[Category],0),0)&gt;0),"",$B$140),""),"")</f>
        <v/>
      </c>
      <c r="R299" s="218" t="str">
        <f>IFERROR(IF(COUNTIF(INDEX(Personnel[Category],A299),"*Other scientific*")&gt;0,IF(Total_OSP&gt;pers_max_OSP,$B$141,""),""),"")</f>
        <v/>
      </c>
      <c r="S299" s="218" t="str">
        <f>IFERROR(IF(COUNTIF(INDEX(Personnel[Category],A299),"*Other scientific*")&gt;0,IF(INDEX(Personnel[Months],A299)*INDEX(Personnel[FTE],A299)&lt;pers_OSP_min_months,$B$142,""),""),"")</f>
        <v/>
      </c>
      <c r="T299" s="218" t="str">
        <f>IFERROR(IF(COUNTIF(INDEX(Personnel[Category],A299),"*Other scientific*")&gt;0,IF(INDEX(Personnel[Months],A299)*INDEX(Personnel[FTE],A299)&gt;pers_OSP_max_months,$B$143,""),""),"")</f>
        <v/>
      </c>
      <c r="U299" s="218" t="str">
        <f>IFERROR(IF(COUNTIF(INDEX(Personnel[Category],A299),"*leave*")&gt;0,IF(Total_Research_leave&gt;pers_leave_maxperc*Total_NWO_funding,$B$144,""),""),"")</f>
        <v/>
      </c>
      <c r="V299" s="218" t="str">
        <f>IFERROR(IF(COUNTIF(INDEX(Personnel[Category],A299),"*leave*")&gt;0,IF(Research_leave_FTE_months&gt;pers_leave_maxduration,$B$145,""),""),"")</f>
        <v/>
      </c>
      <c r="W299" s="218" t="str">
        <f>IFERROR(IF(AND(INDEX(Personnel[Costs],A299)=0,INDEX(salaries_academic[[category]:[1]],MATCH(INDEX(Personnel[Category],A299),salaries_academic[category],0),3)=0),$B$148,""),"")</f>
        <v/>
      </c>
      <c r="X299" s="218" t="e">
        <f>IF(AND(organisation_type="yes",INDEX(Personnel[Amount],A299,1)&lt;&gt;"",ISBLANK(INDEX(Personnel[Organisation type],A299,1))),$B$146,"")</f>
        <v>#REF!</v>
      </c>
      <c r="Y299" s="218" t="e">
        <f>IF(AND(organisation_name="yes",INDEX(Personnel[Amount],A299,1)&lt;&gt;"",ISBLANK(INDEX(Personnel[Name organisation],A299,1))),$B$147,"")</f>
        <v>#REF!</v>
      </c>
      <c r="Z299" s="218" t="str">
        <f>IFERROR(IF(AND(INDEX(Personnel[Costs],A299)&gt;0,INDEX(salaries_academic[[category]:[1]],MATCH(INDEX(Personnel[Category],A299),salaries_academic[category],0),3)&gt;0),$B$149,""),"")</f>
        <v/>
      </c>
      <c r="AA299" s="218"/>
    </row>
    <row r="300" spans="1:27" outlineLevel="1" x14ac:dyDescent="0.35">
      <c r="A300" s="195">
        <v>93</v>
      </c>
      <c r="B300" s="195" t="str">
        <f t="array" ref="B300">IFERROR(INDEX(personnel_ac_notes[[#This Row],[Exceeding nr months]:[Costs specified]],1,MATCH(TRUE,LEN(personnel_ac_notes[[#This Row],[Exceeding nr months]:[Costs specified]])&gt;0,0)),"")</f>
        <v/>
      </c>
      <c r="C300" s="195" t="str">
        <f>IFERROR(IF(INDEX(Personnel[Months],A300)&gt;Max_project_duration,$B$128,""),"")</f>
        <v/>
      </c>
      <c r="D300" s="195" t="str">
        <f>IFERROR(IF(AND(LEN(INDEX(Personnel[Category],A300))+LEN(INDEX(Personnel[FTE],A300))+LEN(INDEX(Personnel[Months],A300))&gt;0,LEN(INDEX(Personnel[Category],A300-1))+LEN(INDEX(Personnel[FTE],A300-1))+LEN(INDEX(Personnel[Months],A300-1))=0),$B$127,""),"")</f>
        <v/>
      </c>
      <c r="E300" s="195" t="str">
        <f>IF(AND(NOT(ISBLANK(INDEX(Personnel[Category],A300))),OR(ISBLANK(INDEX(Personnel[FTE],A300)),ISBLANK(INDEX(Personnel[Months],A300)))),VLOOKUP(INDEX(Personnel[Category],A300),salaries_academic[],2,FALSE),"")</f>
        <v/>
      </c>
      <c r="F300" s="195" t="str">
        <f>IFERROR(IF(COUNTIF(INDEX(Personnel[Category],A300),"*- PhD*")&gt;0,IF(INDEX(Personnel[Months],A300)*INDEX(Personnel[FTE],A300)&lt;pers_PhD_min_months,$B$129,""),""),"")</f>
        <v/>
      </c>
      <c r="G300" s="195" t="str">
        <f>IFERROR(IF(COUNTIF(INDEX(Personnel[Category],$A300),"*- PhD*")&gt;0,IF(INDEX(Personnel[Months],$A300)*INDEX(Personnel[FTE],$A300)&gt;pers_PhD_max_months,$B$130,""),""),"")</f>
        <v/>
      </c>
      <c r="H300" s="195" t="str">
        <f>IFERROR(IF(COUNTIF(INDEX(Personnel[Category],A300),"*year*")&gt;0,IF(INDEX(Personnel[Months],A300)*INDEX(Personnel[FTE],A300)&lt;pers_3yPhD_min_months,$B$131,""),""),"")</f>
        <v/>
      </c>
      <c r="I300" s="218" t="str">
        <f>IFERROR(IF(COUNTIF(INDEX(Personnel[Category],A300),"*PDEng*")&gt;0,IF(OR(IFERROR(MATCH("*PhD*",Personnel[Category],0),0)&gt;0,IFERROR(MATCH("*PostDoc*",Personnel[Category],0),0)&gt;0),"",$B$132),""),"")</f>
        <v/>
      </c>
      <c r="J300" s="218" t="str">
        <f>IFERROR(IF(COUNTIF(INDEX(Personnel[Category],A300),"*PDEng*")&gt;0,IF(INDEX(Personnel[Months],A300)*INDEX(Personnel[FTE],A300)&gt;pers_PDEng_max_months,$B$133,""),""),"")</f>
        <v/>
      </c>
      <c r="K300" s="218" t="str">
        <f>IFERROR(IF(COUNTIF(INDEX(Personnel[Category],A300),"*PostDoc*")&gt;0,IF(INDEX(Personnel[Months],A300)*INDEX(Personnel[FTE],A300)&lt;pers_PD_min_months,$B$134,""),""),"")</f>
        <v/>
      </c>
      <c r="L300" s="218" t="str">
        <f>IFERROR(IF(COUNTIF(INDEX(Personnel[Category],A300),"*PostDoc*")&gt;0,IF(INDEX(Personnel[Months],A300)*INDEX(Personnel[FTE],A300)&gt;pers_PD_max_months,$B$135,""),""),"")</f>
        <v/>
      </c>
      <c r="M300" s="218" t="str">
        <f>IFERROR(IF(COUNTIF(INDEX(Personnel[Category],A300),"*Non-scientific*")&gt;0,IF(OR(IFERROR(MATCH("*PhD*",Personnel[Category],0),0)&gt;0,IFERROR(MATCH("*PostDoc*",Personnel[Category],0),0)&gt;0),"",$B$136),""),"")</f>
        <v/>
      </c>
      <c r="N300" s="218" t="str">
        <f>IFERROR(IF(COUNTIF(INDEX(Personnel[Category],A300),"*Non-scientific*")&gt;0,IF(Total_NSP&gt;pers_max_NSP,$B$137,""),""),"")</f>
        <v/>
      </c>
      <c r="O300" s="218" t="str">
        <f>IFERROR(IF(COUNTIF(INDEX(Personnel[Category],A300),"*Non-scientific*")&gt;0,IF(INDEX(Personnel[Months],A300)*INDEX(Personnel[FTE],A300)&lt;pers_NSP_min_months,$B$138,""),""),"")</f>
        <v/>
      </c>
      <c r="P300" s="218" t="str">
        <f>IFERROR(IF(COUNTIF(INDEX(Personnel[Category],A300),"*Non-scientific*")&gt;0,IF(INDEX(Personnel[Months],A300)*INDEX(Personnel[FTE],A300)&gt;pers_NSP_max_months,$B$139,""),""),"")</f>
        <v/>
      </c>
      <c r="Q300" s="218" t="str">
        <f>IFERROR(IF(COUNTIF(INDEX(Personnel[Category],A300),"*Other scientific*")&gt;0,IF(OR(IFERROR(MATCH("*PhD*",Personnel[Category],0),0)&gt;0,IFERROR(MATCH("*PostDoc*",Personnel[Category],0),0)&gt;0),"",$B$140),""),"")</f>
        <v/>
      </c>
      <c r="R300" s="218" t="str">
        <f>IFERROR(IF(COUNTIF(INDEX(Personnel[Category],A300),"*Other scientific*")&gt;0,IF(Total_OSP&gt;pers_max_OSP,$B$141,""),""),"")</f>
        <v/>
      </c>
      <c r="S300" s="218" t="str">
        <f>IFERROR(IF(COUNTIF(INDEX(Personnel[Category],A300),"*Other scientific*")&gt;0,IF(INDEX(Personnel[Months],A300)*INDEX(Personnel[FTE],A300)&lt;pers_OSP_min_months,$B$142,""),""),"")</f>
        <v/>
      </c>
      <c r="T300" s="218" t="str">
        <f>IFERROR(IF(COUNTIF(INDEX(Personnel[Category],A300),"*Other scientific*")&gt;0,IF(INDEX(Personnel[Months],A300)*INDEX(Personnel[FTE],A300)&gt;pers_OSP_max_months,$B$143,""),""),"")</f>
        <v/>
      </c>
      <c r="U300" s="218" t="str">
        <f>IFERROR(IF(COUNTIF(INDEX(Personnel[Category],A300),"*leave*")&gt;0,IF(Total_Research_leave&gt;pers_leave_maxperc*Total_NWO_funding,$B$144,""),""),"")</f>
        <v/>
      </c>
      <c r="V300" s="218" t="str">
        <f>IFERROR(IF(COUNTIF(INDEX(Personnel[Category],A300),"*leave*")&gt;0,IF(Research_leave_FTE_months&gt;pers_leave_maxduration,$B$145,""),""),"")</f>
        <v/>
      </c>
      <c r="W300" s="218" t="str">
        <f>IFERROR(IF(AND(INDEX(Personnel[Costs],A300)=0,INDEX(salaries_academic[[category]:[1]],MATCH(INDEX(Personnel[Category],A300),salaries_academic[category],0),3)=0),$B$148,""),"")</f>
        <v/>
      </c>
      <c r="X300" s="218" t="e">
        <f>IF(AND(organisation_type="yes",INDEX(Personnel[Amount],A300,1)&lt;&gt;"",ISBLANK(INDEX(Personnel[Organisation type],A300,1))),$B$146,"")</f>
        <v>#REF!</v>
      </c>
      <c r="Y300" s="218" t="e">
        <f>IF(AND(organisation_name="yes",INDEX(Personnel[Amount],A300,1)&lt;&gt;"",ISBLANK(INDEX(Personnel[Name organisation],A300,1))),$B$147,"")</f>
        <v>#REF!</v>
      </c>
      <c r="Z300" s="218" t="str">
        <f>IFERROR(IF(AND(INDEX(Personnel[Costs],A300)&gt;0,INDEX(salaries_academic[[category]:[1]],MATCH(INDEX(Personnel[Category],A300),salaries_academic[category],0),3)&gt;0),$B$149,""),"")</f>
        <v/>
      </c>
      <c r="AA300" s="218"/>
    </row>
    <row r="301" spans="1:27" outlineLevel="1" x14ac:dyDescent="0.35">
      <c r="A301" s="195">
        <v>94</v>
      </c>
      <c r="B301" s="195" t="str">
        <f t="array" ref="B301">IFERROR(INDEX(personnel_ac_notes[[#This Row],[Exceeding nr months]:[Costs specified]],1,MATCH(TRUE,LEN(personnel_ac_notes[[#This Row],[Exceeding nr months]:[Costs specified]])&gt;0,0)),"")</f>
        <v/>
      </c>
      <c r="C301" s="195" t="str">
        <f>IFERROR(IF(INDEX(Personnel[Months],A301)&gt;Max_project_duration,$B$128,""),"")</f>
        <v/>
      </c>
      <c r="D301" s="195" t="str">
        <f>IFERROR(IF(AND(LEN(INDEX(Personnel[Category],A301))+LEN(INDEX(Personnel[FTE],A301))+LEN(INDEX(Personnel[Months],A301))&gt;0,LEN(INDEX(Personnel[Category],A301-1))+LEN(INDEX(Personnel[FTE],A301-1))+LEN(INDEX(Personnel[Months],A301-1))=0),$B$127,""),"")</f>
        <v/>
      </c>
      <c r="E301" s="195" t="str">
        <f>IF(AND(NOT(ISBLANK(INDEX(Personnel[Category],A301))),OR(ISBLANK(INDEX(Personnel[FTE],A301)),ISBLANK(INDEX(Personnel[Months],A301)))),VLOOKUP(INDEX(Personnel[Category],A301),salaries_academic[],2,FALSE),"")</f>
        <v/>
      </c>
      <c r="F301" s="195" t="str">
        <f>IFERROR(IF(COUNTIF(INDEX(Personnel[Category],A301),"*- PhD*")&gt;0,IF(INDEX(Personnel[Months],A301)*INDEX(Personnel[FTE],A301)&lt;pers_PhD_min_months,$B$129,""),""),"")</f>
        <v/>
      </c>
      <c r="G301" s="195" t="str">
        <f>IFERROR(IF(COUNTIF(INDEX(Personnel[Category],$A301),"*- PhD*")&gt;0,IF(INDEX(Personnel[Months],$A301)*INDEX(Personnel[FTE],$A301)&gt;pers_PhD_max_months,$B$130,""),""),"")</f>
        <v/>
      </c>
      <c r="H301" s="195" t="str">
        <f>IFERROR(IF(COUNTIF(INDEX(Personnel[Category],A301),"*year*")&gt;0,IF(INDEX(Personnel[Months],A301)*INDEX(Personnel[FTE],A301)&lt;pers_3yPhD_min_months,$B$131,""),""),"")</f>
        <v/>
      </c>
      <c r="I301" s="218" t="str">
        <f>IFERROR(IF(COUNTIF(INDEX(Personnel[Category],A301),"*PDEng*")&gt;0,IF(OR(IFERROR(MATCH("*PhD*",Personnel[Category],0),0)&gt;0,IFERROR(MATCH("*PostDoc*",Personnel[Category],0),0)&gt;0),"",$B$132),""),"")</f>
        <v/>
      </c>
      <c r="J301" s="218" t="str">
        <f>IFERROR(IF(COUNTIF(INDEX(Personnel[Category],A301),"*PDEng*")&gt;0,IF(INDEX(Personnel[Months],A301)*INDEX(Personnel[FTE],A301)&gt;pers_PDEng_max_months,$B$133,""),""),"")</f>
        <v/>
      </c>
      <c r="K301" s="218" t="str">
        <f>IFERROR(IF(COUNTIF(INDEX(Personnel[Category],A301),"*PostDoc*")&gt;0,IF(INDEX(Personnel[Months],A301)*INDEX(Personnel[FTE],A301)&lt;pers_PD_min_months,$B$134,""),""),"")</f>
        <v/>
      </c>
      <c r="L301" s="218" t="str">
        <f>IFERROR(IF(COUNTIF(INDEX(Personnel[Category],A301),"*PostDoc*")&gt;0,IF(INDEX(Personnel[Months],A301)*INDEX(Personnel[FTE],A301)&gt;pers_PD_max_months,$B$135,""),""),"")</f>
        <v/>
      </c>
      <c r="M301" s="218" t="str">
        <f>IFERROR(IF(COUNTIF(INDEX(Personnel[Category],A301),"*Non-scientific*")&gt;0,IF(OR(IFERROR(MATCH("*PhD*",Personnel[Category],0),0)&gt;0,IFERROR(MATCH("*PostDoc*",Personnel[Category],0),0)&gt;0),"",$B$136),""),"")</f>
        <v/>
      </c>
      <c r="N301" s="218" t="str">
        <f>IFERROR(IF(COUNTIF(INDEX(Personnel[Category],A301),"*Non-scientific*")&gt;0,IF(Total_NSP&gt;pers_max_NSP,$B$137,""),""),"")</f>
        <v/>
      </c>
      <c r="O301" s="218" t="str">
        <f>IFERROR(IF(COUNTIF(INDEX(Personnel[Category],A301),"*Non-scientific*")&gt;0,IF(INDEX(Personnel[Months],A301)*INDEX(Personnel[FTE],A301)&lt;pers_NSP_min_months,$B$138,""),""),"")</f>
        <v/>
      </c>
      <c r="P301" s="218" t="str">
        <f>IFERROR(IF(COUNTIF(INDEX(Personnel[Category],A301),"*Non-scientific*")&gt;0,IF(INDEX(Personnel[Months],A301)*INDEX(Personnel[FTE],A301)&gt;pers_NSP_max_months,$B$139,""),""),"")</f>
        <v/>
      </c>
      <c r="Q301" s="218" t="str">
        <f>IFERROR(IF(COUNTIF(INDEX(Personnel[Category],A301),"*Other scientific*")&gt;0,IF(OR(IFERROR(MATCH("*PhD*",Personnel[Category],0),0)&gt;0,IFERROR(MATCH("*PostDoc*",Personnel[Category],0),0)&gt;0),"",$B$140),""),"")</f>
        <v/>
      </c>
      <c r="R301" s="218" t="str">
        <f>IFERROR(IF(COUNTIF(INDEX(Personnel[Category],A301),"*Other scientific*")&gt;0,IF(Total_OSP&gt;pers_max_OSP,$B$141,""),""),"")</f>
        <v/>
      </c>
      <c r="S301" s="218" t="str">
        <f>IFERROR(IF(COUNTIF(INDEX(Personnel[Category],A301),"*Other scientific*")&gt;0,IF(INDEX(Personnel[Months],A301)*INDEX(Personnel[FTE],A301)&lt;pers_OSP_min_months,$B$142,""),""),"")</f>
        <v/>
      </c>
      <c r="T301" s="218" t="str">
        <f>IFERROR(IF(COUNTIF(INDEX(Personnel[Category],A301),"*Other scientific*")&gt;0,IF(INDEX(Personnel[Months],A301)*INDEX(Personnel[FTE],A301)&gt;pers_OSP_max_months,$B$143,""),""),"")</f>
        <v/>
      </c>
      <c r="U301" s="218" t="str">
        <f>IFERROR(IF(COUNTIF(INDEX(Personnel[Category],A301),"*leave*")&gt;0,IF(Total_Research_leave&gt;pers_leave_maxperc*Total_NWO_funding,$B$144,""),""),"")</f>
        <v/>
      </c>
      <c r="V301" s="218" t="str">
        <f>IFERROR(IF(COUNTIF(INDEX(Personnel[Category],A301),"*leave*")&gt;0,IF(Research_leave_FTE_months&gt;pers_leave_maxduration,$B$145,""),""),"")</f>
        <v/>
      </c>
      <c r="W301" s="218" t="str">
        <f>IFERROR(IF(AND(INDEX(Personnel[Costs],A301)=0,INDEX(salaries_academic[[category]:[1]],MATCH(INDEX(Personnel[Category],A301),salaries_academic[category],0),3)=0),$B$148,""),"")</f>
        <v/>
      </c>
      <c r="X301" s="218" t="e">
        <f>IF(AND(organisation_type="yes",INDEX(Personnel[Amount],A301,1)&lt;&gt;"",ISBLANK(INDEX(Personnel[Organisation type],A301,1))),$B$146,"")</f>
        <v>#REF!</v>
      </c>
      <c r="Y301" s="218" t="e">
        <f>IF(AND(organisation_name="yes",INDEX(Personnel[Amount],A301,1)&lt;&gt;"",ISBLANK(INDEX(Personnel[Name organisation],A301,1))),$B$147,"")</f>
        <v>#REF!</v>
      </c>
      <c r="Z301" s="218" t="str">
        <f>IFERROR(IF(AND(INDEX(Personnel[Costs],A301)&gt;0,INDEX(salaries_academic[[category]:[1]],MATCH(INDEX(Personnel[Category],A301),salaries_academic[category],0),3)&gt;0),$B$149,""),"")</f>
        <v/>
      </c>
      <c r="AA301" s="218"/>
    </row>
    <row r="302" spans="1:27" outlineLevel="1" x14ac:dyDescent="0.35">
      <c r="A302" s="195">
        <v>95</v>
      </c>
      <c r="B302" s="195" t="str">
        <f t="array" ref="B302">IFERROR(INDEX(personnel_ac_notes[[#This Row],[Exceeding nr months]:[Costs specified]],1,MATCH(TRUE,LEN(personnel_ac_notes[[#This Row],[Exceeding nr months]:[Costs specified]])&gt;0,0)),"")</f>
        <v/>
      </c>
      <c r="C302" s="195" t="str">
        <f>IFERROR(IF(INDEX(Personnel[Months],A302)&gt;Max_project_duration,$B$128,""),"")</f>
        <v/>
      </c>
      <c r="D302" s="195" t="str">
        <f>IFERROR(IF(AND(LEN(INDEX(Personnel[Category],A302))+LEN(INDEX(Personnel[FTE],A302))+LEN(INDEX(Personnel[Months],A302))&gt;0,LEN(INDEX(Personnel[Category],A302-1))+LEN(INDEX(Personnel[FTE],A302-1))+LEN(INDEX(Personnel[Months],A302-1))=0),$B$127,""),"")</f>
        <v/>
      </c>
      <c r="E302" s="195" t="str">
        <f>IF(AND(NOT(ISBLANK(INDEX(Personnel[Category],A302))),OR(ISBLANK(INDEX(Personnel[FTE],A302)),ISBLANK(INDEX(Personnel[Months],A302)))),VLOOKUP(INDEX(Personnel[Category],A302),salaries_academic[],2,FALSE),"")</f>
        <v/>
      </c>
      <c r="F302" s="195" t="str">
        <f>IFERROR(IF(COUNTIF(INDEX(Personnel[Category],A302),"*- PhD*")&gt;0,IF(INDEX(Personnel[Months],A302)*INDEX(Personnel[FTE],A302)&lt;pers_PhD_min_months,$B$129,""),""),"")</f>
        <v/>
      </c>
      <c r="G302" s="195" t="str">
        <f>IFERROR(IF(COUNTIF(INDEX(Personnel[Category],$A302),"*- PhD*")&gt;0,IF(INDEX(Personnel[Months],$A302)*INDEX(Personnel[FTE],$A302)&gt;pers_PhD_max_months,$B$130,""),""),"")</f>
        <v/>
      </c>
      <c r="H302" s="195" t="str">
        <f>IFERROR(IF(COUNTIF(INDEX(Personnel[Category],A302),"*year*")&gt;0,IF(INDEX(Personnel[Months],A302)*INDEX(Personnel[FTE],A302)&lt;pers_3yPhD_min_months,$B$131,""),""),"")</f>
        <v/>
      </c>
      <c r="I302" s="218" t="str">
        <f>IFERROR(IF(COUNTIF(INDEX(Personnel[Category],A302),"*PDEng*")&gt;0,IF(OR(IFERROR(MATCH("*PhD*",Personnel[Category],0),0)&gt;0,IFERROR(MATCH("*PostDoc*",Personnel[Category],0),0)&gt;0),"",$B$132),""),"")</f>
        <v/>
      </c>
      <c r="J302" s="218" t="str">
        <f>IFERROR(IF(COUNTIF(INDEX(Personnel[Category],A302),"*PDEng*")&gt;0,IF(INDEX(Personnel[Months],A302)*INDEX(Personnel[FTE],A302)&gt;pers_PDEng_max_months,$B$133,""),""),"")</f>
        <v/>
      </c>
      <c r="K302" s="218" t="str">
        <f>IFERROR(IF(COUNTIF(INDEX(Personnel[Category],A302),"*PostDoc*")&gt;0,IF(INDEX(Personnel[Months],A302)*INDEX(Personnel[FTE],A302)&lt;pers_PD_min_months,$B$134,""),""),"")</f>
        <v/>
      </c>
      <c r="L302" s="218" t="str">
        <f>IFERROR(IF(COUNTIF(INDEX(Personnel[Category],A302),"*PostDoc*")&gt;0,IF(INDEX(Personnel[Months],A302)*INDEX(Personnel[FTE],A302)&gt;pers_PD_max_months,$B$135,""),""),"")</f>
        <v/>
      </c>
      <c r="M302" s="218" t="str">
        <f>IFERROR(IF(COUNTIF(INDEX(Personnel[Category],A302),"*Non-scientific*")&gt;0,IF(OR(IFERROR(MATCH("*PhD*",Personnel[Category],0),0)&gt;0,IFERROR(MATCH("*PostDoc*",Personnel[Category],0),0)&gt;0),"",$B$136),""),"")</f>
        <v/>
      </c>
      <c r="N302" s="218" t="str">
        <f>IFERROR(IF(COUNTIF(INDEX(Personnel[Category],A302),"*Non-scientific*")&gt;0,IF(Total_NSP&gt;pers_max_NSP,$B$137,""),""),"")</f>
        <v/>
      </c>
      <c r="O302" s="218" t="str">
        <f>IFERROR(IF(COUNTIF(INDEX(Personnel[Category],A302),"*Non-scientific*")&gt;0,IF(INDEX(Personnel[Months],A302)*INDEX(Personnel[FTE],A302)&lt;pers_NSP_min_months,$B$138,""),""),"")</f>
        <v/>
      </c>
      <c r="P302" s="218" t="str">
        <f>IFERROR(IF(COUNTIF(INDEX(Personnel[Category],A302),"*Non-scientific*")&gt;0,IF(INDEX(Personnel[Months],A302)*INDEX(Personnel[FTE],A302)&gt;pers_NSP_max_months,$B$139,""),""),"")</f>
        <v/>
      </c>
      <c r="Q302" s="218" t="str">
        <f>IFERROR(IF(COUNTIF(INDEX(Personnel[Category],A302),"*Other scientific*")&gt;0,IF(OR(IFERROR(MATCH("*PhD*",Personnel[Category],0),0)&gt;0,IFERROR(MATCH("*PostDoc*",Personnel[Category],0),0)&gt;0),"",$B$140),""),"")</f>
        <v/>
      </c>
      <c r="R302" s="218" t="str">
        <f>IFERROR(IF(COUNTIF(INDEX(Personnel[Category],A302),"*Other scientific*")&gt;0,IF(Total_OSP&gt;pers_max_OSP,$B$141,""),""),"")</f>
        <v/>
      </c>
      <c r="S302" s="218" t="str">
        <f>IFERROR(IF(COUNTIF(INDEX(Personnel[Category],A302),"*Other scientific*")&gt;0,IF(INDEX(Personnel[Months],A302)*INDEX(Personnel[FTE],A302)&lt;pers_OSP_min_months,$B$142,""),""),"")</f>
        <v/>
      </c>
      <c r="T302" s="218" t="str">
        <f>IFERROR(IF(COUNTIF(INDEX(Personnel[Category],A302),"*Other scientific*")&gt;0,IF(INDEX(Personnel[Months],A302)*INDEX(Personnel[FTE],A302)&gt;pers_OSP_max_months,$B$143,""),""),"")</f>
        <v/>
      </c>
      <c r="U302" s="218" t="str">
        <f>IFERROR(IF(COUNTIF(INDEX(Personnel[Category],A302),"*leave*")&gt;0,IF(Total_Research_leave&gt;pers_leave_maxperc*Total_NWO_funding,$B$144,""),""),"")</f>
        <v/>
      </c>
      <c r="V302" s="218" t="str">
        <f>IFERROR(IF(COUNTIF(INDEX(Personnel[Category],A302),"*leave*")&gt;0,IF(Research_leave_FTE_months&gt;pers_leave_maxduration,$B$145,""),""),"")</f>
        <v/>
      </c>
      <c r="W302" s="218" t="str">
        <f>IFERROR(IF(AND(INDEX(Personnel[Costs],A302)=0,INDEX(salaries_academic[[category]:[1]],MATCH(INDEX(Personnel[Category],A302),salaries_academic[category],0),3)=0),$B$148,""),"")</f>
        <v/>
      </c>
      <c r="X302" s="218" t="e">
        <f>IF(AND(organisation_type="yes",INDEX(Personnel[Amount],A302,1)&lt;&gt;"",ISBLANK(INDEX(Personnel[Organisation type],A302,1))),$B$146,"")</f>
        <v>#REF!</v>
      </c>
      <c r="Y302" s="218" t="e">
        <f>IF(AND(organisation_name="yes",INDEX(Personnel[Amount],A302,1)&lt;&gt;"",ISBLANK(INDEX(Personnel[Name organisation],A302,1))),$B$147,"")</f>
        <v>#REF!</v>
      </c>
      <c r="Z302" s="218" t="str">
        <f>IFERROR(IF(AND(INDEX(Personnel[Costs],A302)&gt;0,INDEX(salaries_academic[[category]:[1]],MATCH(INDEX(Personnel[Category],A302),salaries_academic[category],0),3)&gt;0),$B$149,""),"")</f>
        <v/>
      </c>
      <c r="AA302" s="218"/>
    </row>
    <row r="303" spans="1:27" outlineLevel="1" x14ac:dyDescent="0.35">
      <c r="A303" s="195">
        <v>96</v>
      </c>
      <c r="B303" s="195" t="str">
        <f t="array" ref="B303">IFERROR(INDEX(personnel_ac_notes[[#This Row],[Exceeding nr months]:[Costs specified]],1,MATCH(TRUE,LEN(personnel_ac_notes[[#This Row],[Exceeding nr months]:[Costs specified]])&gt;0,0)),"")</f>
        <v/>
      </c>
      <c r="C303" s="195" t="str">
        <f>IFERROR(IF(INDEX(Personnel[Months],A303)&gt;Max_project_duration,$B$128,""),"")</f>
        <v/>
      </c>
      <c r="D303" s="195" t="str">
        <f>IFERROR(IF(AND(LEN(INDEX(Personnel[Category],A303))+LEN(INDEX(Personnel[FTE],A303))+LEN(INDEX(Personnel[Months],A303))&gt;0,LEN(INDEX(Personnel[Category],A303-1))+LEN(INDEX(Personnel[FTE],A303-1))+LEN(INDEX(Personnel[Months],A303-1))=0),$B$127,""),"")</f>
        <v/>
      </c>
      <c r="E303" s="195" t="str">
        <f>IF(AND(NOT(ISBLANK(INDEX(Personnel[Category],A303))),OR(ISBLANK(INDEX(Personnel[FTE],A303)),ISBLANK(INDEX(Personnel[Months],A303)))),VLOOKUP(INDEX(Personnel[Category],A303),salaries_academic[],2,FALSE),"")</f>
        <v/>
      </c>
      <c r="F303" s="195" t="str">
        <f>IFERROR(IF(COUNTIF(INDEX(Personnel[Category],A303),"*- PhD*")&gt;0,IF(INDEX(Personnel[Months],A303)*INDEX(Personnel[FTE],A303)&lt;pers_PhD_min_months,$B$129,""),""),"")</f>
        <v/>
      </c>
      <c r="G303" s="195" t="str">
        <f>IFERROR(IF(COUNTIF(INDEX(Personnel[Category],$A303),"*- PhD*")&gt;0,IF(INDEX(Personnel[Months],$A303)*INDEX(Personnel[FTE],$A303)&gt;pers_PhD_max_months,$B$130,""),""),"")</f>
        <v/>
      </c>
      <c r="H303" s="195" t="str">
        <f>IFERROR(IF(COUNTIF(INDEX(Personnel[Category],A303),"*year*")&gt;0,IF(INDEX(Personnel[Months],A303)*INDEX(Personnel[FTE],A303)&lt;pers_3yPhD_min_months,$B$131,""),""),"")</f>
        <v/>
      </c>
      <c r="I303" s="218" t="str">
        <f>IFERROR(IF(COUNTIF(INDEX(Personnel[Category],A303),"*PDEng*")&gt;0,IF(OR(IFERROR(MATCH("*PhD*",Personnel[Category],0),0)&gt;0,IFERROR(MATCH("*PostDoc*",Personnel[Category],0),0)&gt;0),"",$B$132),""),"")</f>
        <v/>
      </c>
      <c r="J303" s="218" t="str">
        <f>IFERROR(IF(COUNTIF(INDEX(Personnel[Category],A303),"*PDEng*")&gt;0,IF(INDEX(Personnel[Months],A303)*INDEX(Personnel[FTE],A303)&gt;pers_PDEng_max_months,$B$133,""),""),"")</f>
        <v/>
      </c>
      <c r="K303" s="218" t="str">
        <f>IFERROR(IF(COUNTIF(INDEX(Personnel[Category],A303),"*PostDoc*")&gt;0,IF(INDEX(Personnel[Months],A303)*INDEX(Personnel[FTE],A303)&lt;pers_PD_min_months,$B$134,""),""),"")</f>
        <v/>
      </c>
      <c r="L303" s="218" t="str">
        <f>IFERROR(IF(COUNTIF(INDEX(Personnel[Category],A303),"*PostDoc*")&gt;0,IF(INDEX(Personnel[Months],A303)*INDEX(Personnel[FTE],A303)&gt;pers_PD_max_months,$B$135,""),""),"")</f>
        <v/>
      </c>
      <c r="M303" s="218" t="str">
        <f>IFERROR(IF(COUNTIF(INDEX(Personnel[Category],A303),"*Non-scientific*")&gt;0,IF(OR(IFERROR(MATCH("*PhD*",Personnel[Category],0),0)&gt;0,IFERROR(MATCH("*PostDoc*",Personnel[Category],0),0)&gt;0),"",$B$136),""),"")</f>
        <v/>
      </c>
      <c r="N303" s="218" t="str">
        <f>IFERROR(IF(COUNTIF(INDEX(Personnel[Category],A303),"*Non-scientific*")&gt;0,IF(Total_NSP&gt;pers_max_NSP,$B$137,""),""),"")</f>
        <v/>
      </c>
      <c r="O303" s="218" t="str">
        <f>IFERROR(IF(COUNTIF(INDEX(Personnel[Category],A303),"*Non-scientific*")&gt;0,IF(INDEX(Personnel[Months],A303)*INDEX(Personnel[FTE],A303)&lt;pers_NSP_min_months,$B$138,""),""),"")</f>
        <v/>
      </c>
      <c r="P303" s="218" t="str">
        <f>IFERROR(IF(COUNTIF(INDEX(Personnel[Category],A303),"*Non-scientific*")&gt;0,IF(INDEX(Personnel[Months],A303)*INDEX(Personnel[FTE],A303)&gt;pers_NSP_max_months,$B$139,""),""),"")</f>
        <v/>
      </c>
      <c r="Q303" s="218" t="str">
        <f>IFERROR(IF(COUNTIF(INDEX(Personnel[Category],A303),"*Other scientific*")&gt;0,IF(OR(IFERROR(MATCH("*PhD*",Personnel[Category],0),0)&gt;0,IFERROR(MATCH("*PostDoc*",Personnel[Category],0),0)&gt;0),"",$B$140),""),"")</f>
        <v/>
      </c>
      <c r="R303" s="218" t="str">
        <f>IFERROR(IF(COUNTIF(INDEX(Personnel[Category],A303),"*Other scientific*")&gt;0,IF(Total_OSP&gt;pers_max_OSP,$B$141,""),""),"")</f>
        <v/>
      </c>
      <c r="S303" s="218" t="str">
        <f>IFERROR(IF(COUNTIF(INDEX(Personnel[Category],A303),"*Other scientific*")&gt;0,IF(INDEX(Personnel[Months],A303)*INDEX(Personnel[FTE],A303)&lt;pers_OSP_min_months,$B$142,""),""),"")</f>
        <v/>
      </c>
      <c r="T303" s="218" t="str">
        <f>IFERROR(IF(COUNTIF(INDEX(Personnel[Category],A303),"*Other scientific*")&gt;0,IF(INDEX(Personnel[Months],A303)*INDEX(Personnel[FTE],A303)&gt;pers_OSP_max_months,$B$143,""),""),"")</f>
        <v/>
      </c>
      <c r="U303" s="218" t="str">
        <f>IFERROR(IF(COUNTIF(INDEX(Personnel[Category],A303),"*leave*")&gt;0,IF(Total_Research_leave&gt;pers_leave_maxperc*Total_NWO_funding,$B$144,""),""),"")</f>
        <v/>
      </c>
      <c r="V303" s="218" t="str">
        <f>IFERROR(IF(COUNTIF(INDEX(Personnel[Category],A303),"*leave*")&gt;0,IF(Research_leave_FTE_months&gt;pers_leave_maxduration,$B$145,""),""),"")</f>
        <v/>
      </c>
      <c r="W303" s="218" t="str">
        <f>IFERROR(IF(AND(INDEX(Personnel[Costs],A303)=0,INDEX(salaries_academic[[category]:[1]],MATCH(INDEX(Personnel[Category],A303),salaries_academic[category],0),3)=0),$B$148,""),"")</f>
        <v/>
      </c>
      <c r="X303" s="218" t="e">
        <f>IF(AND(organisation_type="yes",INDEX(Personnel[Amount],A303,1)&lt;&gt;"",ISBLANK(INDEX(Personnel[Organisation type],A303,1))),$B$146,"")</f>
        <v>#REF!</v>
      </c>
      <c r="Y303" s="218" t="e">
        <f>IF(AND(organisation_name="yes",INDEX(Personnel[Amount],A303,1)&lt;&gt;"",ISBLANK(INDEX(Personnel[Name organisation],A303,1))),$B$147,"")</f>
        <v>#REF!</v>
      </c>
      <c r="Z303" s="218" t="str">
        <f>IFERROR(IF(AND(INDEX(Personnel[Costs],A303)&gt;0,INDEX(salaries_academic[[category]:[1]],MATCH(INDEX(Personnel[Category],A303),salaries_academic[category],0),3)&gt;0),$B$149,""),"")</f>
        <v/>
      </c>
      <c r="AA303" s="218"/>
    </row>
    <row r="304" spans="1:27" outlineLevel="1" x14ac:dyDescent="0.35">
      <c r="A304" s="195">
        <v>97</v>
      </c>
      <c r="B304" s="195" t="str">
        <f t="array" ref="B304">IFERROR(INDEX(personnel_ac_notes[[#This Row],[Exceeding nr months]:[Costs specified]],1,MATCH(TRUE,LEN(personnel_ac_notes[[#This Row],[Exceeding nr months]:[Costs specified]])&gt;0,0)),"")</f>
        <v/>
      </c>
      <c r="C304" s="195" t="str">
        <f>IFERROR(IF(INDEX(Personnel[Months],A304)&gt;Max_project_duration,$B$128,""),"")</f>
        <v/>
      </c>
      <c r="D304" s="195" t="str">
        <f>IFERROR(IF(AND(LEN(INDEX(Personnel[Category],A304))+LEN(INDEX(Personnel[FTE],A304))+LEN(INDEX(Personnel[Months],A304))&gt;0,LEN(INDEX(Personnel[Category],A304-1))+LEN(INDEX(Personnel[FTE],A304-1))+LEN(INDEX(Personnel[Months],A304-1))=0),$B$127,""),"")</f>
        <v/>
      </c>
      <c r="E304" s="195" t="str">
        <f>IF(AND(NOT(ISBLANK(INDEX(Personnel[Category],A304))),OR(ISBLANK(INDEX(Personnel[FTE],A304)),ISBLANK(INDEX(Personnel[Months],A304)))),VLOOKUP(INDEX(Personnel[Category],A304),salaries_academic[],2,FALSE),"")</f>
        <v/>
      </c>
      <c r="F304" s="195" t="str">
        <f>IFERROR(IF(COUNTIF(INDEX(Personnel[Category],A304),"*- PhD*")&gt;0,IF(INDEX(Personnel[Months],A304)*INDEX(Personnel[FTE],A304)&lt;pers_PhD_min_months,$B$129,""),""),"")</f>
        <v/>
      </c>
      <c r="G304" s="195" t="str">
        <f>IFERROR(IF(COUNTIF(INDEX(Personnel[Category],$A304),"*- PhD*")&gt;0,IF(INDEX(Personnel[Months],$A304)*INDEX(Personnel[FTE],$A304)&gt;pers_PhD_max_months,$B$130,""),""),"")</f>
        <v/>
      </c>
      <c r="H304" s="195" t="str">
        <f>IFERROR(IF(COUNTIF(INDEX(Personnel[Category],A304),"*year*")&gt;0,IF(INDEX(Personnel[Months],A304)*INDEX(Personnel[FTE],A304)&lt;pers_3yPhD_min_months,$B$131,""),""),"")</f>
        <v/>
      </c>
      <c r="I304" s="218" t="str">
        <f>IFERROR(IF(COUNTIF(INDEX(Personnel[Category],A304),"*PDEng*")&gt;0,IF(OR(IFERROR(MATCH("*PhD*",Personnel[Category],0),0)&gt;0,IFERROR(MATCH("*PostDoc*",Personnel[Category],0),0)&gt;0),"",$B$132),""),"")</f>
        <v/>
      </c>
      <c r="J304" s="218" t="str">
        <f>IFERROR(IF(COUNTIF(INDEX(Personnel[Category],A304),"*PDEng*")&gt;0,IF(INDEX(Personnel[Months],A304)*INDEX(Personnel[FTE],A304)&gt;pers_PDEng_max_months,$B$133,""),""),"")</f>
        <v/>
      </c>
      <c r="K304" s="218" t="str">
        <f>IFERROR(IF(COUNTIF(INDEX(Personnel[Category],A304),"*PostDoc*")&gt;0,IF(INDEX(Personnel[Months],A304)*INDEX(Personnel[FTE],A304)&lt;pers_PD_min_months,$B$134,""),""),"")</f>
        <v/>
      </c>
      <c r="L304" s="218" t="str">
        <f>IFERROR(IF(COUNTIF(INDEX(Personnel[Category],A304),"*PostDoc*")&gt;0,IF(INDEX(Personnel[Months],A304)*INDEX(Personnel[FTE],A304)&gt;pers_PD_max_months,$B$135,""),""),"")</f>
        <v/>
      </c>
      <c r="M304" s="218" t="str">
        <f>IFERROR(IF(COUNTIF(INDEX(Personnel[Category],A304),"*Non-scientific*")&gt;0,IF(OR(IFERROR(MATCH("*PhD*",Personnel[Category],0),0)&gt;0,IFERROR(MATCH("*PostDoc*",Personnel[Category],0),0)&gt;0),"",$B$136),""),"")</f>
        <v/>
      </c>
      <c r="N304" s="218" t="str">
        <f>IFERROR(IF(COUNTIF(INDEX(Personnel[Category],A304),"*Non-scientific*")&gt;0,IF(Total_NSP&gt;pers_max_NSP,$B$137,""),""),"")</f>
        <v/>
      </c>
      <c r="O304" s="218" t="str">
        <f>IFERROR(IF(COUNTIF(INDEX(Personnel[Category],A304),"*Non-scientific*")&gt;0,IF(INDEX(Personnel[Months],A304)*INDEX(Personnel[FTE],A304)&lt;pers_NSP_min_months,$B$138,""),""),"")</f>
        <v/>
      </c>
      <c r="P304" s="218" t="str">
        <f>IFERROR(IF(COUNTIF(INDEX(Personnel[Category],A304),"*Non-scientific*")&gt;0,IF(INDEX(Personnel[Months],A304)*INDEX(Personnel[FTE],A304)&gt;pers_NSP_max_months,$B$139,""),""),"")</f>
        <v/>
      </c>
      <c r="Q304" s="218" t="str">
        <f>IFERROR(IF(COUNTIF(INDEX(Personnel[Category],A304),"*Other scientific*")&gt;0,IF(OR(IFERROR(MATCH("*PhD*",Personnel[Category],0),0)&gt;0,IFERROR(MATCH("*PostDoc*",Personnel[Category],0),0)&gt;0),"",$B$140),""),"")</f>
        <v/>
      </c>
      <c r="R304" s="218" t="str">
        <f>IFERROR(IF(COUNTIF(INDEX(Personnel[Category],A304),"*Other scientific*")&gt;0,IF(Total_OSP&gt;pers_max_OSP,$B$141,""),""),"")</f>
        <v/>
      </c>
      <c r="S304" s="218" t="str">
        <f>IFERROR(IF(COUNTIF(INDEX(Personnel[Category],A304),"*Other scientific*")&gt;0,IF(INDEX(Personnel[Months],A304)*INDEX(Personnel[FTE],A304)&lt;pers_OSP_min_months,$B$142,""),""),"")</f>
        <v/>
      </c>
      <c r="T304" s="218" t="str">
        <f>IFERROR(IF(COUNTIF(INDEX(Personnel[Category],A304),"*Other scientific*")&gt;0,IF(INDEX(Personnel[Months],A304)*INDEX(Personnel[FTE],A304)&gt;pers_OSP_max_months,$B$143,""),""),"")</f>
        <v/>
      </c>
      <c r="U304" s="218" t="str">
        <f>IFERROR(IF(COUNTIF(INDEX(Personnel[Category],A304),"*leave*")&gt;0,IF(Total_Research_leave&gt;pers_leave_maxperc*Total_NWO_funding,$B$144,""),""),"")</f>
        <v/>
      </c>
      <c r="V304" s="218" t="str">
        <f>IFERROR(IF(COUNTIF(INDEX(Personnel[Category],A304),"*leave*")&gt;0,IF(Research_leave_FTE_months&gt;pers_leave_maxduration,$B$145,""),""),"")</f>
        <v/>
      </c>
      <c r="W304" s="218" t="str">
        <f>IFERROR(IF(AND(INDEX(Personnel[Costs],A304)=0,INDEX(salaries_academic[[category]:[1]],MATCH(INDEX(Personnel[Category],A304),salaries_academic[category],0),3)=0),$B$148,""),"")</f>
        <v/>
      </c>
      <c r="X304" s="218" t="e">
        <f>IF(AND(organisation_type="yes",INDEX(Personnel[Amount],A304,1)&lt;&gt;"",ISBLANK(INDEX(Personnel[Organisation type],A304,1))),$B$146,"")</f>
        <v>#REF!</v>
      </c>
      <c r="Y304" s="218" t="e">
        <f>IF(AND(organisation_name="yes",INDEX(Personnel[Amount],A304,1)&lt;&gt;"",ISBLANK(INDEX(Personnel[Name organisation],A304,1))),$B$147,"")</f>
        <v>#REF!</v>
      </c>
      <c r="Z304" s="218" t="str">
        <f>IFERROR(IF(AND(INDEX(Personnel[Costs],A304)&gt;0,INDEX(salaries_academic[[category]:[1]],MATCH(INDEX(Personnel[Category],A304),salaries_academic[category],0),3)&gt;0),$B$149,""),"")</f>
        <v/>
      </c>
      <c r="AA304" s="218"/>
    </row>
    <row r="305" spans="1:27" outlineLevel="1" x14ac:dyDescent="0.35">
      <c r="A305" s="195">
        <v>98</v>
      </c>
      <c r="B305" s="195" t="str">
        <f t="array" ref="B305">IFERROR(INDEX(personnel_ac_notes[[#This Row],[Exceeding nr months]:[Costs specified]],1,MATCH(TRUE,LEN(personnel_ac_notes[[#This Row],[Exceeding nr months]:[Costs specified]])&gt;0,0)),"")</f>
        <v/>
      </c>
      <c r="C305" s="195" t="str">
        <f>IFERROR(IF(INDEX(Personnel[Months],A305)&gt;Max_project_duration,$B$128,""),"")</f>
        <v/>
      </c>
      <c r="D305" s="195" t="str">
        <f>IFERROR(IF(AND(LEN(INDEX(Personnel[Category],A305))+LEN(INDEX(Personnel[FTE],A305))+LEN(INDEX(Personnel[Months],A305))&gt;0,LEN(INDEX(Personnel[Category],A305-1))+LEN(INDEX(Personnel[FTE],A305-1))+LEN(INDEX(Personnel[Months],A305-1))=0),$B$127,""),"")</f>
        <v/>
      </c>
      <c r="E305" s="195" t="str">
        <f>IF(AND(NOT(ISBLANK(INDEX(Personnel[Category],A305))),OR(ISBLANK(INDEX(Personnel[FTE],A305)),ISBLANK(INDEX(Personnel[Months],A305)))),VLOOKUP(INDEX(Personnel[Category],A305),salaries_academic[],2,FALSE),"")</f>
        <v/>
      </c>
      <c r="F305" s="195" t="str">
        <f>IFERROR(IF(COUNTIF(INDEX(Personnel[Category],A305),"*- PhD*")&gt;0,IF(INDEX(Personnel[Months],A305)*INDEX(Personnel[FTE],A305)&lt;pers_PhD_min_months,$B$129,""),""),"")</f>
        <v/>
      </c>
      <c r="G305" s="195" t="str">
        <f>IFERROR(IF(COUNTIF(INDEX(Personnel[Category],$A305),"*- PhD*")&gt;0,IF(INDEX(Personnel[Months],$A305)*INDEX(Personnel[FTE],$A305)&gt;pers_PhD_max_months,$B$130,""),""),"")</f>
        <v/>
      </c>
      <c r="H305" s="195" t="str">
        <f>IFERROR(IF(COUNTIF(INDEX(Personnel[Category],A305),"*year*")&gt;0,IF(INDEX(Personnel[Months],A305)*INDEX(Personnel[FTE],A305)&lt;pers_3yPhD_min_months,$B$131,""),""),"")</f>
        <v/>
      </c>
      <c r="I305" s="218" t="str">
        <f>IFERROR(IF(COUNTIF(INDEX(Personnel[Category],A305),"*PDEng*")&gt;0,IF(OR(IFERROR(MATCH("*PhD*",Personnel[Category],0),0)&gt;0,IFERROR(MATCH("*PostDoc*",Personnel[Category],0),0)&gt;0),"",$B$132),""),"")</f>
        <v/>
      </c>
      <c r="J305" s="218" t="str">
        <f>IFERROR(IF(COUNTIF(INDEX(Personnel[Category],A305),"*PDEng*")&gt;0,IF(INDEX(Personnel[Months],A305)*INDEX(Personnel[FTE],A305)&gt;pers_PDEng_max_months,$B$133,""),""),"")</f>
        <v/>
      </c>
      <c r="K305" s="218" t="str">
        <f>IFERROR(IF(COUNTIF(INDEX(Personnel[Category],A305),"*PostDoc*")&gt;0,IF(INDEX(Personnel[Months],A305)*INDEX(Personnel[FTE],A305)&lt;pers_PD_min_months,$B$134,""),""),"")</f>
        <v/>
      </c>
      <c r="L305" s="218" t="str">
        <f>IFERROR(IF(COUNTIF(INDEX(Personnel[Category],A305),"*PostDoc*")&gt;0,IF(INDEX(Personnel[Months],A305)*INDEX(Personnel[FTE],A305)&gt;pers_PD_max_months,$B$135,""),""),"")</f>
        <v/>
      </c>
      <c r="M305" s="218" t="str">
        <f>IFERROR(IF(COUNTIF(INDEX(Personnel[Category],A305),"*Non-scientific*")&gt;0,IF(OR(IFERROR(MATCH("*PhD*",Personnel[Category],0),0)&gt;0,IFERROR(MATCH("*PostDoc*",Personnel[Category],0),0)&gt;0),"",$B$136),""),"")</f>
        <v/>
      </c>
      <c r="N305" s="218" t="str">
        <f>IFERROR(IF(COUNTIF(INDEX(Personnel[Category],A305),"*Non-scientific*")&gt;0,IF(Total_NSP&gt;pers_max_NSP,$B$137,""),""),"")</f>
        <v/>
      </c>
      <c r="O305" s="218" t="str">
        <f>IFERROR(IF(COUNTIF(INDEX(Personnel[Category],A305),"*Non-scientific*")&gt;0,IF(INDEX(Personnel[Months],A305)*INDEX(Personnel[FTE],A305)&lt;pers_NSP_min_months,$B$138,""),""),"")</f>
        <v/>
      </c>
      <c r="P305" s="218" t="str">
        <f>IFERROR(IF(COUNTIF(INDEX(Personnel[Category],A305),"*Non-scientific*")&gt;0,IF(INDEX(Personnel[Months],A305)*INDEX(Personnel[FTE],A305)&gt;pers_NSP_max_months,$B$139,""),""),"")</f>
        <v/>
      </c>
      <c r="Q305" s="218" t="str">
        <f>IFERROR(IF(COUNTIF(INDEX(Personnel[Category],A305),"*Other scientific*")&gt;0,IF(OR(IFERROR(MATCH("*PhD*",Personnel[Category],0),0)&gt;0,IFERROR(MATCH("*PostDoc*",Personnel[Category],0),0)&gt;0),"",$B$140),""),"")</f>
        <v/>
      </c>
      <c r="R305" s="218" t="str">
        <f>IFERROR(IF(COUNTIF(INDEX(Personnel[Category],A305),"*Other scientific*")&gt;0,IF(Total_OSP&gt;pers_max_OSP,$B$141,""),""),"")</f>
        <v/>
      </c>
      <c r="S305" s="218" t="str">
        <f>IFERROR(IF(COUNTIF(INDEX(Personnel[Category],A305),"*Other scientific*")&gt;0,IF(INDEX(Personnel[Months],A305)*INDEX(Personnel[FTE],A305)&lt;pers_OSP_min_months,$B$142,""),""),"")</f>
        <v/>
      </c>
      <c r="T305" s="218" t="str">
        <f>IFERROR(IF(COUNTIF(INDEX(Personnel[Category],A305),"*Other scientific*")&gt;0,IF(INDEX(Personnel[Months],A305)*INDEX(Personnel[FTE],A305)&gt;pers_OSP_max_months,$B$143,""),""),"")</f>
        <v/>
      </c>
      <c r="U305" s="218" t="str">
        <f>IFERROR(IF(COUNTIF(INDEX(Personnel[Category],A305),"*leave*")&gt;0,IF(Total_Research_leave&gt;pers_leave_maxperc*Total_NWO_funding,$B$144,""),""),"")</f>
        <v/>
      </c>
      <c r="V305" s="218" t="str">
        <f>IFERROR(IF(COUNTIF(INDEX(Personnel[Category],A305),"*leave*")&gt;0,IF(Research_leave_FTE_months&gt;pers_leave_maxduration,$B$145,""),""),"")</f>
        <v/>
      </c>
      <c r="W305" s="218" t="str">
        <f>IFERROR(IF(AND(INDEX(Personnel[Costs],A305)=0,INDEX(salaries_academic[[category]:[1]],MATCH(INDEX(Personnel[Category],A305),salaries_academic[category],0),3)=0),$B$148,""),"")</f>
        <v/>
      </c>
      <c r="X305" s="218" t="e">
        <f>IF(AND(organisation_type="yes",INDEX(Personnel[Amount],A305,1)&lt;&gt;"",ISBLANK(INDEX(Personnel[Organisation type],A305,1))),$B$146,"")</f>
        <v>#REF!</v>
      </c>
      <c r="Y305" s="218" t="e">
        <f>IF(AND(organisation_name="yes",INDEX(Personnel[Amount],A305,1)&lt;&gt;"",ISBLANK(INDEX(Personnel[Name organisation],A305,1))),$B$147,"")</f>
        <v>#REF!</v>
      </c>
      <c r="Z305" s="218" t="str">
        <f>IFERROR(IF(AND(INDEX(Personnel[Costs],A305)&gt;0,INDEX(salaries_academic[[category]:[1]],MATCH(INDEX(Personnel[Category],A305),salaries_academic[category],0),3)&gt;0),$B$149,""),"")</f>
        <v/>
      </c>
      <c r="AA305" s="218"/>
    </row>
    <row r="306" spans="1:27" outlineLevel="1" x14ac:dyDescent="0.35">
      <c r="A306" s="195">
        <v>99</v>
      </c>
      <c r="B306" s="195" t="str">
        <f t="array" ref="B306">IFERROR(INDEX(personnel_ac_notes[[#This Row],[Exceeding nr months]:[Costs specified]],1,MATCH(TRUE,LEN(personnel_ac_notes[[#This Row],[Exceeding nr months]:[Costs specified]])&gt;0,0)),"")</f>
        <v/>
      </c>
      <c r="C306" s="195" t="str">
        <f>IFERROR(IF(INDEX(Personnel[Months],A306)&gt;Max_project_duration,$B$128,""),"")</f>
        <v/>
      </c>
      <c r="D306" s="195" t="str">
        <f>IFERROR(IF(AND(LEN(INDEX(Personnel[Category],A306))+LEN(INDEX(Personnel[FTE],A306))+LEN(INDEX(Personnel[Months],A306))&gt;0,LEN(INDEX(Personnel[Category],A306-1))+LEN(INDEX(Personnel[FTE],A306-1))+LEN(INDEX(Personnel[Months],A306-1))=0),$B$127,""),"")</f>
        <v/>
      </c>
      <c r="E306" s="195" t="str">
        <f>IF(AND(NOT(ISBLANK(INDEX(Personnel[Category],A306))),OR(ISBLANK(INDEX(Personnel[FTE],A306)),ISBLANK(INDEX(Personnel[Months],A306)))),VLOOKUP(INDEX(Personnel[Category],A306),salaries_academic[],2,FALSE),"")</f>
        <v/>
      </c>
      <c r="F306" s="195" t="str">
        <f>IFERROR(IF(COUNTIF(INDEX(Personnel[Category],A306),"*- PhD*")&gt;0,IF(INDEX(Personnel[Months],A306)*INDEX(Personnel[FTE],A306)&lt;pers_PhD_min_months,$B$129,""),""),"")</f>
        <v/>
      </c>
      <c r="G306" s="195" t="str">
        <f>IFERROR(IF(COUNTIF(INDEX(Personnel[Category],$A306),"*- PhD*")&gt;0,IF(INDEX(Personnel[Months],$A306)*INDEX(Personnel[FTE],$A306)&gt;pers_PhD_max_months,$B$130,""),""),"")</f>
        <v/>
      </c>
      <c r="H306" s="195" t="str">
        <f>IFERROR(IF(COUNTIF(INDEX(Personnel[Category],A306),"*year*")&gt;0,IF(INDEX(Personnel[Months],A306)*INDEX(Personnel[FTE],A306)&lt;pers_3yPhD_min_months,$B$131,""),""),"")</f>
        <v/>
      </c>
      <c r="I306" s="218" t="str">
        <f>IFERROR(IF(COUNTIF(INDEX(Personnel[Category],A306),"*PDEng*")&gt;0,IF(OR(IFERROR(MATCH("*PhD*",Personnel[Category],0),0)&gt;0,IFERROR(MATCH("*PostDoc*",Personnel[Category],0),0)&gt;0),"",$B$132),""),"")</f>
        <v/>
      </c>
      <c r="J306" s="218" t="str">
        <f>IFERROR(IF(COUNTIF(INDEX(Personnel[Category],A306),"*PDEng*")&gt;0,IF(INDEX(Personnel[Months],A306)*INDEX(Personnel[FTE],A306)&gt;pers_PDEng_max_months,$B$133,""),""),"")</f>
        <v/>
      </c>
      <c r="K306" s="218" t="str">
        <f>IFERROR(IF(COUNTIF(INDEX(Personnel[Category],A306),"*PostDoc*")&gt;0,IF(INDEX(Personnel[Months],A306)*INDEX(Personnel[FTE],A306)&lt;pers_PD_min_months,$B$134,""),""),"")</f>
        <v/>
      </c>
      <c r="L306" s="218" t="str">
        <f>IFERROR(IF(COUNTIF(INDEX(Personnel[Category],A306),"*PostDoc*")&gt;0,IF(INDEX(Personnel[Months],A306)*INDEX(Personnel[FTE],A306)&gt;pers_PD_max_months,$B$135,""),""),"")</f>
        <v/>
      </c>
      <c r="M306" s="218" t="str">
        <f>IFERROR(IF(COUNTIF(INDEX(Personnel[Category],A306),"*Non-scientific*")&gt;0,IF(OR(IFERROR(MATCH("*PhD*",Personnel[Category],0),0)&gt;0,IFERROR(MATCH("*PostDoc*",Personnel[Category],0),0)&gt;0),"",$B$136),""),"")</f>
        <v/>
      </c>
      <c r="N306" s="218" t="str">
        <f>IFERROR(IF(COUNTIF(INDEX(Personnel[Category],A306),"*Non-scientific*")&gt;0,IF(Total_NSP&gt;pers_max_NSP,$B$137,""),""),"")</f>
        <v/>
      </c>
      <c r="O306" s="218" t="str">
        <f>IFERROR(IF(COUNTIF(INDEX(Personnel[Category],A306),"*Non-scientific*")&gt;0,IF(INDEX(Personnel[Months],A306)*INDEX(Personnel[FTE],A306)&lt;pers_NSP_min_months,$B$138,""),""),"")</f>
        <v/>
      </c>
      <c r="P306" s="218" t="str">
        <f>IFERROR(IF(COUNTIF(INDEX(Personnel[Category],A306),"*Non-scientific*")&gt;0,IF(INDEX(Personnel[Months],A306)*INDEX(Personnel[FTE],A306)&gt;pers_NSP_max_months,$B$139,""),""),"")</f>
        <v/>
      </c>
      <c r="Q306" s="218" t="str">
        <f>IFERROR(IF(COUNTIF(INDEX(Personnel[Category],A306),"*Other scientific*")&gt;0,IF(OR(IFERROR(MATCH("*PhD*",Personnel[Category],0),0)&gt;0,IFERROR(MATCH("*PostDoc*",Personnel[Category],0),0)&gt;0),"",$B$140),""),"")</f>
        <v/>
      </c>
      <c r="R306" s="218" t="str">
        <f>IFERROR(IF(COUNTIF(INDEX(Personnel[Category],A306),"*Other scientific*")&gt;0,IF(Total_OSP&gt;pers_max_OSP,$B$141,""),""),"")</f>
        <v/>
      </c>
      <c r="S306" s="218" t="str">
        <f>IFERROR(IF(COUNTIF(INDEX(Personnel[Category],A306),"*Other scientific*")&gt;0,IF(INDEX(Personnel[Months],A306)*INDEX(Personnel[FTE],A306)&lt;pers_OSP_min_months,$B$142,""),""),"")</f>
        <v/>
      </c>
      <c r="T306" s="218" t="str">
        <f>IFERROR(IF(COUNTIF(INDEX(Personnel[Category],A306),"*Other scientific*")&gt;0,IF(INDEX(Personnel[Months],A306)*INDEX(Personnel[FTE],A306)&gt;pers_OSP_max_months,$B$143,""),""),"")</f>
        <v/>
      </c>
      <c r="U306" s="218" t="str">
        <f>IFERROR(IF(COUNTIF(INDEX(Personnel[Category],A306),"*leave*")&gt;0,IF(Total_Research_leave&gt;pers_leave_maxperc*Total_NWO_funding,$B$144,""),""),"")</f>
        <v/>
      </c>
      <c r="V306" s="218" t="str">
        <f>IFERROR(IF(COUNTIF(INDEX(Personnel[Category],A306),"*leave*")&gt;0,IF(Research_leave_FTE_months&gt;pers_leave_maxduration,$B$145,""),""),"")</f>
        <v/>
      </c>
      <c r="W306" s="218" t="str">
        <f>IFERROR(IF(AND(INDEX(Personnel[Costs],A306)=0,INDEX(salaries_academic[[category]:[1]],MATCH(INDEX(Personnel[Category],A306),salaries_academic[category],0),3)=0),$B$148,""),"")</f>
        <v/>
      </c>
      <c r="X306" s="218" t="e">
        <f>IF(AND(organisation_type="yes",INDEX(Personnel[Amount],A306,1)&lt;&gt;"",ISBLANK(INDEX(Personnel[Organisation type],A306,1))),$B$146,"")</f>
        <v>#REF!</v>
      </c>
      <c r="Y306" s="218" t="e">
        <f>IF(AND(organisation_name="yes",INDEX(Personnel[Amount],A306,1)&lt;&gt;"",ISBLANK(INDEX(Personnel[Name organisation],A306,1))),$B$147,"")</f>
        <v>#REF!</v>
      </c>
      <c r="Z306" s="218" t="str">
        <f>IFERROR(IF(AND(INDEX(Personnel[Costs],A306)&gt;0,INDEX(salaries_academic[[category]:[1]],MATCH(INDEX(Personnel[Category],A306),salaries_academic[category],0),3)&gt;0),$B$149,""),"")</f>
        <v/>
      </c>
      <c r="AA306" s="218"/>
    </row>
    <row r="307" spans="1:27" outlineLevel="1" x14ac:dyDescent="0.35">
      <c r="A307" s="195">
        <v>100</v>
      </c>
      <c r="B307" s="195" t="str">
        <f t="array" ref="B307">IFERROR(INDEX(personnel_ac_notes[[#This Row],[Exceeding nr months]:[Costs specified]],1,MATCH(TRUE,LEN(personnel_ac_notes[[#This Row],[Exceeding nr months]:[Costs specified]])&gt;0,0)),"")</f>
        <v/>
      </c>
      <c r="C307" s="195" t="str">
        <f>IFERROR(IF(INDEX(Personnel[Months],A307)&gt;Max_project_duration,$B$128,""),"")</f>
        <v/>
      </c>
      <c r="D307" s="195" t="str">
        <f>IFERROR(IF(AND(LEN(INDEX(Personnel[Category],A307))+LEN(INDEX(Personnel[FTE],A307))+LEN(INDEX(Personnel[Months],A307))&gt;0,LEN(INDEX(Personnel[Category],A307-1))+LEN(INDEX(Personnel[FTE],A307-1))+LEN(INDEX(Personnel[Months],A307-1))=0),$B$127,""),"")</f>
        <v/>
      </c>
      <c r="E307" s="195" t="str">
        <f>IF(AND(NOT(ISBLANK(INDEX(Personnel[Category],A307))),OR(ISBLANK(INDEX(Personnel[FTE],A307)),ISBLANK(INDEX(Personnel[Months],A307)))),VLOOKUP(INDEX(Personnel[Category],A307),salaries_academic[],2,FALSE),"")</f>
        <v/>
      </c>
      <c r="F307" s="195" t="str">
        <f>IFERROR(IF(COUNTIF(INDEX(Personnel[Category],A307),"*- PhD*")&gt;0,IF(INDEX(Personnel[Months],A307)*INDEX(Personnel[FTE],A307)&lt;pers_PhD_min_months,$B$129,""),""),"")</f>
        <v/>
      </c>
      <c r="G307" s="195" t="str">
        <f>IFERROR(IF(COUNTIF(INDEX(Personnel[Category],$A307),"*- PhD*")&gt;0,IF(INDEX(Personnel[Months],$A307)*INDEX(Personnel[FTE],$A307)&gt;pers_PhD_max_months,$B$130,""),""),"")</f>
        <v/>
      </c>
      <c r="H307" s="195" t="str">
        <f>IFERROR(IF(COUNTIF(INDEX(Personnel[Category],A307),"*year*")&gt;0,IF(INDEX(Personnel[Months],A307)*INDEX(Personnel[FTE],A307)&lt;pers_3yPhD_min_months,$B$131,""),""),"")</f>
        <v/>
      </c>
      <c r="I307" s="218" t="str">
        <f>IFERROR(IF(COUNTIF(INDEX(Personnel[Category],A307),"*PDEng*")&gt;0,IF(OR(IFERROR(MATCH("*PhD*",Personnel[Category],0),0)&gt;0,IFERROR(MATCH("*PostDoc*",Personnel[Category],0),0)&gt;0),"",$B$132),""),"")</f>
        <v/>
      </c>
      <c r="J307" s="218" t="str">
        <f>IFERROR(IF(COUNTIF(INDEX(Personnel[Category],A307),"*PDEng*")&gt;0,IF(INDEX(Personnel[Months],A307)*INDEX(Personnel[FTE],A307)&gt;pers_PDEng_max_months,$B$133,""),""),"")</f>
        <v/>
      </c>
      <c r="K307" s="218" t="str">
        <f>IFERROR(IF(COUNTIF(INDEX(Personnel[Category],A307),"*PostDoc*")&gt;0,IF(INDEX(Personnel[Months],A307)*INDEX(Personnel[FTE],A307)&lt;pers_PD_min_months,$B$134,""),""),"")</f>
        <v/>
      </c>
      <c r="L307" s="218" t="str">
        <f>IFERROR(IF(COUNTIF(INDEX(Personnel[Category],A307),"*PostDoc*")&gt;0,IF(INDEX(Personnel[Months],A307)*INDEX(Personnel[FTE],A307)&gt;pers_PD_max_months,$B$135,""),""),"")</f>
        <v/>
      </c>
      <c r="M307" s="218" t="str">
        <f>IFERROR(IF(COUNTIF(INDEX(Personnel[Category],A307),"*Non-scientific*")&gt;0,IF(OR(IFERROR(MATCH("*PhD*",Personnel[Category],0),0)&gt;0,IFERROR(MATCH("*PostDoc*",Personnel[Category],0),0)&gt;0),"",$B$136),""),"")</f>
        <v/>
      </c>
      <c r="N307" s="218" t="str">
        <f>IFERROR(IF(COUNTIF(INDEX(Personnel[Category],A307),"*Non-scientific*")&gt;0,IF(Total_NSP&gt;pers_max_NSP,$B$137,""),""),"")</f>
        <v/>
      </c>
      <c r="O307" s="218" t="str">
        <f>IFERROR(IF(COUNTIF(INDEX(Personnel[Category],A307),"*Non-scientific*")&gt;0,IF(INDEX(Personnel[Months],A307)*INDEX(Personnel[FTE],A307)&lt;pers_NSP_min_months,$B$138,""),""),"")</f>
        <v/>
      </c>
      <c r="P307" s="218" t="str">
        <f>IFERROR(IF(COUNTIF(INDEX(Personnel[Category],A307),"*Non-scientific*")&gt;0,IF(INDEX(Personnel[Months],A307)*INDEX(Personnel[FTE],A307)&gt;pers_NSP_max_months,$B$139,""),""),"")</f>
        <v/>
      </c>
      <c r="Q307" s="218" t="str">
        <f>IFERROR(IF(COUNTIF(INDEX(Personnel[Category],A307),"*Other scientific*")&gt;0,IF(OR(IFERROR(MATCH("*PhD*",Personnel[Category],0),0)&gt;0,IFERROR(MATCH("*PostDoc*",Personnel[Category],0),0)&gt;0),"",$B$140),""),"")</f>
        <v/>
      </c>
      <c r="R307" s="218" t="str">
        <f>IFERROR(IF(COUNTIF(INDEX(Personnel[Category],A307),"*Other scientific*")&gt;0,IF(Total_OSP&gt;pers_max_OSP,$B$141,""),""),"")</f>
        <v/>
      </c>
      <c r="S307" s="218" t="str">
        <f>IFERROR(IF(COUNTIF(INDEX(Personnel[Category],A307),"*Other scientific*")&gt;0,IF(INDEX(Personnel[Months],A307)*INDEX(Personnel[FTE],A307)&lt;pers_OSP_min_months,$B$142,""),""),"")</f>
        <v/>
      </c>
      <c r="T307" s="218" t="str">
        <f>IFERROR(IF(COUNTIF(INDEX(Personnel[Category],A307),"*Other scientific*")&gt;0,IF(INDEX(Personnel[Months],A307)*INDEX(Personnel[FTE],A307)&gt;pers_OSP_max_months,$B$143,""),""),"")</f>
        <v/>
      </c>
      <c r="U307" s="218" t="str">
        <f>IFERROR(IF(COUNTIF(INDEX(Personnel[Category],A307),"*leave*")&gt;0,IF(Total_Research_leave&gt;pers_leave_maxperc*Total_NWO_funding,$B$144,""),""),"")</f>
        <v/>
      </c>
      <c r="V307" s="218" t="str">
        <f>IFERROR(IF(COUNTIF(INDEX(Personnel[Category],A307),"*leave*")&gt;0,IF(Research_leave_FTE_months&gt;pers_leave_maxduration,$B$145,""),""),"")</f>
        <v/>
      </c>
      <c r="W307" s="218" t="str">
        <f>IFERROR(IF(AND(INDEX(Personnel[Costs],A307)=0,INDEX(salaries_academic[[category]:[1]],MATCH(INDEX(Personnel[Category],A307),salaries_academic[category],0),3)=0),$B$148,""),"")</f>
        <v/>
      </c>
      <c r="X307" s="218" t="e">
        <f>IF(AND(organisation_type="yes",INDEX(Personnel[Amount],A307,1)&lt;&gt;"",ISBLANK(INDEX(Personnel[Organisation type],A307,1))),$B$146,"")</f>
        <v>#REF!</v>
      </c>
      <c r="Y307" s="218" t="e">
        <f>IF(AND(organisation_name="yes",INDEX(Personnel[Amount],A307,1)&lt;&gt;"",ISBLANK(INDEX(Personnel[Name organisation],A307,1))),$B$147,"")</f>
        <v>#REF!</v>
      </c>
      <c r="Z307" s="218" t="str">
        <f>IFERROR(IF(AND(INDEX(Personnel[Costs],A307)&gt;0,INDEX(salaries_academic[[category]:[1]],MATCH(INDEX(Personnel[Category],A307),salaries_academic[category],0),3)&gt;0),$B$149,""),"")</f>
        <v/>
      </c>
      <c r="AA307" s="218"/>
    </row>
    <row r="310" spans="1:27" ht="37" collapsed="1" x14ac:dyDescent="0.35">
      <c r="A310" s="217" t="s">
        <v>735</v>
      </c>
    </row>
    <row r="311" spans="1:27" hidden="1" outlineLevel="1" x14ac:dyDescent="0.35">
      <c r="A311" s="260" t="s">
        <v>579</v>
      </c>
      <c r="B311" s="261" t="s">
        <v>592</v>
      </c>
      <c r="C311" s="261" t="s">
        <v>800</v>
      </c>
      <c r="D311" s="261" t="s">
        <v>690</v>
      </c>
      <c r="E311" s="261" t="s">
        <v>691</v>
      </c>
      <c r="F311" s="365" t="s">
        <v>783</v>
      </c>
      <c r="G311" s="365" t="s">
        <v>774</v>
      </c>
      <c r="H311" s="218" t="s">
        <v>66</v>
      </c>
      <c r="I311" s="218" t="s">
        <v>732</v>
      </c>
    </row>
    <row r="312" spans="1:27" hidden="1" outlineLevel="1" x14ac:dyDescent="0.35">
      <c r="A312" s="195">
        <v>1</v>
      </c>
      <c r="B312" s="195" t="str">
        <f t="array" ref="B312">IFERROR(INDEX(personnel_other_inst[[#This Row],[Empty lines]:[Name organisation]],1,MATCH(TRUE,LEN(personnel_other_inst[[#This Row],[Empty lines]:[Name organisation]])&gt;0,0)),"")</f>
        <v/>
      </c>
      <c r="C312" s="195" t="str">
        <f>IFERROR(IF(AND(LEN(INDEX(#REF!,A312))+LEN(INDEX(#REF!,A312))+LEN(INDEX(#REF!,A312))+LEN(INDEX(#REF!,A312))&gt;0,LEN(INDEX(#REF!,A312-1))+LEN(INDEX(#REF!,A312-1))+LEN(INDEX(#REF!,A312-1))+LEN(INDEX(#REF!,A312-1))=0),$B$127,""),"")</f>
        <v/>
      </c>
      <c r="D312" s="195" t="str">
        <f>IFERROR(IF(AND(INDEX(#REF!,A312)="",OR(INDEX(#REF!,A312)&gt;0,INDEX(#REF!,A312)&gt;0,INDEX(#REF!,A312)&gt;0)),$B$152,""),"")</f>
        <v/>
      </c>
      <c r="E312" s="195" t="e">
        <f>SUBSTITUTE(IF(INDEX(#REF!,A312)&gt;IFERROR(INDEX(salaries_other_inst[Max hourly rate],MATCH(INDEX(#REF!,A312),salaries_other_inst[category],0),1),""),$B$153,""),"&lt;&lt;max_hourly_rate&gt;&gt;",TEXT(IFERROR(INDEX(salaries_other_inst[Max hourly rate],MATCH(INDEX(#REF!,A312),salaries_other_inst[category],0),1),""),"€ #"))</f>
        <v>#REF!</v>
      </c>
      <c r="F312" s="195" t="str">
        <f>IFERROR(IF(AND(INDEX(#REF!,A312)&lt;&gt;"",INDEX(#REF!,A312)=0),$B$155,""),"")</f>
        <v/>
      </c>
      <c r="G312" s="195" t="str">
        <f>IFERROR(IF(12*INDEX(#REF!,A312)/INDEX(#REF!,A312)&gt;pers_other_nrhours_year,checks!$B$156,""),"")</f>
        <v/>
      </c>
      <c r="H312" t="e">
        <f>IF(AND(organisation_type="yes",INDEX(#REF!,A312,1)&lt;&gt;"",ISBLANK(INDEX(#REF!,A312,1))),$B$146,"")</f>
        <v>#REF!</v>
      </c>
      <c r="I312" t="e">
        <f>IF(AND(organisation_name="yes",INDEX(#REF!,A312,1)&lt;&gt;"",ISBLANK(INDEX(#REF!,A312,1))),$B$147,"")</f>
        <v>#REF!</v>
      </c>
    </row>
    <row r="313" spans="1:27" hidden="1" outlineLevel="1" x14ac:dyDescent="0.35">
      <c r="A313" s="195">
        <v>2</v>
      </c>
      <c r="B313" s="195" t="str">
        <f t="array" ref="B313">IFERROR(INDEX(personnel_other_inst[[#This Row],[Empty lines]:[Name organisation]],1,MATCH(TRUE,LEN(personnel_other_inst[[#This Row],[Empty lines]:[Name organisation]])&gt;0,0)),"")</f>
        <v/>
      </c>
      <c r="C313" s="195" t="str">
        <f>IFERROR(IF(AND(LEN(INDEX(#REF!,A313))+LEN(INDEX(#REF!,A313))+LEN(INDEX(#REF!,A313))+LEN(INDEX(#REF!,A313))&gt;0,LEN(INDEX(#REF!,A313-1))+LEN(INDEX(#REF!,A313-1))+LEN(INDEX(#REF!,A313-1))+LEN(INDEX(#REF!,A313-1))=0),$B$127,""),"")</f>
        <v/>
      </c>
      <c r="D313" s="195" t="str">
        <f>IFERROR(IF(AND(INDEX(#REF!,A313)="",OR(INDEX(#REF!,A313)&gt;0,INDEX(#REF!,A313)&gt;0,INDEX(#REF!,A313)&gt;0)),$B$152,""),"")</f>
        <v/>
      </c>
      <c r="E313" s="195" t="e">
        <f>SUBSTITUTE(IF(INDEX(#REF!,A313)&gt;IFERROR(INDEX(salaries_other_inst[Max hourly rate],MATCH(INDEX(#REF!,A313),salaries_other_inst[category],0),1),""),$B$153,""),"&lt;&lt;max_hourly_rate&gt;&gt;",TEXT(IFERROR(INDEX(salaries_other_inst[Max hourly rate],MATCH(INDEX(#REF!,A313),salaries_other_inst[category],0),1),""),"€ #"))</f>
        <v>#REF!</v>
      </c>
      <c r="F313" s="195" t="str">
        <f>IFERROR(IF(AND(INDEX(#REF!,A313)&lt;&gt;"",INDEX(#REF!,A313)=0),$B$155,""),"")</f>
        <v/>
      </c>
      <c r="G313" s="195" t="str">
        <f>IFERROR(IF(12*INDEX(#REF!,A313)/INDEX(#REF!,A313)&gt;pers_other_nrhours_year,checks!$B$156,""),"")</f>
        <v/>
      </c>
      <c r="H313" t="e">
        <f>IF(AND(organisation_type="yes",INDEX(#REF!,A313,1)&lt;&gt;"",ISBLANK(INDEX(#REF!,A313,1))),$B$146,"")</f>
        <v>#REF!</v>
      </c>
      <c r="I313" t="e">
        <f>IF(AND(organisation_name="yes",INDEX(#REF!,A313,1)&lt;&gt;"",ISBLANK(INDEX(#REF!,A313,1))),$B$147,"")</f>
        <v>#REF!</v>
      </c>
    </row>
    <row r="314" spans="1:27" hidden="1" outlineLevel="1" x14ac:dyDescent="0.35">
      <c r="A314" s="195">
        <v>3</v>
      </c>
      <c r="B314" s="195" t="str">
        <f t="array" ref="B314">IFERROR(INDEX(personnel_other_inst[[#This Row],[Empty lines]:[Name organisation]],1,MATCH(TRUE,LEN(personnel_other_inst[[#This Row],[Empty lines]:[Name organisation]])&gt;0,0)),"")</f>
        <v/>
      </c>
      <c r="C314" s="195" t="str">
        <f>IFERROR(IF(AND(LEN(INDEX(#REF!,A314))+LEN(INDEX(#REF!,A314))+LEN(INDEX(#REF!,A314))+LEN(INDEX(#REF!,A314))&gt;0,LEN(INDEX(#REF!,A314-1))+LEN(INDEX(#REF!,A314-1))+LEN(INDEX(#REF!,A314-1))+LEN(INDEX(#REF!,A314-1))=0),$B$127,""),"")</f>
        <v/>
      </c>
      <c r="D314" s="195" t="str">
        <f>IFERROR(IF(AND(INDEX(#REF!,A314)="",OR(INDEX(#REF!,A314)&gt;0,INDEX(#REF!,A314)&gt;0,INDEX(#REF!,A314)&gt;0)),$B$152,""),"")</f>
        <v/>
      </c>
      <c r="E314" s="195" t="e">
        <f>SUBSTITUTE(IF(INDEX(#REF!,A314)&gt;IFERROR(INDEX(salaries_other_inst[Max hourly rate],MATCH(INDEX(#REF!,A314),salaries_other_inst[category],0),1),""),$B$153,""),"&lt;&lt;max_hourly_rate&gt;&gt;",TEXT(IFERROR(INDEX(salaries_other_inst[Max hourly rate],MATCH(INDEX(#REF!,A314),salaries_other_inst[category],0),1),""),"€ #"))</f>
        <v>#REF!</v>
      </c>
      <c r="F314" s="195" t="str">
        <f>IFERROR(IF(AND(INDEX(#REF!,A314)&lt;&gt;"",INDEX(#REF!,A314)=0),$B$155,""),"")</f>
        <v/>
      </c>
      <c r="G314" s="195" t="str">
        <f>IFERROR(IF(12*INDEX(#REF!,A314)/INDEX(#REF!,A314)&gt;pers_other_nrhours_year,checks!$B$156,""),"")</f>
        <v/>
      </c>
      <c r="H314" t="e">
        <f>IF(AND(organisation_type="yes",INDEX(#REF!,A314,1)&lt;&gt;"",ISBLANK(INDEX(#REF!,A314,1))),$B$146,"")</f>
        <v>#REF!</v>
      </c>
      <c r="I314" t="e">
        <f>IF(AND(organisation_name="yes",INDEX(#REF!,A314,1)&lt;&gt;"",ISBLANK(INDEX(#REF!,A314,1))),$B$147,"")</f>
        <v>#REF!</v>
      </c>
    </row>
    <row r="315" spans="1:27" hidden="1" outlineLevel="1" x14ac:dyDescent="0.35">
      <c r="A315" s="195">
        <v>4</v>
      </c>
      <c r="B315" s="195" t="str">
        <f t="array" ref="B315">IFERROR(INDEX(personnel_other_inst[[#This Row],[Empty lines]:[Name organisation]],1,MATCH(TRUE,LEN(personnel_other_inst[[#This Row],[Empty lines]:[Name organisation]])&gt;0,0)),"")</f>
        <v/>
      </c>
      <c r="C315" s="195" t="str">
        <f>IFERROR(IF(AND(LEN(INDEX(#REF!,A315))+LEN(INDEX(#REF!,A315))+LEN(INDEX(#REF!,A315))+LEN(INDEX(#REF!,A315))&gt;0,LEN(INDEX(#REF!,A315-1))+LEN(INDEX(#REF!,A315-1))+LEN(INDEX(#REF!,A315-1))+LEN(INDEX(#REF!,A315-1))=0),$B$127,""),"")</f>
        <v/>
      </c>
      <c r="D315" s="195" t="str">
        <f>IFERROR(IF(AND(INDEX(#REF!,A315)="",OR(INDEX(#REF!,A315)&gt;0,INDEX(#REF!,A315)&gt;0,INDEX(#REF!,A315)&gt;0)),$B$152,""),"")</f>
        <v/>
      </c>
      <c r="E315" s="195" t="e">
        <f>SUBSTITUTE(IF(INDEX(#REF!,A315)&gt;IFERROR(INDEX(salaries_other_inst[Max hourly rate],MATCH(INDEX(#REF!,A315),salaries_other_inst[category],0),1),""),$B$153,""),"&lt;&lt;max_hourly_rate&gt;&gt;",TEXT(IFERROR(INDEX(salaries_other_inst[Max hourly rate],MATCH(INDEX(#REF!,A315),salaries_other_inst[category],0),1),""),"€ #"))</f>
        <v>#REF!</v>
      </c>
      <c r="F315" s="195" t="str">
        <f>IFERROR(IF(AND(INDEX(#REF!,A315)&lt;&gt;"",INDEX(#REF!,A315)=0),$B$155,""),"")</f>
        <v/>
      </c>
      <c r="G315" s="195" t="str">
        <f>IFERROR(IF(12*INDEX(#REF!,A315)/INDEX(#REF!,A315)&gt;pers_other_nrhours_year,checks!$B$156,""),"")</f>
        <v/>
      </c>
      <c r="H315" t="e">
        <f>IF(AND(organisation_type="yes",INDEX(#REF!,A315,1)&lt;&gt;"",ISBLANK(INDEX(#REF!,A315,1))),$B$146,"")</f>
        <v>#REF!</v>
      </c>
      <c r="I315" t="e">
        <f>IF(AND(organisation_name="yes",INDEX(#REF!,A315,1)&lt;&gt;"",ISBLANK(INDEX(#REF!,A315,1))),$B$147,"")</f>
        <v>#REF!</v>
      </c>
    </row>
    <row r="316" spans="1:27" hidden="1" outlineLevel="1" x14ac:dyDescent="0.35">
      <c r="A316" s="195">
        <v>5</v>
      </c>
      <c r="B316" s="195" t="str">
        <f t="array" ref="B316">IFERROR(INDEX(personnel_other_inst[[#This Row],[Empty lines]:[Name organisation]],1,MATCH(TRUE,LEN(personnel_other_inst[[#This Row],[Empty lines]:[Name organisation]])&gt;0,0)),"")</f>
        <v/>
      </c>
      <c r="C316" s="195" t="str">
        <f>IFERROR(IF(AND(LEN(INDEX(#REF!,A316))+LEN(INDEX(#REF!,A316))+LEN(INDEX(#REF!,A316))+LEN(INDEX(#REF!,A316))&gt;0,LEN(INDEX(#REF!,A316-1))+LEN(INDEX(#REF!,A316-1))+LEN(INDEX(#REF!,A316-1))+LEN(INDEX(#REF!,A316-1))=0),$B$127,""),"")</f>
        <v/>
      </c>
      <c r="D316" s="195" t="str">
        <f>IFERROR(IF(AND(INDEX(#REF!,A316)="",OR(INDEX(#REF!,A316)&gt;0,INDEX(#REF!,A316)&gt;0,INDEX(#REF!,A316)&gt;0)),$B$152,""),"")</f>
        <v/>
      </c>
      <c r="E316" s="195" t="e">
        <f>SUBSTITUTE(IF(INDEX(#REF!,A316)&gt;IFERROR(INDEX(salaries_other_inst[Max hourly rate],MATCH(INDEX(#REF!,A316),salaries_other_inst[category],0),1),""),$B$153,""),"&lt;&lt;max_hourly_rate&gt;&gt;",TEXT(IFERROR(INDEX(salaries_other_inst[Max hourly rate],MATCH(INDEX(#REF!,A316),salaries_other_inst[category],0),1),""),"€ #"))</f>
        <v>#REF!</v>
      </c>
      <c r="F316" s="195" t="str">
        <f>IFERROR(IF(AND(INDEX(#REF!,A316)&lt;&gt;"",INDEX(#REF!,A316)=0),$B$155,""),"")</f>
        <v/>
      </c>
      <c r="G316" s="195" t="str">
        <f>IFERROR(IF(12*INDEX(#REF!,A316)/INDEX(#REF!,A316)&gt;pers_other_nrhours_year,checks!$B$156,""),"")</f>
        <v/>
      </c>
      <c r="H316" t="e">
        <f>IF(AND(organisation_type="yes",INDEX(#REF!,A316,1)&lt;&gt;"",ISBLANK(INDEX(#REF!,A316,1))),$B$146,"")</f>
        <v>#REF!</v>
      </c>
      <c r="I316" t="e">
        <f>IF(AND(organisation_name="yes",INDEX(#REF!,A316,1)&lt;&gt;"",ISBLANK(INDEX(#REF!,A316,1))),$B$147,"")</f>
        <v>#REF!</v>
      </c>
    </row>
    <row r="317" spans="1:27" hidden="1" outlineLevel="1" x14ac:dyDescent="0.35">
      <c r="A317" s="195">
        <v>6</v>
      </c>
      <c r="B317" s="195" t="str">
        <f t="array" ref="B317">IFERROR(INDEX(personnel_other_inst[[#This Row],[Empty lines]:[Name organisation]],1,MATCH(TRUE,LEN(personnel_other_inst[[#This Row],[Empty lines]:[Name organisation]])&gt;0,0)),"")</f>
        <v/>
      </c>
      <c r="C317" s="195" t="str">
        <f>IFERROR(IF(AND(LEN(INDEX(#REF!,A317))+LEN(INDEX(#REF!,A317))+LEN(INDEX(#REF!,A317))+LEN(INDEX(#REF!,A317))&gt;0,LEN(INDEX(#REF!,A317-1))+LEN(INDEX(#REF!,A317-1))+LEN(INDEX(#REF!,A317-1))+LEN(INDEX(#REF!,A317-1))=0),$B$127,""),"")</f>
        <v/>
      </c>
      <c r="D317" s="195" t="str">
        <f>IFERROR(IF(AND(INDEX(#REF!,A317)="",OR(INDEX(#REF!,A317)&gt;0,INDEX(#REF!,A317)&gt;0,INDEX(#REF!,A317)&gt;0)),$B$152,""),"")</f>
        <v/>
      </c>
      <c r="E317" s="195" t="e">
        <f>SUBSTITUTE(IF(INDEX(#REF!,A317)&gt;IFERROR(INDEX(salaries_other_inst[Max hourly rate],MATCH(INDEX(#REF!,A317),salaries_other_inst[category],0),1),""),$B$153,""),"&lt;&lt;max_hourly_rate&gt;&gt;",TEXT(IFERROR(INDEX(salaries_other_inst[Max hourly rate],MATCH(INDEX(#REF!,A317),salaries_other_inst[category],0),1),""),"€ #"))</f>
        <v>#REF!</v>
      </c>
      <c r="F317" s="195" t="str">
        <f>IFERROR(IF(AND(INDEX(#REF!,A317)&lt;&gt;"",INDEX(#REF!,A317)=0),$B$155,""),"")</f>
        <v/>
      </c>
      <c r="G317" s="195" t="str">
        <f>IFERROR(IF(12*INDEX(#REF!,A317)/INDEX(#REF!,A317)&gt;pers_other_nrhours_year,checks!$B$156,""),"")</f>
        <v/>
      </c>
      <c r="H317" t="e">
        <f>IF(AND(organisation_type="yes",INDEX(#REF!,A317,1)&lt;&gt;"",ISBLANK(INDEX(#REF!,A317,1))),$B$146,"")</f>
        <v>#REF!</v>
      </c>
      <c r="I317" t="e">
        <f>IF(AND(organisation_name="yes",INDEX(#REF!,A317,1)&lt;&gt;"",ISBLANK(INDEX(#REF!,A317,1))),$B$147,"")</f>
        <v>#REF!</v>
      </c>
    </row>
    <row r="318" spans="1:27" hidden="1" outlineLevel="1" x14ac:dyDescent="0.35">
      <c r="A318" s="195">
        <v>7</v>
      </c>
      <c r="B318" s="195" t="str">
        <f t="array" ref="B318">IFERROR(INDEX(personnel_other_inst[[#This Row],[Empty lines]:[Name organisation]],1,MATCH(TRUE,LEN(personnel_other_inst[[#This Row],[Empty lines]:[Name organisation]])&gt;0,0)),"")</f>
        <v/>
      </c>
      <c r="C318" s="195" t="str">
        <f>IFERROR(IF(AND(LEN(INDEX(#REF!,A318))+LEN(INDEX(#REF!,A318))+LEN(INDEX(#REF!,A318))+LEN(INDEX(#REF!,A318))&gt;0,LEN(INDEX(#REF!,A318-1))+LEN(INDEX(#REF!,A318-1))+LEN(INDEX(#REF!,A318-1))+LEN(INDEX(#REF!,A318-1))=0),$B$127,""),"")</f>
        <v/>
      </c>
      <c r="D318" s="195" t="str">
        <f>IFERROR(IF(AND(INDEX(#REF!,A318)="",OR(INDEX(#REF!,A318)&gt;0,INDEX(#REF!,A318)&gt;0,INDEX(#REF!,A318)&gt;0)),$B$152,""),"")</f>
        <v/>
      </c>
      <c r="E318" s="195" t="e">
        <f>SUBSTITUTE(IF(INDEX(#REF!,A318)&gt;IFERROR(INDEX(salaries_other_inst[Max hourly rate],MATCH(INDEX(#REF!,A318),salaries_other_inst[category],0),1),""),$B$153,""),"&lt;&lt;max_hourly_rate&gt;&gt;",TEXT(IFERROR(INDEX(salaries_other_inst[Max hourly rate],MATCH(INDEX(#REF!,A318),salaries_other_inst[category],0),1),""),"€ #"))</f>
        <v>#REF!</v>
      </c>
      <c r="F318" s="195" t="str">
        <f>IFERROR(IF(AND(INDEX(#REF!,A318)&lt;&gt;"",INDEX(#REF!,A318)=0),$B$155,""),"")</f>
        <v/>
      </c>
      <c r="G318" s="195" t="str">
        <f>IFERROR(IF(12*INDEX(#REF!,A318)/INDEX(#REF!,A318)&gt;pers_other_nrhours_year,checks!$B$156,""),"")</f>
        <v/>
      </c>
      <c r="H318" t="e">
        <f>IF(AND(organisation_type="yes",INDEX(#REF!,A318,1)&lt;&gt;"",ISBLANK(INDEX(#REF!,A318,1))),$B$146,"")</f>
        <v>#REF!</v>
      </c>
      <c r="I318" t="e">
        <f>IF(AND(organisation_name="yes",INDEX(#REF!,A318,1)&lt;&gt;"",ISBLANK(INDEX(#REF!,A318,1))),$B$147,"")</f>
        <v>#REF!</v>
      </c>
    </row>
    <row r="319" spans="1:27" hidden="1" outlineLevel="1" x14ac:dyDescent="0.35">
      <c r="A319" s="195">
        <v>8</v>
      </c>
      <c r="B319" s="195" t="str">
        <f t="array" ref="B319">IFERROR(INDEX(personnel_other_inst[[#This Row],[Empty lines]:[Name organisation]],1,MATCH(TRUE,LEN(personnel_other_inst[[#This Row],[Empty lines]:[Name organisation]])&gt;0,0)),"")</f>
        <v/>
      </c>
      <c r="C319" s="195" t="str">
        <f>IFERROR(IF(AND(LEN(INDEX(#REF!,A319))+LEN(INDEX(#REF!,A319))+LEN(INDEX(#REF!,A319))+LEN(INDEX(#REF!,A319))&gt;0,LEN(INDEX(#REF!,A319-1))+LEN(INDEX(#REF!,A319-1))+LEN(INDEX(#REF!,A319-1))+LEN(INDEX(#REF!,A319-1))=0),$B$127,""),"")</f>
        <v/>
      </c>
      <c r="D319" s="195" t="str">
        <f>IFERROR(IF(AND(INDEX(#REF!,A319)="",OR(INDEX(#REF!,A319)&gt;0,INDEX(#REF!,A319)&gt;0,INDEX(#REF!,A319)&gt;0)),$B$152,""),"")</f>
        <v/>
      </c>
      <c r="E319" s="195" t="e">
        <f>SUBSTITUTE(IF(INDEX(#REF!,A319)&gt;IFERROR(INDEX(salaries_other_inst[Max hourly rate],MATCH(INDEX(#REF!,A319),salaries_other_inst[category],0),1),""),$B$153,""),"&lt;&lt;max_hourly_rate&gt;&gt;",TEXT(IFERROR(INDEX(salaries_other_inst[Max hourly rate],MATCH(INDEX(#REF!,A319),salaries_other_inst[category],0),1),""),"€ #"))</f>
        <v>#REF!</v>
      </c>
      <c r="F319" s="195" t="str">
        <f>IFERROR(IF(AND(INDEX(#REF!,A319)&lt;&gt;"",INDEX(#REF!,A319)=0),$B$155,""),"")</f>
        <v/>
      </c>
      <c r="G319" s="195" t="str">
        <f>IFERROR(IF(12*INDEX(#REF!,A319)/INDEX(#REF!,A319)&gt;pers_other_nrhours_year,checks!$B$156,""),"")</f>
        <v/>
      </c>
      <c r="H319" t="e">
        <f>IF(AND(organisation_type="yes",INDEX(#REF!,A319,1)&lt;&gt;"",ISBLANK(INDEX(#REF!,A319,1))),$B$146,"")</f>
        <v>#REF!</v>
      </c>
      <c r="I319" t="e">
        <f>IF(AND(organisation_name="yes",INDEX(#REF!,A319,1)&lt;&gt;"",ISBLANK(INDEX(#REF!,A319,1))),$B$147,"")</f>
        <v>#REF!</v>
      </c>
    </row>
    <row r="320" spans="1:27" hidden="1" outlineLevel="1" x14ac:dyDescent="0.35">
      <c r="A320" s="195">
        <v>9</v>
      </c>
      <c r="B320" s="195" t="str">
        <f t="array" ref="B320">IFERROR(INDEX(personnel_other_inst[[#This Row],[Empty lines]:[Name organisation]],1,MATCH(TRUE,LEN(personnel_other_inst[[#This Row],[Empty lines]:[Name organisation]])&gt;0,0)),"")</f>
        <v/>
      </c>
      <c r="C320" s="195" t="str">
        <f>IFERROR(IF(AND(LEN(INDEX(#REF!,A320))+LEN(INDEX(#REF!,A320))+LEN(INDEX(#REF!,A320))+LEN(INDEX(#REF!,A320))&gt;0,LEN(INDEX(#REF!,A320-1))+LEN(INDEX(#REF!,A320-1))+LEN(INDEX(#REF!,A320-1))+LEN(INDEX(#REF!,A320-1))=0),$B$127,""),"")</f>
        <v/>
      </c>
      <c r="D320" s="195" t="str">
        <f>IFERROR(IF(AND(INDEX(#REF!,A320)="",OR(INDEX(#REF!,A320)&gt;0,INDEX(#REF!,A320)&gt;0,INDEX(#REF!,A320)&gt;0)),$B$152,""),"")</f>
        <v/>
      </c>
      <c r="E320" s="195" t="e">
        <f>SUBSTITUTE(IF(INDEX(#REF!,A320)&gt;IFERROR(INDEX(salaries_other_inst[Max hourly rate],MATCH(INDEX(#REF!,A320),salaries_other_inst[category],0),1),""),$B$153,""),"&lt;&lt;max_hourly_rate&gt;&gt;",TEXT(IFERROR(INDEX(salaries_other_inst[Max hourly rate],MATCH(INDEX(#REF!,A320),salaries_other_inst[category],0),1),""),"€ #"))</f>
        <v>#REF!</v>
      </c>
      <c r="F320" s="195" t="str">
        <f>IFERROR(IF(AND(INDEX(#REF!,A320)&lt;&gt;"",INDEX(#REF!,A320)=0),$B$155,""),"")</f>
        <v/>
      </c>
      <c r="G320" s="195" t="str">
        <f>IFERROR(IF(12*INDEX(#REF!,A320)/INDEX(#REF!,A320)&gt;pers_other_nrhours_year,checks!$B$156,""),"")</f>
        <v/>
      </c>
      <c r="H320" t="e">
        <f>IF(AND(organisation_type="yes",INDEX(#REF!,A320,1)&lt;&gt;"",ISBLANK(INDEX(#REF!,A320,1))),$B$146,"")</f>
        <v>#REF!</v>
      </c>
      <c r="I320" t="e">
        <f>IF(AND(organisation_name="yes",INDEX(#REF!,A320,1)&lt;&gt;"",ISBLANK(INDEX(#REF!,A320,1))),$B$147,"")</f>
        <v>#REF!</v>
      </c>
    </row>
    <row r="321" spans="1:9" hidden="1" outlineLevel="1" x14ac:dyDescent="0.35">
      <c r="A321" s="195">
        <v>10</v>
      </c>
      <c r="B321" s="195" t="str">
        <f t="array" ref="B321">IFERROR(INDEX(personnel_other_inst[[#This Row],[Empty lines]:[Name organisation]],1,MATCH(TRUE,LEN(personnel_other_inst[[#This Row],[Empty lines]:[Name organisation]])&gt;0,0)),"")</f>
        <v/>
      </c>
      <c r="C321" s="195" t="str">
        <f>IFERROR(IF(AND(LEN(INDEX(#REF!,A321))+LEN(INDEX(#REF!,A321))+LEN(INDEX(#REF!,A321))+LEN(INDEX(#REF!,A321))&gt;0,LEN(INDEX(#REF!,A321-1))+LEN(INDEX(#REF!,A321-1))+LEN(INDEX(#REF!,A321-1))+LEN(INDEX(#REF!,A321-1))=0),$B$127,""),"")</f>
        <v/>
      </c>
      <c r="D321" s="195" t="str">
        <f>IFERROR(IF(AND(INDEX(#REF!,A321)="",OR(INDEX(#REF!,A321)&gt;0,INDEX(#REF!,A321)&gt;0,INDEX(#REF!,A321)&gt;0)),$B$152,""),"")</f>
        <v/>
      </c>
      <c r="E321" s="195" t="e">
        <f>SUBSTITUTE(IF(INDEX(#REF!,A321)&gt;IFERROR(INDEX(salaries_other_inst[Max hourly rate],MATCH(INDEX(#REF!,A321),salaries_other_inst[category],0),1),""),$B$153,""),"&lt;&lt;max_hourly_rate&gt;&gt;",TEXT(IFERROR(INDEX(salaries_other_inst[Max hourly rate],MATCH(INDEX(#REF!,A321),salaries_other_inst[category],0),1),""),"€ #"))</f>
        <v>#REF!</v>
      </c>
      <c r="F321" s="195" t="str">
        <f>IFERROR(IF(AND(INDEX(#REF!,A321)&lt;&gt;"",INDEX(#REF!,A321)=0),$B$155,""),"")</f>
        <v/>
      </c>
      <c r="G321" s="195" t="str">
        <f>IFERROR(IF(12*INDEX(#REF!,A321)/INDEX(#REF!,A321)&gt;pers_other_nrhours_year,checks!$B$156,""),"")</f>
        <v/>
      </c>
      <c r="H321" t="e">
        <f>IF(AND(organisation_type="yes",INDEX(#REF!,A321,1)&lt;&gt;"",ISBLANK(INDEX(#REF!,A321,1))),$B$146,"")</f>
        <v>#REF!</v>
      </c>
      <c r="I321" t="e">
        <f>IF(AND(organisation_name="yes",INDEX(#REF!,A321,1)&lt;&gt;"",ISBLANK(INDEX(#REF!,A321,1))),$B$147,"")</f>
        <v>#REF!</v>
      </c>
    </row>
    <row r="322" spans="1:9" hidden="1" outlineLevel="1" x14ac:dyDescent="0.35">
      <c r="A322" s="195">
        <v>11</v>
      </c>
      <c r="B322" s="195" t="str">
        <f t="array" ref="B322">IFERROR(INDEX(personnel_other_inst[[#This Row],[Empty lines]:[Name organisation]],1,MATCH(TRUE,LEN(personnel_other_inst[[#This Row],[Empty lines]:[Name organisation]])&gt;0,0)),"")</f>
        <v/>
      </c>
      <c r="C322" s="195" t="str">
        <f>IFERROR(IF(AND(LEN(INDEX(#REF!,A322))+LEN(INDEX(#REF!,A322))+LEN(INDEX(#REF!,A322))+LEN(INDEX(#REF!,A322))&gt;0,LEN(INDEX(#REF!,A322-1))+LEN(INDEX(#REF!,A322-1))+LEN(INDEX(#REF!,A322-1))+LEN(INDEX(#REF!,A322-1))=0),$B$127,""),"")</f>
        <v/>
      </c>
      <c r="D322" s="195" t="str">
        <f>IFERROR(IF(AND(INDEX(#REF!,A322)="",OR(INDEX(#REF!,A322)&gt;0,INDEX(#REF!,A322)&gt;0,INDEX(#REF!,A322)&gt;0)),$B$152,""),"")</f>
        <v/>
      </c>
      <c r="E322" s="195" t="e">
        <f>SUBSTITUTE(IF(INDEX(#REF!,A322)&gt;IFERROR(INDEX(salaries_other_inst[Max hourly rate],MATCH(INDEX(#REF!,A322),salaries_other_inst[category],0),1),""),$B$153,""),"&lt;&lt;max_hourly_rate&gt;&gt;",TEXT(IFERROR(INDEX(salaries_other_inst[Max hourly rate],MATCH(INDEX(#REF!,A322),salaries_other_inst[category],0),1),""),"€ #"))</f>
        <v>#REF!</v>
      </c>
      <c r="F322" s="195" t="str">
        <f>IFERROR(IF(AND(INDEX(#REF!,A322)&lt;&gt;"",INDEX(#REF!,A322)=0),$B$155,""),"")</f>
        <v/>
      </c>
      <c r="G322" s="195" t="str">
        <f>IFERROR(IF(12*INDEX(#REF!,A322)/INDEX(#REF!,A322)&gt;pers_other_nrhours_year,checks!$B$156,""),"")</f>
        <v/>
      </c>
      <c r="H322" t="e">
        <f>IF(AND(organisation_type="yes",INDEX(#REF!,A322,1)&lt;&gt;"",ISBLANK(INDEX(#REF!,A322,1))),$B$146,"")</f>
        <v>#REF!</v>
      </c>
      <c r="I322" t="e">
        <f>IF(AND(organisation_name="yes",INDEX(#REF!,A322,1)&lt;&gt;"",ISBLANK(INDEX(#REF!,A322,1))),$B$147,"")</f>
        <v>#REF!</v>
      </c>
    </row>
    <row r="323" spans="1:9" hidden="1" outlineLevel="1" x14ac:dyDescent="0.35">
      <c r="A323" s="195">
        <v>12</v>
      </c>
      <c r="B323" s="195" t="str">
        <f t="array" ref="B323">IFERROR(INDEX(personnel_other_inst[[#This Row],[Empty lines]:[Name organisation]],1,MATCH(TRUE,LEN(personnel_other_inst[[#This Row],[Empty lines]:[Name organisation]])&gt;0,0)),"")</f>
        <v/>
      </c>
      <c r="C323" s="195" t="str">
        <f>IFERROR(IF(AND(LEN(INDEX(#REF!,A323))+LEN(INDEX(#REF!,A323))+LEN(INDEX(#REF!,A323))+LEN(INDEX(#REF!,A323))&gt;0,LEN(INDEX(#REF!,A323-1))+LEN(INDEX(#REF!,A323-1))+LEN(INDEX(#REF!,A323-1))+LEN(INDEX(#REF!,A323-1))=0),$B$127,""),"")</f>
        <v/>
      </c>
      <c r="D323" s="195" t="str">
        <f>IFERROR(IF(AND(INDEX(#REF!,A323)="",OR(INDEX(#REF!,A323)&gt;0,INDEX(#REF!,A323)&gt;0,INDEX(#REF!,A323)&gt;0)),$B$152,""),"")</f>
        <v/>
      </c>
      <c r="E323" s="195" t="e">
        <f>SUBSTITUTE(IF(INDEX(#REF!,A323)&gt;IFERROR(INDEX(salaries_other_inst[Max hourly rate],MATCH(INDEX(#REF!,A323),salaries_other_inst[category],0),1),""),$B$153,""),"&lt;&lt;max_hourly_rate&gt;&gt;",TEXT(IFERROR(INDEX(salaries_other_inst[Max hourly rate],MATCH(INDEX(#REF!,A323),salaries_other_inst[category],0),1),""),"€ #"))</f>
        <v>#REF!</v>
      </c>
      <c r="F323" s="195" t="str">
        <f>IFERROR(IF(AND(INDEX(#REF!,A323)&lt;&gt;"",INDEX(#REF!,A323)=0),$B$155,""),"")</f>
        <v/>
      </c>
      <c r="G323" s="195" t="str">
        <f>IFERROR(IF(12*INDEX(#REF!,A323)/INDEX(#REF!,A323)&gt;pers_other_nrhours_year,checks!$B$156,""),"")</f>
        <v/>
      </c>
      <c r="H323" t="e">
        <f>IF(AND(organisation_type="yes",INDEX(#REF!,A323,1)&lt;&gt;"",ISBLANK(INDEX(#REF!,A323,1))),$B$146,"")</f>
        <v>#REF!</v>
      </c>
      <c r="I323" t="e">
        <f>IF(AND(organisation_name="yes",INDEX(#REF!,A323,1)&lt;&gt;"",ISBLANK(INDEX(#REF!,A323,1))),$B$147,"")</f>
        <v>#REF!</v>
      </c>
    </row>
    <row r="324" spans="1:9" hidden="1" outlineLevel="1" x14ac:dyDescent="0.35">
      <c r="A324" s="195">
        <v>13</v>
      </c>
      <c r="B324" s="195" t="str">
        <f t="array" ref="B324">IFERROR(INDEX(personnel_other_inst[[#This Row],[Empty lines]:[Name organisation]],1,MATCH(TRUE,LEN(personnel_other_inst[[#This Row],[Empty lines]:[Name organisation]])&gt;0,0)),"")</f>
        <v/>
      </c>
      <c r="C324" s="195" t="str">
        <f>IFERROR(IF(AND(LEN(INDEX(#REF!,A324))+LEN(INDEX(#REF!,A324))+LEN(INDEX(#REF!,A324))+LEN(INDEX(#REF!,A324))&gt;0,LEN(INDEX(#REF!,A324-1))+LEN(INDEX(#REF!,A324-1))+LEN(INDEX(#REF!,A324-1))+LEN(INDEX(#REF!,A324-1))=0),$B$127,""),"")</f>
        <v/>
      </c>
      <c r="D324" s="195" t="str">
        <f>IFERROR(IF(AND(INDEX(#REF!,A324)="",OR(INDEX(#REF!,A324)&gt;0,INDEX(#REF!,A324)&gt;0,INDEX(#REF!,A324)&gt;0)),$B$152,""),"")</f>
        <v/>
      </c>
      <c r="E324" s="195" t="e">
        <f>SUBSTITUTE(IF(INDEX(#REF!,A324)&gt;IFERROR(INDEX(salaries_other_inst[Max hourly rate],MATCH(INDEX(#REF!,A324),salaries_other_inst[category],0),1),""),$B$153,""),"&lt;&lt;max_hourly_rate&gt;&gt;",TEXT(IFERROR(INDEX(salaries_other_inst[Max hourly rate],MATCH(INDEX(#REF!,A324),salaries_other_inst[category],0),1),""),"€ #"))</f>
        <v>#REF!</v>
      </c>
      <c r="F324" s="195" t="str">
        <f>IFERROR(IF(AND(INDEX(#REF!,A324)&lt;&gt;"",INDEX(#REF!,A324)=0),$B$155,""),"")</f>
        <v/>
      </c>
      <c r="G324" s="195" t="str">
        <f>IFERROR(IF(12*INDEX(#REF!,A324)/INDEX(#REF!,A324)&gt;pers_other_nrhours_year,checks!$B$156,""),"")</f>
        <v/>
      </c>
      <c r="H324" t="e">
        <f>IF(AND(organisation_type="yes",INDEX(#REF!,A324,1)&lt;&gt;"",ISBLANK(INDEX(#REF!,A324,1))),$B$146,"")</f>
        <v>#REF!</v>
      </c>
      <c r="I324" t="e">
        <f>IF(AND(organisation_name="yes",INDEX(#REF!,A324,1)&lt;&gt;"",ISBLANK(INDEX(#REF!,A324,1))),$B$147,"")</f>
        <v>#REF!</v>
      </c>
    </row>
    <row r="325" spans="1:9" hidden="1" outlineLevel="1" x14ac:dyDescent="0.35">
      <c r="A325" s="195">
        <v>14</v>
      </c>
      <c r="B325" s="195" t="str">
        <f t="array" ref="B325">IFERROR(INDEX(personnel_other_inst[[#This Row],[Empty lines]:[Name organisation]],1,MATCH(TRUE,LEN(personnel_other_inst[[#This Row],[Empty lines]:[Name organisation]])&gt;0,0)),"")</f>
        <v/>
      </c>
      <c r="C325" s="195" t="str">
        <f>IFERROR(IF(AND(LEN(INDEX(#REF!,A325))+LEN(INDEX(#REF!,A325))+LEN(INDEX(#REF!,A325))+LEN(INDEX(#REF!,A325))&gt;0,LEN(INDEX(#REF!,A325-1))+LEN(INDEX(#REF!,A325-1))+LEN(INDEX(#REF!,A325-1))+LEN(INDEX(#REF!,A325-1))=0),$B$127,""),"")</f>
        <v/>
      </c>
      <c r="D325" s="195" t="str">
        <f>IFERROR(IF(AND(INDEX(#REF!,A325)="",OR(INDEX(#REF!,A325)&gt;0,INDEX(#REF!,A325)&gt;0,INDEX(#REF!,A325)&gt;0)),$B$152,""),"")</f>
        <v/>
      </c>
      <c r="E325" s="195" t="e">
        <f>SUBSTITUTE(IF(INDEX(#REF!,A325)&gt;IFERROR(INDEX(salaries_other_inst[Max hourly rate],MATCH(INDEX(#REF!,A325),salaries_other_inst[category],0),1),""),$B$153,""),"&lt;&lt;max_hourly_rate&gt;&gt;",TEXT(IFERROR(INDEX(salaries_other_inst[Max hourly rate],MATCH(INDEX(#REF!,A325),salaries_other_inst[category],0),1),""),"€ #"))</f>
        <v>#REF!</v>
      </c>
      <c r="F325" s="195" t="str">
        <f>IFERROR(IF(AND(INDEX(#REF!,A325)&lt;&gt;"",INDEX(#REF!,A325)=0),$B$155,""),"")</f>
        <v/>
      </c>
      <c r="G325" s="195" t="str">
        <f>IFERROR(IF(12*INDEX(#REF!,A325)/INDEX(#REF!,A325)&gt;pers_other_nrhours_year,checks!$B$156,""),"")</f>
        <v/>
      </c>
      <c r="H325" t="e">
        <f>IF(AND(organisation_type="yes",INDEX(#REF!,A325,1)&lt;&gt;"",ISBLANK(INDEX(#REF!,A325,1))),$B$146,"")</f>
        <v>#REF!</v>
      </c>
      <c r="I325" t="e">
        <f>IF(AND(organisation_name="yes",INDEX(#REF!,A325,1)&lt;&gt;"",ISBLANK(INDEX(#REF!,A325,1))),$B$147,"")</f>
        <v>#REF!</v>
      </c>
    </row>
    <row r="326" spans="1:9" hidden="1" outlineLevel="1" x14ac:dyDescent="0.35">
      <c r="A326" s="195">
        <v>15</v>
      </c>
      <c r="B326" s="195" t="str">
        <f t="array" ref="B326">IFERROR(INDEX(personnel_other_inst[[#This Row],[Empty lines]:[Name organisation]],1,MATCH(TRUE,LEN(personnel_other_inst[[#This Row],[Empty lines]:[Name organisation]])&gt;0,0)),"")</f>
        <v/>
      </c>
      <c r="C326" s="195" t="str">
        <f>IFERROR(IF(AND(LEN(INDEX(#REF!,A326))+LEN(INDEX(#REF!,A326))+LEN(INDEX(#REF!,A326))+LEN(INDEX(#REF!,A326))&gt;0,LEN(INDEX(#REF!,A326-1))+LEN(INDEX(#REF!,A326-1))+LEN(INDEX(#REF!,A326-1))+LEN(INDEX(#REF!,A326-1))=0),$B$127,""),"")</f>
        <v/>
      </c>
      <c r="D326" s="195" t="str">
        <f>IFERROR(IF(AND(INDEX(#REF!,A326)="",OR(INDEX(#REF!,A326)&gt;0,INDEX(#REF!,A326)&gt;0,INDEX(#REF!,A326)&gt;0)),$B$152,""),"")</f>
        <v/>
      </c>
      <c r="E326" s="195" t="e">
        <f>SUBSTITUTE(IF(INDEX(#REF!,A326)&gt;IFERROR(INDEX(salaries_other_inst[Max hourly rate],MATCH(INDEX(#REF!,A326),salaries_other_inst[category],0),1),""),$B$153,""),"&lt;&lt;max_hourly_rate&gt;&gt;",TEXT(IFERROR(INDEX(salaries_other_inst[Max hourly rate],MATCH(INDEX(#REF!,A326),salaries_other_inst[category],0),1),""),"€ #"))</f>
        <v>#REF!</v>
      </c>
      <c r="F326" s="195" t="str">
        <f>IFERROR(IF(AND(INDEX(#REF!,A326)&lt;&gt;"",INDEX(#REF!,A326)=0),$B$155,""),"")</f>
        <v/>
      </c>
      <c r="G326" s="195" t="str">
        <f>IFERROR(IF(12*INDEX(#REF!,A326)/INDEX(#REF!,A326)&gt;pers_other_nrhours_year,checks!$B$156,""),"")</f>
        <v/>
      </c>
      <c r="H326" t="e">
        <f>IF(AND(organisation_type="yes",INDEX(#REF!,A326,1)&lt;&gt;"",ISBLANK(INDEX(#REF!,A326,1))),$B$146,"")</f>
        <v>#REF!</v>
      </c>
      <c r="I326" t="e">
        <f>IF(AND(organisation_name="yes",INDEX(#REF!,A326,1)&lt;&gt;"",ISBLANK(INDEX(#REF!,A326,1))),$B$147,"")</f>
        <v>#REF!</v>
      </c>
    </row>
    <row r="327" spans="1:9" hidden="1" outlineLevel="1" x14ac:dyDescent="0.35">
      <c r="A327" s="195">
        <v>16</v>
      </c>
      <c r="B327" s="195" t="str">
        <f t="array" ref="B327">IFERROR(INDEX(personnel_other_inst[[#This Row],[Empty lines]:[Name organisation]],1,MATCH(TRUE,LEN(personnel_other_inst[[#This Row],[Empty lines]:[Name organisation]])&gt;0,0)),"")</f>
        <v/>
      </c>
      <c r="C327" s="195" t="str">
        <f>IFERROR(IF(AND(LEN(INDEX(#REF!,A327))+LEN(INDEX(#REF!,A327))+LEN(INDEX(#REF!,A327))+LEN(INDEX(#REF!,A327))&gt;0,LEN(INDEX(#REF!,A327-1))+LEN(INDEX(#REF!,A327-1))+LEN(INDEX(#REF!,A327-1))+LEN(INDEX(#REF!,A327-1))=0),$B$127,""),"")</f>
        <v/>
      </c>
      <c r="D327" s="195" t="str">
        <f>IFERROR(IF(AND(INDEX(#REF!,A327)="",OR(INDEX(#REF!,A327)&gt;0,INDEX(#REF!,A327)&gt;0,INDEX(#REF!,A327)&gt;0)),$B$152,""),"")</f>
        <v/>
      </c>
      <c r="E327" s="195" t="e">
        <f>SUBSTITUTE(IF(INDEX(#REF!,A327)&gt;IFERROR(INDEX(salaries_other_inst[Max hourly rate],MATCH(INDEX(#REF!,A327),salaries_other_inst[category],0),1),""),$B$153,""),"&lt;&lt;max_hourly_rate&gt;&gt;",TEXT(IFERROR(INDEX(salaries_other_inst[Max hourly rate],MATCH(INDEX(#REF!,A327),salaries_other_inst[category],0),1),""),"€ #"))</f>
        <v>#REF!</v>
      </c>
      <c r="F327" s="195" t="str">
        <f>IFERROR(IF(AND(INDEX(#REF!,A327)&lt;&gt;"",INDEX(#REF!,A327)=0),$B$155,""),"")</f>
        <v/>
      </c>
      <c r="G327" s="195" t="str">
        <f>IFERROR(IF(12*INDEX(#REF!,A327)/INDEX(#REF!,A327)&gt;pers_other_nrhours_year,checks!$B$156,""),"")</f>
        <v/>
      </c>
      <c r="H327" t="e">
        <f>IF(AND(organisation_type="yes",INDEX(#REF!,A327,1)&lt;&gt;"",ISBLANK(INDEX(#REF!,A327,1))),$B$146,"")</f>
        <v>#REF!</v>
      </c>
      <c r="I327" t="e">
        <f>IF(AND(organisation_name="yes",INDEX(#REF!,A327,1)&lt;&gt;"",ISBLANK(INDEX(#REF!,A327,1))),$B$147,"")</f>
        <v>#REF!</v>
      </c>
    </row>
    <row r="328" spans="1:9" hidden="1" outlineLevel="1" x14ac:dyDescent="0.35">
      <c r="A328" s="195">
        <v>17</v>
      </c>
      <c r="B328" s="195" t="str">
        <f t="array" ref="B328">IFERROR(INDEX(personnel_other_inst[[#This Row],[Empty lines]:[Name organisation]],1,MATCH(TRUE,LEN(personnel_other_inst[[#This Row],[Empty lines]:[Name organisation]])&gt;0,0)),"")</f>
        <v/>
      </c>
      <c r="C328" s="195" t="str">
        <f>IFERROR(IF(AND(LEN(INDEX(#REF!,A328))+LEN(INDEX(#REF!,A328))+LEN(INDEX(#REF!,A328))+LEN(INDEX(#REF!,A328))&gt;0,LEN(INDEX(#REF!,A328-1))+LEN(INDEX(#REF!,A328-1))+LEN(INDEX(#REF!,A328-1))+LEN(INDEX(#REF!,A328-1))=0),$B$127,""),"")</f>
        <v/>
      </c>
      <c r="D328" s="195" t="str">
        <f>IFERROR(IF(AND(INDEX(#REF!,A328)="",OR(INDEX(#REF!,A328)&gt;0,INDEX(#REF!,A328)&gt;0,INDEX(#REF!,A328)&gt;0)),$B$152,""),"")</f>
        <v/>
      </c>
      <c r="E328" s="195" t="e">
        <f>SUBSTITUTE(IF(INDEX(#REF!,A328)&gt;IFERROR(INDEX(salaries_other_inst[Max hourly rate],MATCH(INDEX(#REF!,A328),salaries_other_inst[category],0),1),""),$B$153,""),"&lt;&lt;max_hourly_rate&gt;&gt;",TEXT(IFERROR(INDEX(salaries_other_inst[Max hourly rate],MATCH(INDEX(#REF!,A328),salaries_other_inst[category],0),1),""),"€ #"))</f>
        <v>#REF!</v>
      </c>
      <c r="F328" s="195" t="str">
        <f>IFERROR(IF(AND(INDEX(#REF!,A328)&lt;&gt;"",INDEX(#REF!,A328)=0),$B$155,""),"")</f>
        <v/>
      </c>
      <c r="G328" s="195" t="str">
        <f>IFERROR(IF(12*INDEX(#REF!,A328)/INDEX(#REF!,A328)&gt;pers_other_nrhours_year,checks!$B$156,""),"")</f>
        <v/>
      </c>
      <c r="H328" t="e">
        <f>IF(AND(organisation_type="yes",INDEX(#REF!,A328,1)&lt;&gt;"",ISBLANK(INDEX(#REF!,A328,1))),$B$146,"")</f>
        <v>#REF!</v>
      </c>
      <c r="I328" t="e">
        <f>IF(AND(organisation_name="yes",INDEX(#REF!,A328,1)&lt;&gt;"",ISBLANK(INDEX(#REF!,A328,1))),$B$147,"")</f>
        <v>#REF!</v>
      </c>
    </row>
    <row r="329" spans="1:9" hidden="1" outlineLevel="1" x14ac:dyDescent="0.35">
      <c r="A329" s="195">
        <v>18</v>
      </c>
      <c r="B329" s="195" t="str">
        <f t="array" ref="B329">IFERROR(INDEX(personnel_other_inst[[#This Row],[Empty lines]:[Name organisation]],1,MATCH(TRUE,LEN(personnel_other_inst[[#This Row],[Empty lines]:[Name organisation]])&gt;0,0)),"")</f>
        <v/>
      </c>
      <c r="C329" s="195" t="str">
        <f>IFERROR(IF(AND(LEN(INDEX(#REF!,A329))+LEN(INDEX(#REF!,A329))+LEN(INDEX(#REF!,A329))+LEN(INDEX(#REF!,A329))&gt;0,LEN(INDEX(#REF!,A329-1))+LEN(INDEX(#REF!,A329-1))+LEN(INDEX(#REF!,A329-1))+LEN(INDEX(#REF!,A329-1))=0),$B$127,""),"")</f>
        <v/>
      </c>
      <c r="D329" s="195" t="str">
        <f>IFERROR(IF(AND(INDEX(#REF!,A329)="",OR(INDEX(#REF!,A329)&gt;0,INDEX(#REF!,A329)&gt;0,INDEX(#REF!,A329)&gt;0)),$B$152,""),"")</f>
        <v/>
      </c>
      <c r="E329" s="195" t="e">
        <f>SUBSTITUTE(IF(INDEX(#REF!,A329)&gt;IFERROR(INDEX(salaries_other_inst[Max hourly rate],MATCH(INDEX(#REF!,A329),salaries_other_inst[category],0),1),""),$B$153,""),"&lt;&lt;max_hourly_rate&gt;&gt;",TEXT(IFERROR(INDEX(salaries_other_inst[Max hourly rate],MATCH(INDEX(#REF!,A329),salaries_other_inst[category],0),1),""),"€ #"))</f>
        <v>#REF!</v>
      </c>
      <c r="F329" s="195" t="str">
        <f>IFERROR(IF(AND(INDEX(#REF!,A329)&lt;&gt;"",INDEX(#REF!,A329)=0),$B$155,""),"")</f>
        <v/>
      </c>
      <c r="G329" s="195" t="str">
        <f>IFERROR(IF(12*INDEX(#REF!,A329)/INDEX(#REF!,A329)&gt;pers_other_nrhours_year,checks!$B$156,""),"")</f>
        <v/>
      </c>
      <c r="H329" t="e">
        <f>IF(AND(organisation_type="yes",INDEX(#REF!,A329,1)&lt;&gt;"",ISBLANK(INDEX(#REF!,A329,1))),$B$146,"")</f>
        <v>#REF!</v>
      </c>
      <c r="I329" t="e">
        <f>IF(AND(organisation_name="yes",INDEX(#REF!,A329,1)&lt;&gt;"",ISBLANK(INDEX(#REF!,A329,1))),$B$147,"")</f>
        <v>#REF!</v>
      </c>
    </row>
    <row r="330" spans="1:9" hidden="1" outlineLevel="1" x14ac:dyDescent="0.35">
      <c r="A330" s="195">
        <v>19</v>
      </c>
      <c r="B330" s="195" t="str">
        <f t="array" ref="B330">IFERROR(INDEX(personnel_other_inst[[#This Row],[Empty lines]:[Name organisation]],1,MATCH(TRUE,LEN(personnel_other_inst[[#This Row],[Empty lines]:[Name organisation]])&gt;0,0)),"")</f>
        <v/>
      </c>
      <c r="C330" s="195" t="str">
        <f>IFERROR(IF(AND(LEN(INDEX(#REF!,A330))+LEN(INDEX(#REF!,A330))+LEN(INDEX(#REF!,A330))+LEN(INDEX(#REF!,A330))&gt;0,LEN(INDEX(#REF!,A330-1))+LEN(INDEX(#REF!,A330-1))+LEN(INDEX(#REF!,A330-1))+LEN(INDEX(#REF!,A330-1))=0),$B$127,""),"")</f>
        <v/>
      </c>
      <c r="D330" s="195" t="str">
        <f>IFERROR(IF(AND(INDEX(#REF!,A330)="",OR(INDEX(#REF!,A330)&gt;0,INDEX(#REF!,A330)&gt;0,INDEX(#REF!,A330)&gt;0)),$B$152,""),"")</f>
        <v/>
      </c>
      <c r="E330" s="195" t="e">
        <f>SUBSTITUTE(IF(INDEX(#REF!,A330)&gt;IFERROR(INDEX(salaries_other_inst[Max hourly rate],MATCH(INDEX(#REF!,A330),salaries_other_inst[category],0),1),""),$B$153,""),"&lt;&lt;max_hourly_rate&gt;&gt;",TEXT(IFERROR(INDEX(salaries_other_inst[Max hourly rate],MATCH(INDEX(#REF!,A330),salaries_other_inst[category],0),1),""),"€ #"))</f>
        <v>#REF!</v>
      </c>
      <c r="F330" s="195" t="str">
        <f>IFERROR(IF(AND(INDEX(#REF!,A330)&lt;&gt;"",INDEX(#REF!,A330)=0),$B$155,""),"")</f>
        <v/>
      </c>
      <c r="G330" s="195" t="str">
        <f>IFERROR(IF(12*INDEX(#REF!,A330)/INDEX(#REF!,A330)&gt;pers_other_nrhours_year,checks!$B$156,""),"")</f>
        <v/>
      </c>
      <c r="H330" t="e">
        <f>IF(AND(organisation_type="yes",INDEX(#REF!,A330,1)&lt;&gt;"",ISBLANK(INDEX(#REF!,A330,1))),$B$146,"")</f>
        <v>#REF!</v>
      </c>
      <c r="I330" t="e">
        <f>IF(AND(organisation_name="yes",INDEX(#REF!,A330,1)&lt;&gt;"",ISBLANK(INDEX(#REF!,A330,1))),$B$147,"")</f>
        <v>#REF!</v>
      </c>
    </row>
    <row r="331" spans="1:9" hidden="1" outlineLevel="1" x14ac:dyDescent="0.35">
      <c r="A331" s="195">
        <v>20</v>
      </c>
      <c r="B331" s="195" t="str">
        <f t="array" ref="B331">IFERROR(INDEX(personnel_other_inst[[#This Row],[Empty lines]:[Name organisation]],1,MATCH(TRUE,LEN(personnel_other_inst[[#This Row],[Empty lines]:[Name organisation]])&gt;0,0)),"")</f>
        <v/>
      </c>
      <c r="C331" s="195" t="str">
        <f>IFERROR(IF(AND(LEN(INDEX(#REF!,A331))+LEN(INDEX(#REF!,A331))+LEN(INDEX(#REF!,A331))+LEN(INDEX(#REF!,A331))&gt;0,LEN(INDEX(#REF!,A331-1))+LEN(INDEX(#REF!,A331-1))+LEN(INDEX(#REF!,A331-1))+LEN(INDEX(#REF!,A331-1))=0),$B$127,""),"")</f>
        <v/>
      </c>
      <c r="D331" s="195" t="str">
        <f>IFERROR(IF(AND(INDEX(#REF!,A331)="",OR(INDEX(#REF!,A331)&gt;0,INDEX(#REF!,A331)&gt;0,INDEX(#REF!,A331)&gt;0)),$B$152,""),"")</f>
        <v/>
      </c>
      <c r="E331" s="195" t="e">
        <f>SUBSTITUTE(IF(INDEX(#REF!,A331)&gt;IFERROR(INDEX(salaries_other_inst[Max hourly rate],MATCH(INDEX(#REF!,A331),salaries_other_inst[category],0),1),""),$B$153,""),"&lt;&lt;max_hourly_rate&gt;&gt;",TEXT(IFERROR(INDEX(salaries_other_inst[Max hourly rate],MATCH(INDEX(#REF!,A331),salaries_other_inst[category],0),1),""),"€ #"))</f>
        <v>#REF!</v>
      </c>
      <c r="F331" s="195" t="str">
        <f>IFERROR(IF(AND(INDEX(#REF!,A331)&lt;&gt;"",INDEX(#REF!,A331)=0),$B$155,""),"")</f>
        <v/>
      </c>
      <c r="G331" s="195" t="str">
        <f>IFERROR(IF(12*INDEX(#REF!,A331)/INDEX(#REF!,A331)&gt;pers_other_nrhours_year,checks!$B$156,""),"")</f>
        <v/>
      </c>
      <c r="H331" t="e">
        <f>IF(AND(organisation_type="yes",INDEX(#REF!,A331,1)&lt;&gt;"",ISBLANK(INDEX(#REF!,A331,1))),$B$146,"")</f>
        <v>#REF!</v>
      </c>
      <c r="I331" t="e">
        <f>IF(AND(organisation_name="yes",INDEX(#REF!,A331,1)&lt;&gt;"",ISBLANK(INDEX(#REF!,A331,1))),$B$147,"")</f>
        <v>#REF!</v>
      </c>
    </row>
    <row r="332" spans="1:9" hidden="1" outlineLevel="1" x14ac:dyDescent="0.35">
      <c r="A332" s="195">
        <v>21</v>
      </c>
      <c r="B332" s="195" t="str">
        <f t="array" ref="B332">IFERROR(INDEX(personnel_other_inst[[#This Row],[Empty lines]:[Name organisation]],1,MATCH(TRUE,LEN(personnel_other_inst[[#This Row],[Empty lines]:[Name organisation]])&gt;0,0)),"")</f>
        <v/>
      </c>
      <c r="C332" s="195" t="str">
        <f>IFERROR(IF(AND(LEN(INDEX(#REF!,A332))+LEN(INDEX(#REF!,A332))+LEN(INDEX(#REF!,A332))+LEN(INDEX(#REF!,A332))&gt;0,LEN(INDEX(#REF!,A332-1))+LEN(INDEX(#REF!,A332-1))+LEN(INDEX(#REF!,A332-1))+LEN(INDEX(#REF!,A332-1))=0),$B$127,""),"")</f>
        <v/>
      </c>
      <c r="D332" s="195" t="str">
        <f>IFERROR(IF(AND(INDEX(#REF!,A332)="",OR(INDEX(#REF!,A332)&gt;0,INDEX(#REF!,A332)&gt;0,INDEX(#REF!,A332)&gt;0)),$B$152,""),"")</f>
        <v/>
      </c>
      <c r="E332" s="195" t="e">
        <f>SUBSTITUTE(IF(INDEX(#REF!,A332)&gt;IFERROR(INDEX(salaries_other_inst[Max hourly rate],MATCH(INDEX(#REF!,A332),salaries_other_inst[category],0),1),""),$B$153,""),"&lt;&lt;max_hourly_rate&gt;&gt;",TEXT(IFERROR(INDEX(salaries_other_inst[Max hourly rate],MATCH(INDEX(#REF!,A332),salaries_other_inst[category],0),1),""),"€ #"))</f>
        <v>#REF!</v>
      </c>
      <c r="F332" s="195" t="str">
        <f>IFERROR(IF(AND(INDEX(#REF!,A332)&lt;&gt;"",INDEX(#REF!,A332)=0),$B$155,""),"")</f>
        <v/>
      </c>
      <c r="G332" s="195" t="str">
        <f>IFERROR(IF(12*INDEX(#REF!,A332)/INDEX(#REF!,A332)&gt;pers_other_nrhours_year,checks!$B$156,""),"")</f>
        <v/>
      </c>
      <c r="H332" t="e">
        <f>IF(AND(organisation_type="yes",INDEX(#REF!,A332,1)&lt;&gt;"",ISBLANK(INDEX(#REF!,A332,1))),$B$146,"")</f>
        <v>#REF!</v>
      </c>
      <c r="I332" t="e">
        <f>IF(AND(organisation_name="yes",INDEX(#REF!,A332,1)&lt;&gt;"",ISBLANK(INDEX(#REF!,A332,1))),$B$147,"")</f>
        <v>#REF!</v>
      </c>
    </row>
    <row r="333" spans="1:9" hidden="1" outlineLevel="1" x14ac:dyDescent="0.35">
      <c r="A333" s="195">
        <v>22</v>
      </c>
      <c r="B333" s="195" t="str">
        <f t="array" ref="B333">IFERROR(INDEX(personnel_other_inst[[#This Row],[Empty lines]:[Name organisation]],1,MATCH(TRUE,LEN(personnel_other_inst[[#This Row],[Empty lines]:[Name organisation]])&gt;0,0)),"")</f>
        <v/>
      </c>
      <c r="C333" s="195" t="str">
        <f>IFERROR(IF(AND(LEN(INDEX(#REF!,A333))+LEN(INDEX(#REF!,A333))+LEN(INDEX(#REF!,A333))+LEN(INDEX(#REF!,A333))&gt;0,LEN(INDEX(#REF!,A333-1))+LEN(INDEX(#REF!,A333-1))+LEN(INDEX(#REF!,A333-1))+LEN(INDEX(#REF!,A333-1))=0),$B$127,""),"")</f>
        <v/>
      </c>
      <c r="D333" s="195" t="str">
        <f>IFERROR(IF(AND(INDEX(#REF!,A333)="",OR(INDEX(#REF!,A333)&gt;0,INDEX(#REF!,A333)&gt;0,INDEX(#REF!,A333)&gt;0)),$B$152,""),"")</f>
        <v/>
      </c>
      <c r="E333" s="195" t="e">
        <f>SUBSTITUTE(IF(INDEX(#REF!,A333)&gt;IFERROR(INDEX(salaries_other_inst[Max hourly rate],MATCH(INDEX(#REF!,A333),salaries_other_inst[category],0),1),""),$B$153,""),"&lt;&lt;max_hourly_rate&gt;&gt;",TEXT(IFERROR(INDEX(salaries_other_inst[Max hourly rate],MATCH(INDEX(#REF!,A333),salaries_other_inst[category],0),1),""),"€ #"))</f>
        <v>#REF!</v>
      </c>
      <c r="F333" s="195" t="str">
        <f>IFERROR(IF(AND(INDEX(#REF!,A333)&lt;&gt;"",INDEX(#REF!,A333)=0),$B$155,""),"")</f>
        <v/>
      </c>
      <c r="G333" s="195" t="str">
        <f>IFERROR(IF(12*INDEX(#REF!,A333)/INDEX(#REF!,A333)&gt;pers_other_nrhours_year,checks!$B$156,""),"")</f>
        <v/>
      </c>
      <c r="H333" t="e">
        <f>IF(AND(organisation_type="yes",INDEX(#REF!,A333,1)&lt;&gt;"",ISBLANK(INDEX(#REF!,A333,1))),$B$146,"")</f>
        <v>#REF!</v>
      </c>
      <c r="I333" t="e">
        <f>IF(AND(organisation_name="yes",INDEX(#REF!,A333,1)&lt;&gt;"",ISBLANK(INDEX(#REF!,A333,1))),$B$147,"")</f>
        <v>#REF!</v>
      </c>
    </row>
    <row r="334" spans="1:9" hidden="1" outlineLevel="1" x14ac:dyDescent="0.35">
      <c r="A334" s="195">
        <v>23</v>
      </c>
      <c r="B334" s="195" t="str">
        <f t="array" ref="B334">IFERROR(INDEX(personnel_other_inst[[#This Row],[Empty lines]:[Name organisation]],1,MATCH(TRUE,LEN(personnel_other_inst[[#This Row],[Empty lines]:[Name organisation]])&gt;0,0)),"")</f>
        <v/>
      </c>
      <c r="C334" s="195" t="str">
        <f>IFERROR(IF(AND(LEN(INDEX(#REF!,A334))+LEN(INDEX(#REF!,A334))+LEN(INDEX(#REF!,A334))+LEN(INDEX(#REF!,A334))&gt;0,LEN(INDEX(#REF!,A334-1))+LEN(INDEX(#REF!,A334-1))+LEN(INDEX(#REF!,A334-1))+LEN(INDEX(#REF!,A334-1))=0),$B$127,""),"")</f>
        <v/>
      </c>
      <c r="D334" s="195" t="str">
        <f>IFERROR(IF(AND(INDEX(#REF!,A334)="",OR(INDEX(#REF!,A334)&gt;0,INDEX(#REF!,A334)&gt;0,INDEX(#REF!,A334)&gt;0)),$B$152,""),"")</f>
        <v/>
      </c>
      <c r="E334" s="195" t="e">
        <f>SUBSTITUTE(IF(INDEX(#REF!,A334)&gt;IFERROR(INDEX(salaries_other_inst[Max hourly rate],MATCH(INDEX(#REF!,A334),salaries_other_inst[category],0),1),""),$B$153,""),"&lt;&lt;max_hourly_rate&gt;&gt;",TEXT(IFERROR(INDEX(salaries_other_inst[Max hourly rate],MATCH(INDEX(#REF!,A334),salaries_other_inst[category],0),1),""),"€ #"))</f>
        <v>#REF!</v>
      </c>
      <c r="F334" s="195" t="str">
        <f>IFERROR(IF(AND(INDEX(#REF!,A334)&lt;&gt;"",INDEX(#REF!,A334)=0),$B$155,""),"")</f>
        <v/>
      </c>
      <c r="G334" s="195" t="str">
        <f>IFERROR(IF(12*INDEX(#REF!,A334)/INDEX(#REF!,A334)&gt;pers_other_nrhours_year,checks!$B$156,""),"")</f>
        <v/>
      </c>
      <c r="H334" t="e">
        <f>IF(AND(organisation_type="yes",INDEX(#REF!,A334,1)&lt;&gt;"",ISBLANK(INDEX(#REF!,A334,1))),$B$146,"")</f>
        <v>#REF!</v>
      </c>
      <c r="I334" t="e">
        <f>IF(AND(organisation_name="yes",INDEX(#REF!,A334,1)&lt;&gt;"",ISBLANK(INDEX(#REF!,A334,1))),$B$147,"")</f>
        <v>#REF!</v>
      </c>
    </row>
    <row r="335" spans="1:9" hidden="1" outlineLevel="1" x14ac:dyDescent="0.35">
      <c r="A335" s="195">
        <v>24</v>
      </c>
      <c r="B335" s="195" t="str">
        <f t="array" ref="B335">IFERROR(INDEX(personnel_other_inst[[#This Row],[Empty lines]:[Name organisation]],1,MATCH(TRUE,LEN(personnel_other_inst[[#This Row],[Empty lines]:[Name organisation]])&gt;0,0)),"")</f>
        <v/>
      </c>
      <c r="C335" s="195" t="str">
        <f>IFERROR(IF(AND(LEN(INDEX(#REF!,A335))+LEN(INDEX(#REF!,A335))+LEN(INDEX(#REF!,A335))+LEN(INDEX(#REF!,A335))&gt;0,LEN(INDEX(#REF!,A335-1))+LEN(INDEX(#REF!,A335-1))+LEN(INDEX(#REF!,A335-1))+LEN(INDEX(#REF!,A335-1))=0),$B$127,""),"")</f>
        <v/>
      </c>
      <c r="D335" s="195" t="str">
        <f>IFERROR(IF(AND(INDEX(#REF!,A335)="",OR(INDEX(#REF!,A335)&gt;0,INDEX(#REF!,A335)&gt;0,INDEX(#REF!,A335)&gt;0)),$B$152,""),"")</f>
        <v/>
      </c>
      <c r="E335" s="195" t="e">
        <f>SUBSTITUTE(IF(INDEX(#REF!,A335)&gt;IFERROR(INDEX(salaries_other_inst[Max hourly rate],MATCH(INDEX(#REF!,A335),salaries_other_inst[category],0),1),""),$B$153,""),"&lt;&lt;max_hourly_rate&gt;&gt;",TEXT(IFERROR(INDEX(salaries_other_inst[Max hourly rate],MATCH(INDEX(#REF!,A335),salaries_other_inst[category],0),1),""),"€ #"))</f>
        <v>#REF!</v>
      </c>
      <c r="F335" s="195" t="str">
        <f>IFERROR(IF(AND(INDEX(#REF!,A335)&lt;&gt;"",INDEX(#REF!,A335)=0),$B$155,""),"")</f>
        <v/>
      </c>
      <c r="G335" s="195" t="str">
        <f>IFERROR(IF(12*INDEX(#REF!,A335)/INDEX(#REF!,A335)&gt;pers_other_nrhours_year,checks!$B$156,""),"")</f>
        <v/>
      </c>
      <c r="H335" t="e">
        <f>IF(AND(organisation_type="yes",INDEX(#REF!,A335,1)&lt;&gt;"",ISBLANK(INDEX(#REF!,A335,1))),$B$146,"")</f>
        <v>#REF!</v>
      </c>
      <c r="I335" t="e">
        <f>IF(AND(organisation_name="yes",INDEX(#REF!,A335,1)&lt;&gt;"",ISBLANK(INDEX(#REF!,A335,1))),$B$147,"")</f>
        <v>#REF!</v>
      </c>
    </row>
    <row r="336" spans="1:9" hidden="1" outlineLevel="1" x14ac:dyDescent="0.35">
      <c r="A336" s="195">
        <v>25</v>
      </c>
      <c r="B336" s="195" t="str">
        <f t="array" ref="B336">IFERROR(INDEX(personnel_other_inst[[#This Row],[Empty lines]:[Name organisation]],1,MATCH(TRUE,LEN(personnel_other_inst[[#This Row],[Empty lines]:[Name organisation]])&gt;0,0)),"")</f>
        <v/>
      </c>
      <c r="C336" s="195" t="str">
        <f>IFERROR(IF(AND(LEN(INDEX(#REF!,A336))+LEN(INDEX(#REF!,A336))+LEN(INDEX(#REF!,A336))+LEN(INDEX(#REF!,A336))&gt;0,LEN(INDEX(#REF!,A336-1))+LEN(INDEX(#REF!,A336-1))+LEN(INDEX(#REF!,A336-1))+LEN(INDEX(#REF!,A336-1))=0),$B$127,""),"")</f>
        <v/>
      </c>
      <c r="D336" s="195" t="str">
        <f>IFERROR(IF(AND(INDEX(#REF!,A336)="",OR(INDEX(#REF!,A336)&gt;0,INDEX(#REF!,A336)&gt;0,INDEX(#REF!,A336)&gt;0)),$B$152,""),"")</f>
        <v/>
      </c>
      <c r="E336" s="195" t="e">
        <f>SUBSTITUTE(IF(INDEX(#REF!,A336)&gt;IFERROR(INDEX(salaries_other_inst[Max hourly rate],MATCH(INDEX(#REF!,A336),salaries_other_inst[category],0),1),""),$B$153,""),"&lt;&lt;max_hourly_rate&gt;&gt;",TEXT(IFERROR(INDEX(salaries_other_inst[Max hourly rate],MATCH(INDEX(#REF!,A336),salaries_other_inst[category],0),1),""),"€ #"))</f>
        <v>#REF!</v>
      </c>
      <c r="F336" s="195" t="str">
        <f>IFERROR(IF(AND(INDEX(#REF!,A336)&lt;&gt;"",INDEX(#REF!,A336)=0),$B$155,""),"")</f>
        <v/>
      </c>
      <c r="G336" s="195" t="str">
        <f>IFERROR(IF(12*INDEX(#REF!,A336)/INDEX(#REF!,A336)&gt;pers_other_nrhours_year,checks!$B$156,""),"")</f>
        <v/>
      </c>
      <c r="H336" t="e">
        <f>IF(AND(organisation_type="yes",INDEX(#REF!,A336,1)&lt;&gt;"",ISBLANK(INDEX(#REF!,A336,1))),$B$146,"")</f>
        <v>#REF!</v>
      </c>
      <c r="I336" t="e">
        <f>IF(AND(organisation_name="yes",INDEX(#REF!,A336,1)&lt;&gt;"",ISBLANK(INDEX(#REF!,A336,1))),$B$147,"")</f>
        <v>#REF!</v>
      </c>
    </row>
    <row r="337" spans="1:9" hidden="1" outlineLevel="1" x14ac:dyDescent="0.35">
      <c r="A337" s="195">
        <v>26</v>
      </c>
      <c r="B337" s="195" t="str">
        <f t="array" ref="B337">IFERROR(INDEX(personnel_other_inst[[#This Row],[Empty lines]:[Name organisation]],1,MATCH(TRUE,LEN(personnel_other_inst[[#This Row],[Empty lines]:[Name organisation]])&gt;0,0)),"")</f>
        <v/>
      </c>
      <c r="C337" s="195" t="str">
        <f>IFERROR(IF(AND(LEN(INDEX(#REF!,A337))+LEN(INDEX(#REF!,A337))+LEN(INDEX(#REF!,A337))+LEN(INDEX(#REF!,A337))&gt;0,LEN(INDEX(#REF!,A337-1))+LEN(INDEX(#REF!,A337-1))+LEN(INDEX(#REF!,A337-1))+LEN(INDEX(#REF!,A337-1))=0),$B$127,""),"")</f>
        <v/>
      </c>
      <c r="D337" s="195" t="str">
        <f>IFERROR(IF(AND(INDEX(#REF!,A337)="",OR(INDEX(#REF!,A337)&gt;0,INDEX(#REF!,A337)&gt;0,INDEX(#REF!,A337)&gt;0)),$B$152,""),"")</f>
        <v/>
      </c>
      <c r="E337" s="195" t="e">
        <f>SUBSTITUTE(IF(INDEX(#REF!,A337)&gt;IFERROR(INDEX(salaries_other_inst[Max hourly rate],MATCH(INDEX(#REF!,A337),salaries_other_inst[category],0),1),""),$B$153,""),"&lt;&lt;max_hourly_rate&gt;&gt;",TEXT(IFERROR(INDEX(salaries_other_inst[Max hourly rate],MATCH(INDEX(#REF!,A337),salaries_other_inst[category],0),1),""),"€ #"))</f>
        <v>#REF!</v>
      </c>
      <c r="F337" s="195" t="str">
        <f>IFERROR(IF(AND(INDEX(#REF!,A337)&lt;&gt;"",INDEX(#REF!,A337)=0),$B$155,""),"")</f>
        <v/>
      </c>
      <c r="G337" s="195" t="str">
        <f>IFERROR(IF(12*INDEX(#REF!,A337)/INDEX(#REF!,A337)&gt;pers_other_nrhours_year,checks!$B$156,""),"")</f>
        <v/>
      </c>
      <c r="H337" t="e">
        <f>IF(AND(organisation_type="yes",INDEX(#REF!,A337,1)&lt;&gt;"",ISBLANK(INDEX(#REF!,A337,1))),$B$146,"")</f>
        <v>#REF!</v>
      </c>
      <c r="I337" t="e">
        <f>IF(AND(organisation_name="yes",INDEX(#REF!,A337,1)&lt;&gt;"",ISBLANK(INDEX(#REF!,A337,1))),$B$147,"")</f>
        <v>#REF!</v>
      </c>
    </row>
    <row r="338" spans="1:9" hidden="1" outlineLevel="1" x14ac:dyDescent="0.35">
      <c r="A338" s="195">
        <v>27</v>
      </c>
      <c r="B338" s="195" t="str">
        <f t="array" ref="B338">IFERROR(INDEX(personnel_other_inst[[#This Row],[Empty lines]:[Name organisation]],1,MATCH(TRUE,LEN(personnel_other_inst[[#This Row],[Empty lines]:[Name organisation]])&gt;0,0)),"")</f>
        <v/>
      </c>
      <c r="C338" s="195" t="str">
        <f>IFERROR(IF(AND(LEN(INDEX(#REF!,A338))+LEN(INDEX(#REF!,A338))+LEN(INDEX(#REF!,A338))+LEN(INDEX(#REF!,A338))&gt;0,LEN(INDEX(#REF!,A338-1))+LEN(INDEX(#REF!,A338-1))+LEN(INDEX(#REF!,A338-1))+LEN(INDEX(#REF!,A338-1))=0),$B$127,""),"")</f>
        <v/>
      </c>
      <c r="D338" s="195" t="str">
        <f>IFERROR(IF(AND(INDEX(#REF!,A338)="",OR(INDEX(#REF!,A338)&gt;0,INDEX(#REF!,A338)&gt;0,INDEX(#REF!,A338)&gt;0)),$B$152,""),"")</f>
        <v/>
      </c>
      <c r="E338" s="195" t="e">
        <f>SUBSTITUTE(IF(INDEX(#REF!,A338)&gt;IFERROR(INDEX(salaries_other_inst[Max hourly rate],MATCH(INDEX(#REF!,A338),salaries_other_inst[category],0),1),""),$B$153,""),"&lt;&lt;max_hourly_rate&gt;&gt;",TEXT(IFERROR(INDEX(salaries_other_inst[Max hourly rate],MATCH(INDEX(#REF!,A338),salaries_other_inst[category],0),1),""),"€ #"))</f>
        <v>#REF!</v>
      </c>
      <c r="F338" s="195" t="str">
        <f>IFERROR(IF(AND(INDEX(#REF!,A338)&lt;&gt;"",INDEX(#REF!,A338)=0),$B$155,""),"")</f>
        <v/>
      </c>
      <c r="G338" s="195" t="str">
        <f>IFERROR(IF(12*INDEX(#REF!,A338)/INDEX(#REF!,A338)&gt;pers_other_nrhours_year,checks!$B$156,""),"")</f>
        <v/>
      </c>
      <c r="H338" t="e">
        <f>IF(AND(organisation_type="yes",INDEX(#REF!,A338,1)&lt;&gt;"",ISBLANK(INDEX(#REF!,A338,1))),$B$146,"")</f>
        <v>#REF!</v>
      </c>
      <c r="I338" t="e">
        <f>IF(AND(organisation_name="yes",INDEX(#REF!,A338,1)&lt;&gt;"",ISBLANK(INDEX(#REF!,A338,1))),$B$147,"")</f>
        <v>#REF!</v>
      </c>
    </row>
    <row r="339" spans="1:9" hidden="1" outlineLevel="1" x14ac:dyDescent="0.35">
      <c r="A339" s="195">
        <v>28</v>
      </c>
      <c r="B339" s="195" t="str">
        <f t="array" ref="B339">IFERROR(INDEX(personnel_other_inst[[#This Row],[Empty lines]:[Name organisation]],1,MATCH(TRUE,LEN(personnel_other_inst[[#This Row],[Empty lines]:[Name organisation]])&gt;0,0)),"")</f>
        <v/>
      </c>
      <c r="C339" s="195" t="str">
        <f>IFERROR(IF(AND(LEN(INDEX(#REF!,A339))+LEN(INDEX(#REF!,A339))+LEN(INDEX(#REF!,A339))+LEN(INDEX(#REF!,A339))&gt;0,LEN(INDEX(#REF!,A339-1))+LEN(INDEX(#REF!,A339-1))+LEN(INDEX(#REF!,A339-1))+LEN(INDEX(#REF!,A339-1))=0),$B$127,""),"")</f>
        <v/>
      </c>
      <c r="D339" s="195" t="str">
        <f>IFERROR(IF(AND(INDEX(#REF!,A339)="",OR(INDEX(#REF!,A339)&gt;0,INDEX(#REF!,A339)&gt;0,INDEX(#REF!,A339)&gt;0)),$B$152,""),"")</f>
        <v/>
      </c>
      <c r="E339" s="195" t="e">
        <f>SUBSTITUTE(IF(INDEX(#REF!,A339)&gt;IFERROR(INDEX(salaries_other_inst[Max hourly rate],MATCH(INDEX(#REF!,A339),salaries_other_inst[category],0),1),""),$B$153,""),"&lt;&lt;max_hourly_rate&gt;&gt;",TEXT(IFERROR(INDEX(salaries_other_inst[Max hourly rate],MATCH(INDEX(#REF!,A339),salaries_other_inst[category],0),1),""),"€ #"))</f>
        <v>#REF!</v>
      </c>
      <c r="F339" s="195" t="str">
        <f>IFERROR(IF(AND(INDEX(#REF!,A339)&lt;&gt;"",INDEX(#REF!,A339)=0),$B$155,""),"")</f>
        <v/>
      </c>
      <c r="G339" s="195" t="str">
        <f>IFERROR(IF(12*INDEX(#REF!,A339)/INDEX(#REF!,A339)&gt;pers_other_nrhours_year,checks!$B$156,""),"")</f>
        <v/>
      </c>
      <c r="H339" t="e">
        <f>IF(AND(organisation_type="yes",INDEX(#REF!,A339,1)&lt;&gt;"",ISBLANK(INDEX(#REF!,A339,1))),$B$146,"")</f>
        <v>#REF!</v>
      </c>
      <c r="I339" t="e">
        <f>IF(AND(organisation_name="yes",INDEX(#REF!,A339,1)&lt;&gt;"",ISBLANK(INDEX(#REF!,A339,1))),$B$147,"")</f>
        <v>#REF!</v>
      </c>
    </row>
    <row r="340" spans="1:9" hidden="1" outlineLevel="1" x14ac:dyDescent="0.35">
      <c r="A340" s="195">
        <v>29</v>
      </c>
      <c r="B340" s="195" t="str">
        <f t="array" ref="B340">IFERROR(INDEX(personnel_other_inst[[#This Row],[Empty lines]:[Name organisation]],1,MATCH(TRUE,LEN(personnel_other_inst[[#This Row],[Empty lines]:[Name organisation]])&gt;0,0)),"")</f>
        <v/>
      </c>
      <c r="C340" s="195" t="str">
        <f>IFERROR(IF(AND(LEN(INDEX(#REF!,A340))+LEN(INDEX(#REF!,A340))+LEN(INDEX(#REF!,A340))+LEN(INDEX(#REF!,A340))&gt;0,LEN(INDEX(#REF!,A340-1))+LEN(INDEX(#REF!,A340-1))+LEN(INDEX(#REF!,A340-1))+LEN(INDEX(#REF!,A340-1))=0),$B$127,""),"")</f>
        <v/>
      </c>
      <c r="D340" s="195" t="str">
        <f>IFERROR(IF(AND(INDEX(#REF!,A340)="",OR(INDEX(#REF!,A340)&gt;0,INDEX(#REF!,A340)&gt;0,INDEX(#REF!,A340)&gt;0)),$B$152,""),"")</f>
        <v/>
      </c>
      <c r="E340" s="195" t="e">
        <f>SUBSTITUTE(IF(INDEX(#REF!,A340)&gt;IFERROR(INDEX(salaries_other_inst[Max hourly rate],MATCH(INDEX(#REF!,A340),salaries_other_inst[category],0),1),""),$B$153,""),"&lt;&lt;max_hourly_rate&gt;&gt;",TEXT(IFERROR(INDEX(salaries_other_inst[Max hourly rate],MATCH(INDEX(#REF!,A340),salaries_other_inst[category],0),1),""),"€ #"))</f>
        <v>#REF!</v>
      </c>
      <c r="F340" s="195" t="str">
        <f>IFERROR(IF(AND(INDEX(#REF!,A340)&lt;&gt;"",INDEX(#REF!,A340)=0),$B$155,""),"")</f>
        <v/>
      </c>
      <c r="G340" s="195" t="str">
        <f>IFERROR(IF(12*INDEX(#REF!,A340)/INDEX(#REF!,A340)&gt;pers_other_nrhours_year,checks!$B$156,""),"")</f>
        <v/>
      </c>
      <c r="H340" t="e">
        <f>IF(AND(organisation_type="yes",INDEX(#REF!,A340,1)&lt;&gt;"",ISBLANK(INDEX(#REF!,A340,1))),$B$146,"")</f>
        <v>#REF!</v>
      </c>
      <c r="I340" t="e">
        <f>IF(AND(organisation_name="yes",INDEX(#REF!,A340,1)&lt;&gt;"",ISBLANK(INDEX(#REF!,A340,1))),$B$147,"")</f>
        <v>#REF!</v>
      </c>
    </row>
    <row r="341" spans="1:9" hidden="1" outlineLevel="1" x14ac:dyDescent="0.35">
      <c r="A341" s="195">
        <v>30</v>
      </c>
      <c r="B341" s="195" t="str">
        <f t="array" ref="B341">IFERROR(INDEX(personnel_other_inst[[#This Row],[Empty lines]:[Name organisation]],1,MATCH(TRUE,LEN(personnel_other_inst[[#This Row],[Empty lines]:[Name organisation]])&gt;0,0)),"")</f>
        <v/>
      </c>
      <c r="C341" s="195" t="str">
        <f>IFERROR(IF(AND(LEN(INDEX(#REF!,A341))+LEN(INDEX(#REF!,A341))+LEN(INDEX(#REF!,A341))+LEN(INDEX(#REF!,A341))&gt;0,LEN(INDEX(#REF!,A341-1))+LEN(INDEX(#REF!,A341-1))+LEN(INDEX(#REF!,A341-1))+LEN(INDEX(#REF!,A341-1))=0),$B$127,""),"")</f>
        <v/>
      </c>
      <c r="D341" s="195" t="str">
        <f>IFERROR(IF(AND(INDEX(#REF!,A341)="",OR(INDEX(#REF!,A341)&gt;0,INDEX(#REF!,A341)&gt;0,INDEX(#REF!,A341)&gt;0)),$B$152,""),"")</f>
        <v/>
      </c>
      <c r="E341" s="195" t="e">
        <f>SUBSTITUTE(IF(INDEX(#REF!,A341)&gt;IFERROR(INDEX(salaries_other_inst[Max hourly rate],MATCH(INDEX(#REF!,A341),salaries_other_inst[category],0),1),""),$B$153,""),"&lt;&lt;max_hourly_rate&gt;&gt;",TEXT(IFERROR(INDEX(salaries_other_inst[Max hourly rate],MATCH(INDEX(#REF!,A341),salaries_other_inst[category],0),1),""),"€ #"))</f>
        <v>#REF!</v>
      </c>
      <c r="F341" s="195" t="str">
        <f>IFERROR(IF(AND(INDEX(#REF!,A341)&lt;&gt;"",INDEX(#REF!,A341)=0),$B$155,""),"")</f>
        <v/>
      </c>
      <c r="G341" s="195" t="str">
        <f>IFERROR(IF(12*INDEX(#REF!,A341)/INDEX(#REF!,A341)&gt;pers_other_nrhours_year,checks!$B$156,""),"")</f>
        <v/>
      </c>
      <c r="H341" t="e">
        <f>IF(AND(organisation_type="yes",INDEX(#REF!,A341,1)&lt;&gt;"",ISBLANK(INDEX(#REF!,A341,1))),$B$146,"")</f>
        <v>#REF!</v>
      </c>
      <c r="I341" t="e">
        <f>IF(AND(organisation_name="yes",INDEX(#REF!,A341,1)&lt;&gt;"",ISBLANK(INDEX(#REF!,A341,1))),$B$147,"")</f>
        <v>#REF!</v>
      </c>
    </row>
    <row r="342" spans="1:9" hidden="1" outlineLevel="1" x14ac:dyDescent="0.35">
      <c r="A342" s="195">
        <v>31</v>
      </c>
      <c r="B342" s="195" t="str">
        <f t="array" ref="B342">IFERROR(INDEX(personnel_other_inst[[#This Row],[Empty lines]:[Name organisation]],1,MATCH(TRUE,LEN(personnel_other_inst[[#This Row],[Empty lines]:[Name organisation]])&gt;0,0)),"")</f>
        <v/>
      </c>
      <c r="C342" s="195" t="str">
        <f>IFERROR(IF(AND(LEN(INDEX(#REF!,A342))+LEN(INDEX(#REF!,A342))+LEN(INDEX(#REF!,A342))+LEN(INDEX(#REF!,A342))&gt;0,LEN(INDEX(#REF!,A342-1))+LEN(INDEX(#REF!,A342-1))+LEN(INDEX(#REF!,A342-1))+LEN(INDEX(#REF!,A342-1))=0),$B$127,""),"")</f>
        <v/>
      </c>
      <c r="D342" s="195" t="str">
        <f>IFERROR(IF(AND(INDEX(#REF!,A342)="",OR(INDEX(#REF!,A342)&gt;0,INDEX(#REF!,A342)&gt;0,INDEX(#REF!,A342)&gt;0)),$B$152,""),"")</f>
        <v/>
      </c>
      <c r="E342" s="195" t="e">
        <f>SUBSTITUTE(IF(INDEX(#REF!,A342)&gt;IFERROR(INDEX(salaries_other_inst[Max hourly rate],MATCH(INDEX(#REF!,A342),salaries_other_inst[category],0),1),""),$B$153,""),"&lt;&lt;max_hourly_rate&gt;&gt;",TEXT(IFERROR(INDEX(salaries_other_inst[Max hourly rate],MATCH(INDEX(#REF!,A342),salaries_other_inst[category],0),1),""),"€ #"))</f>
        <v>#REF!</v>
      </c>
      <c r="F342" s="195" t="str">
        <f>IFERROR(IF(AND(INDEX(#REF!,A342)&lt;&gt;"",INDEX(#REF!,A342)=0),$B$155,""),"")</f>
        <v/>
      </c>
      <c r="G342" s="195" t="str">
        <f>IFERROR(IF(12*INDEX(#REF!,A342)/INDEX(#REF!,A342)&gt;pers_other_nrhours_year,checks!$B$156,""),"")</f>
        <v/>
      </c>
      <c r="H342" t="e">
        <f>IF(AND(organisation_type="yes",INDEX(#REF!,A342,1)&lt;&gt;"",ISBLANK(INDEX(#REF!,A342,1))),$B$146,"")</f>
        <v>#REF!</v>
      </c>
      <c r="I342" t="e">
        <f>IF(AND(organisation_name="yes",INDEX(#REF!,A342,1)&lt;&gt;"",ISBLANK(INDEX(#REF!,A342,1))),$B$147,"")</f>
        <v>#REF!</v>
      </c>
    </row>
    <row r="343" spans="1:9" hidden="1" outlineLevel="1" x14ac:dyDescent="0.35">
      <c r="A343" s="195">
        <v>32</v>
      </c>
      <c r="B343" s="195" t="str">
        <f t="array" ref="B343">IFERROR(INDEX(personnel_other_inst[[#This Row],[Empty lines]:[Name organisation]],1,MATCH(TRUE,LEN(personnel_other_inst[[#This Row],[Empty lines]:[Name organisation]])&gt;0,0)),"")</f>
        <v/>
      </c>
      <c r="C343" s="195" t="str">
        <f>IFERROR(IF(AND(LEN(INDEX(#REF!,A343))+LEN(INDEX(#REF!,A343))+LEN(INDEX(#REF!,A343))+LEN(INDEX(#REF!,A343))&gt;0,LEN(INDEX(#REF!,A343-1))+LEN(INDEX(#REF!,A343-1))+LEN(INDEX(#REF!,A343-1))+LEN(INDEX(#REF!,A343-1))=0),$B$127,""),"")</f>
        <v/>
      </c>
      <c r="D343" s="195" t="str">
        <f>IFERROR(IF(AND(INDEX(#REF!,A343)="",OR(INDEX(#REF!,A343)&gt;0,INDEX(#REF!,A343)&gt;0,INDEX(#REF!,A343)&gt;0)),$B$152,""),"")</f>
        <v/>
      </c>
      <c r="E343" s="195" t="e">
        <f>SUBSTITUTE(IF(INDEX(#REF!,A343)&gt;IFERROR(INDEX(salaries_other_inst[Max hourly rate],MATCH(INDEX(#REF!,A343),salaries_other_inst[category],0),1),""),$B$153,""),"&lt;&lt;max_hourly_rate&gt;&gt;",TEXT(IFERROR(INDEX(salaries_other_inst[Max hourly rate],MATCH(INDEX(#REF!,A343),salaries_other_inst[category],0),1),""),"€ #"))</f>
        <v>#REF!</v>
      </c>
      <c r="F343" s="195" t="str">
        <f>IFERROR(IF(AND(INDEX(#REF!,A343)&lt;&gt;"",INDEX(#REF!,A343)=0),$B$155,""),"")</f>
        <v/>
      </c>
      <c r="G343" s="195" t="str">
        <f>IFERROR(IF(12*INDEX(#REF!,A343)/INDEX(#REF!,A343)&gt;pers_other_nrhours_year,checks!$B$156,""),"")</f>
        <v/>
      </c>
      <c r="H343" t="e">
        <f>IF(AND(organisation_type="yes",INDEX(#REF!,A343,1)&lt;&gt;"",ISBLANK(INDEX(#REF!,A343,1))),$B$146,"")</f>
        <v>#REF!</v>
      </c>
      <c r="I343" t="e">
        <f>IF(AND(organisation_name="yes",INDEX(#REF!,A343,1)&lt;&gt;"",ISBLANK(INDEX(#REF!,A343,1))),$B$147,"")</f>
        <v>#REF!</v>
      </c>
    </row>
    <row r="344" spans="1:9" hidden="1" outlineLevel="1" x14ac:dyDescent="0.35">
      <c r="A344" s="195">
        <v>33</v>
      </c>
      <c r="B344" s="195" t="str">
        <f t="array" ref="B344">IFERROR(INDEX(personnel_other_inst[[#This Row],[Empty lines]:[Name organisation]],1,MATCH(TRUE,LEN(personnel_other_inst[[#This Row],[Empty lines]:[Name organisation]])&gt;0,0)),"")</f>
        <v/>
      </c>
      <c r="C344" s="195" t="str">
        <f>IFERROR(IF(AND(LEN(INDEX(#REF!,A344))+LEN(INDEX(#REF!,A344))+LEN(INDEX(#REF!,A344))+LEN(INDEX(#REF!,A344))&gt;0,LEN(INDEX(#REF!,A344-1))+LEN(INDEX(#REF!,A344-1))+LEN(INDEX(#REF!,A344-1))+LEN(INDEX(#REF!,A344-1))=0),$B$127,""),"")</f>
        <v/>
      </c>
      <c r="D344" s="195" t="str">
        <f>IFERROR(IF(AND(INDEX(#REF!,A344)="",OR(INDEX(#REF!,A344)&gt;0,INDEX(#REF!,A344)&gt;0,INDEX(#REF!,A344)&gt;0)),$B$152,""),"")</f>
        <v/>
      </c>
      <c r="E344" s="195" t="e">
        <f>SUBSTITUTE(IF(INDEX(#REF!,A344)&gt;IFERROR(INDEX(salaries_other_inst[Max hourly rate],MATCH(INDEX(#REF!,A344),salaries_other_inst[category],0),1),""),$B$153,""),"&lt;&lt;max_hourly_rate&gt;&gt;",TEXT(IFERROR(INDEX(salaries_other_inst[Max hourly rate],MATCH(INDEX(#REF!,A344),salaries_other_inst[category],0),1),""),"€ #"))</f>
        <v>#REF!</v>
      </c>
      <c r="F344" s="195" t="str">
        <f>IFERROR(IF(AND(INDEX(#REF!,A344)&lt;&gt;"",INDEX(#REF!,A344)=0),$B$155,""),"")</f>
        <v/>
      </c>
      <c r="G344" s="195" t="str">
        <f>IFERROR(IF(12*INDEX(#REF!,A344)/INDEX(#REF!,A344)&gt;pers_other_nrhours_year,checks!$B$156,""),"")</f>
        <v/>
      </c>
      <c r="H344" t="e">
        <f>IF(AND(organisation_type="yes",INDEX(#REF!,A344,1)&lt;&gt;"",ISBLANK(INDEX(#REF!,A344,1))),$B$146,"")</f>
        <v>#REF!</v>
      </c>
      <c r="I344" t="e">
        <f>IF(AND(organisation_name="yes",INDEX(#REF!,A344,1)&lt;&gt;"",ISBLANK(INDEX(#REF!,A344,1))),$B$147,"")</f>
        <v>#REF!</v>
      </c>
    </row>
    <row r="345" spans="1:9" hidden="1" outlineLevel="1" x14ac:dyDescent="0.35">
      <c r="A345" s="195">
        <v>34</v>
      </c>
      <c r="B345" s="195" t="str">
        <f t="array" ref="B345">IFERROR(INDEX(personnel_other_inst[[#This Row],[Empty lines]:[Name organisation]],1,MATCH(TRUE,LEN(personnel_other_inst[[#This Row],[Empty lines]:[Name organisation]])&gt;0,0)),"")</f>
        <v/>
      </c>
      <c r="C345" s="195" t="str">
        <f>IFERROR(IF(AND(LEN(INDEX(#REF!,A345))+LEN(INDEX(#REF!,A345))+LEN(INDEX(#REF!,A345))+LEN(INDEX(#REF!,A345))&gt;0,LEN(INDEX(#REF!,A345-1))+LEN(INDEX(#REF!,A345-1))+LEN(INDEX(#REF!,A345-1))+LEN(INDEX(#REF!,A345-1))=0),$B$127,""),"")</f>
        <v/>
      </c>
      <c r="D345" s="195" t="str">
        <f>IFERROR(IF(AND(INDEX(#REF!,A345)="",OR(INDEX(#REF!,A345)&gt;0,INDEX(#REF!,A345)&gt;0,INDEX(#REF!,A345)&gt;0)),$B$152,""),"")</f>
        <v/>
      </c>
      <c r="E345" s="195" t="e">
        <f>SUBSTITUTE(IF(INDEX(#REF!,A345)&gt;IFERROR(INDEX(salaries_other_inst[Max hourly rate],MATCH(INDEX(#REF!,A345),salaries_other_inst[category],0),1),""),$B$153,""),"&lt;&lt;max_hourly_rate&gt;&gt;",TEXT(IFERROR(INDEX(salaries_other_inst[Max hourly rate],MATCH(INDEX(#REF!,A345),salaries_other_inst[category],0),1),""),"€ #"))</f>
        <v>#REF!</v>
      </c>
      <c r="F345" s="195" t="str">
        <f>IFERROR(IF(AND(INDEX(#REF!,A345)&lt;&gt;"",INDEX(#REF!,A345)=0),$B$155,""),"")</f>
        <v/>
      </c>
      <c r="G345" s="195" t="str">
        <f>IFERROR(IF(12*INDEX(#REF!,A345)/INDEX(#REF!,A345)&gt;pers_other_nrhours_year,checks!$B$156,""),"")</f>
        <v/>
      </c>
      <c r="H345" t="e">
        <f>IF(AND(organisation_type="yes",INDEX(#REF!,A345,1)&lt;&gt;"",ISBLANK(INDEX(#REF!,A345,1))),$B$146,"")</f>
        <v>#REF!</v>
      </c>
      <c r="I345" t="e">
        <f>IF(AND(organisation_name="yes",INDEX(#REF!,A345,1)&lt;&gt;"",ISBLANK(INDEX(#REF!,A345,1))),$B$147,"")</f>
        <v>#REF!</v>
      </c>
    </row>
    <row r="346" spans="1:9" hidden="1" outlineLevel="1" x14ac:dyDescent="0.35">
      <c r="A346" s="195">
        <v>35</v>
      </c>
      <c r="B346" s="195" t="str">
        <f t="array" ref="B346">IFERROR(INDEX(personnel_other_inst[[#This Row],[Empty lines]:[Name organisation]],1,MATCH(TRUE,LEN(personnel_other_inst[[#This Row],[Empty lines]:[Name organisation]])&gt;0,0)),"")</f>
        <v/>
      </c>
      <c r="C346" s="195" t="str">
        <f>IFERROR(IF(AND(LEN(INDEX(#REF!,A346))+LEN(INDEX(#REF!,A346))+LEN(INDEX(#REF!,A346))+LEN(INDEX(#REF!,A346))&gt;0,LEN(INDEX(#REF!,A346-1))+LEN(INDEX(#REF!,A346-1))+LEN(INDEX(#REF!,A346-1))+LEN(INDEX(#REF!,A346-1))=0),$B$127,""),"")</f>
        <v/>
      </c>
      <c r="D346" s="195" t="str">
        <f>IFERROR(IF(AND(INDEX(#REF!,A346)="",OR(INDEX(#REF!,A346)&gt;0,INDEX(#REF!,A346)&gt;0,INDEX(#REF!,A346)&gt;0)),$B$152,""),"")</f>
        <v/>
      </c>
      <c r="E346" s="195" t="e">
        <f>SUBSTITUTE(IF(INDEX(#REF!,A346)&gt;IFERROR(INDEX(salaries_other_inst[Max hourly rate],MATCH(INDEX(#REF!,A346),salaries_other_inst[category],0),1),""),$B$153,""),"&lt;&lt;max_hourly_rate&gt;&gt;",TEXT(IFERROR(INDEX(salaries_other_inst[Max hourly rate],MATCH(INDEX(#REF!,A346),salaries_other_inst[category],0),1),""),"€ #"))</f>
        <v>#REF!</v>
      </c>
      <c r="F346" s="195" t="str">
        <f>IFERROR(IF(AND(INDEX(#REF!,A346)&lt;&gt;"",INDEX(#REF!,A346)=0),$B$155,""),"")</f>
        <v/>
      </c>
      <c r="G346" s="195" t="str">
        <f>IFERROR(IF(12*INDEX(#REF!,A346)/INDEX(#REF!,A346)&gt;pers_other_nrhours_year,checks!$B$156,""),"")</f>
        <v/>
      </c>
      <c r="H346" t="e">
        <f>IF(AND(organisation_type="yes",INDEX(#REF!,A346,1)&lt;&gt;"",ISBLANK(INDEX(#REF!,A346,1))),$B$146,"")</f>
        <v>#REF!</v>
      </c>
      <c r="I346" t="e">
        <f>IF(AND(organisation_name="yes",INDEX(#REF!,A346,1)&lt;&gt;"",ISBLANK(INDEX(#REF!,A346,1))),$B$147,"")</f>
        <v>#REF!</v>
      </c>
    </row>
    <row r="347" spans="1:9" hidden="1" outlineLevel="1" x14ac:dyDescent="0.35">
      <c r="A347" s="195">
        <v>36</v>
      </c>
      <c r="B347" s="195" t="str">
        <f t="array" ref="B347">IFERROR(INDEX(personnel_other_inst[[#This Row],[Empty lines]:[Name organisation]],1,MATCH(TRUE,LEN(personnel_other_inst[[#This Row],[Empty lines]:[Name organisation]])&gt;0,0)),"")</f>
        <v/>
      </c>
      <c r="C347" s="195" t="str">
        <f>IFERROR(IF(AND(LEN(INDEX(#REF!,A347))+LEN(INDEX(#REF!,A347))+LEN(INDEX(#REF!,A347))+LEN(INDEX(#REF!,A347))&gt;0,LEN(INDEX(#REF!,A347-1))+LEN(INDEX(#REF!,A347-1))+LEN(INDEX(#REF!,A347-1))+LEN(INDEX(#REF!,A347-1))=0),$B$127,""),"")</f>
        <v/>
      </c>
      <c r="D347" s="195" t="str">
        <f>IFERROR(IF(AND(INDEX(#REF!,A347)="",OR(INDEX(#REF!,A347)&gt;0,INDEX(#REF!,A347)&gt;0,INDEX(#REF!,A347)&gt;0)),$B$152,""),"")</f>
        <v/>
      </c>
      <c r="E347" s="195" t="e">
        <f>SUBSTITUTE(IF(INDEX(#REF!,A347)&gt;IFERROR(INDEX(salaries_other_inst[Max hourly rate],MATCH(INDEX(#REF!,A347),salaries_other_inst[category],0),1),""),$B$153,""),"&lt;&lt;max_hourly_rate&gt;&gt;",TEXT(IFERROR(INDEX(salaries_other_inst[Max hourly rate],MATCH(INDEX(#REF!,A347),salaries_other_inst[category],0),1),""),"€ #"))</f>
        <v>#REF!</v>
      </c>
      <c r="F347" s="195" t="str">
        <f>IFERROR(IF(AND(INDEX(#REF!,A347)&lt;&gt;"",INDEX(#REF!,A347)=0),$B$155,""),"")</f>
        <v/>
      </c>
      <c r="G347" s="195" t="str">
        <f>IFERROR(IF(12*INDEX(#REF!,A347)/INDEX(#REF!,A347)&gt;pers_other_nrhours_year,checks!$B$156,""),"")</f>
        <v/>
      </c>
      <c r="H347" t="e">
        <f>IF(AND(organisation_type="yes",INDEX(#REF!,A347,1)&lt;&gt;"",ISBLANK(INDEX(#REF!,A347,1))),$B$146,"")</f>
        <v>#REF!</v>
      </c>
      <c r="I347" t="e">
        <f>IF(AND(organisation_name="yes",INDEX(#REF!,A347,1)&lt;&gt;"",ISBLANK(INDEX(#REF!,A347,1))),$B$147,"")</f>
        <v>#REF!</v>
      </c>
    </row>
    <row r="348" spans="1:9" hidden="1" outlineLevel="1" x14ac:dyDescent="0.35">
      <c r="A348" s="195">
        <v>37</v>
      </c>
      <c r="B348" s="195" t="str">
        <f t="array" ref="B348">IFERROR(INDEX(personnel_other_inst[[#This Row],[Empty lines]:[Name organisation]],1,MATCH(TRUE,LEN(personnel_other_inst[[#This Row],[Empty lines]:[Name organisation]])&gt;0,0)),"")</f>
        <v/>
      </c>
      <c r="C348" s="195" t="str">
        <f>IFERROR(IF(AND(LEN(INDEX(#REF!,A348))+LEN(INDEX(#REF!,A348))+LEN(INDEX(#REF!,A348))+LEN(INDEX(#REF!,A348))&gt;0,LEN(INDEX(#REF!,A348-1))+LEN(INDEX(#REF!,A348-1))+LEN(INDEX(#REF!,A348-1))+LEN(INDEX(#REF!,A348-1))=0),$B$127,""),"")</f>
        <v/>
      </c>
      <c r="D348" s="195" t="str">
        <f>IFERROR(IF(AND(INDEX(#REF!,A348)="",OR(INDEX(#REF!,A348)&gt;0,INDEX(#REF!,A348)&gt;0,INDEX(#REF!,A348)&gt;0)),$B$152,""),"")</f>
        <v/>
      </c>
      <c r="E348" s="195" t="e">
        <f>SUBSTITUTE(IF(INDEX(#REF!,A348)&gt;IFERROR(INDEX(salaries_other_inst[Max hourly rate],MATCH(INDEX(#REF!,A348),salaries_other_inst[category],0),1),""),$B$153,""),"&lt;&lt;max_hourly_rate&gt;&gt;",TEXT(IFERROR(INDEX(salaries_other_inst[Max hourly rate],MATCH(INDEX(#REF!,A348),salaries_other_inst[category],0),1),""),"€ #"))</f>
        <v>#REF!</v>
      </c>
      <c r="F348" s="195" t="str">
        <f>IFERROR(IF(AND(INDEX(#REF!,A348)&lt;&gt;"",INDEX(#REF!,A348)=0),$B$155,""),"")</f>
        <v/>
      </c>
      <c r="G348" s="195" t="str">
        <f>IFERROR(IF(12*INDEX(#REF!,A348)/INDEX(#REF!,A348)&gt;pers_other_nrhours_year,checks!$B$156,""),"")</f>
        <v/>
      </c>
      <c r="H348" t="e">
        <f>IF(AND(organisation_type="yes",INDEX(#REF!,A348,1)&lt;&gt;"",ISBLANK(INDEX(#REF!,A348,1))),$B$146,"")</f>
        <v>#REF!</v>
      </c>
      <c r="I348" t="e">
        <f>IF(AND(organisation_name="yes",INDEX(#REF!,A348,1)&lt;&gt;"",ISBLANK(INDEX(#REF!,A348,1))),$B$147,"")</f>
        <v>#REF!</v>
      </c>
    </row>
    <row r="349" spans="1:9" hidden="1" outlineLevel="1" x14ac:dyDescent="0.35">
      <c r="A349" s="195">
        <v>38</v>
      </c>
      <c r="B349" s="195" t="str">
        <f t="array" ref="B349">IFERROR(INDEX(personnel_other_inst[[#This Row],[Empty lines]:[Name organisation]],1,MATCH(TRUE,LEN(personnel_other_inst[[#This Row],[Empty lines]:[Name organisation]])&gt;0,0)),"")</f>
        <v/>
      </c>
      <c r="C349" s="195" t="str">
        <f>IFERROR(IF(AND(LEN(INDEX(#REF!,A349))+LEN(INDEX(#REF!,A349))+LEN(INDEX(#REF!,A349))+LEN(INDEX(#REF!,A349))&gt;0,LEN(INDEX(#REF!,A349-1))+LEN(INDEX(#REF!,A349-1))+LEN(INDEX(#REF!,A349-1))+LEN(INDEX(#REF!,A349-1))=0),$B$127,""),"")</f>
        <v/>
      </c>
      <c r="D349" s="195" t="str">
        <f>IFERROR(IF(AND(INDEX(#REF!,A349)="",OR(INDEX(#REF!,A349)&gt;0,INDEX(#REF!,A349)&gt;0,INDEX(#REF!,A349)&gt;0)),$B$152,""),"")</f>
        <v/>
      </c>
      <c r="E349" s="195" t="e">
        <f>SUBSTITUTE(IF(INDEX(#REF!,A349)&gt;IFERROR(INDEX(salaries_other_inst[Max hourly rate],MATCH(INDEX(#REF!,A349),salaries_other_inst[category],0),1),""),$B$153,""),"&lt;&lt;max_hourly_rate&gt;&gt;",TEXT(IFERROR(INDEX(salaries_other_inst[Max hourly rate],MATCH(INDEX(#REF!,A349),salaries_other_inst[category],0),1),""),"€ #"))</f>
        <v>#REF!</v>
      </c>
      <c r="F349" s="195" t="str">
        <f>IFERROR(IF(AND(INDEX(#REF!,A349)&lt;&gt;"",INDEX(#REF!,A349)=0),$B$155,""),"")</f>
        <v/>
      </c>
      <c r="G349" s="195" t="str">
        <f>IFERROR(IF(12*INDEX(#REF!,A349)/INDEX(#REF!,A349)&gt;pers_other_nrhours_year,checks!$B$156,""),"")</f>
        <v/>
      </c>
      <c r="H349" t="e">
        <f>IF(AND(organisation_type="yes",INDEX(#REF!,A349,1)&lt;&gt;"",ISBLANK(INDEX(#REF!,A349,1))),$B$146,"")</f>
        <v>#REF!</v>
      </c>
      <c r="I349" t="e">
        <f>IF(AND(organisation_name="yes",INDEX(#REF!,A349,1)&lt;&gt;"",ISBLANK(INDEX(#REF!,A349,1))),$B$147,"")</f>
        <v>#REF!</v>
      </c>
    </row>
    <row r="350" spans="1:9" hidden="1" outlineLevel="1" x14ac:dyDescent="0.35">
      <c r="A350" s="195">
        <v>39</v>
      </c>
      <c r="B350" s="195" t="str">
        <f t="array" ref="B350">IFERROR(INDEX(personnel_other_inst[[#This Row],[Empty lines]:[Name organisation]],1,MATCH(TRUE,LEN(personnel_other_inst[[#This Row],[Empty lines]:[Name organisation]])&gt;0,0)),"")</f>
        <v/>
      </c>
      <c r="C350" s="195" t="str">
        <f>IFERROR(IF(AND(LEN(INDEX(#REF!,A350))+LEN(INDEX(#REF!,A350))+LEN(INDEX(#REF!,A350))+LEN(INDEX(#REF!,A350))&gt;0,LEN(INDEX(#REF!,A350-1))+LEN(INDEX(#REF!,A350-1))+LEN(INDEX(#REF!,A350-1))+LEN(INDEX(#REF!,A350-1))=0),$B$127,""),"")</f>
        <v/>
      </c>
      <c r="D350" s="195" t="str">
        <f>IFERROR(IF(AND(INDEX(#REF!,A350)="",OR(INDEX(#REF!,A350)&gt;0,INDEX(#REF!,A350)&gt;0,INDEX(#REF!,A350)&gt;0)),$B$152,""),"")</f>
        <v/>
      </c>
      <c r="E350" s="195" t="e">
        <f>SUBSTITUTE(IF(INDEX(#REF!,A350)&gt;IFERROR(INDEX(salaries_other_inst[Max hourly rate],MATCH(INDEX(#REF!,A350),salaries_other_inst[category],0),1),""),$B$153,""),"&lt;&lt;max_hourly_rate&gt;&gt;",TEXT(IFERROR(INDEX(salaries_other_inst[Max hourly rate],MATCH(INDEX(#REF!,A350),salaries_other_inst[category],0),1),""),"€ #"))</f>
        <v>#REF!</v>
      </c>
      <c r="F350" s="195" t="str">
        <f>IFERROR(IF(AND(INDEX(#REF!,A350)&lt;&gt;"",INDEX(#REF!,A350)=0),$B$155,""),"")</f>
        <v/>
      </c>
      <c r="G350" s="195" t="str">
        <f>IFERROR(IF(12*INDEX(#REF!,A350)/INDEX(#REF!,A350)&gt;pers_other_nrhours_year,checks!$B$156,""),"")</f>
        <v/>
      </c>
      <c r="H350" t="e">
        <f>IF(AND(organisation_type="yes",INDEX(#REF!,A350,1)&lt;&gt;"",ISBLANK(INDEX(#REF!,A350,1))),$B$146,"")</f>
        <v>#REF!</v>
      </c>
      <c r="I350" t="e">
        <f>IF(AND(organisation_name="yes",INDEX(#REF!,A350,1)&lt;&gt;"",ISBLANK(INDEX(#REF!,A350,1))),$B$147,"")</f>
        <v>#REF!</v>
      </c>
    </row>
    <row r="351" spans="1:9" hidden="1" outlineLevel="1" x14ac:dyDescent="0.35">
      <c r="A351" s="195">
        <v>40</v>
      </c>
      <c r="B351" s="195" t="str">
        <f t="array" ref="B351">IFERROR(INDEX(personnel_other_inst[[#This Row],[Empty lines]:[Name organisation]],1,MATCH(TRUE,LEN(personnel_other_inst[[#This Row],[Empty lines]:[Name organisation]])&gt;0,0)),"")</f>
        <v/>
      </c>
      <c r="C351" s="195" t="str">
        <f>IFERROR(IF(AND(LEN(INDEX(#REF!,A351))+LEN(INDEX(#REF!,A351))+LEN(INDEX(#REF!,A351))+LEN(INDEX(#REF!,A351))&gt;0,LEN(INDEX(#REF!,A351-1))+LEN(INDEX(#REF!,A351-1))+LEN(INDEX(#REF!,A351-1))+LEN(INDEX(#REF!,A351-1))=0),$B$127,""),"")</f>
        <v/>
      </c>
      <c r="D351" s="195" t="str">
        <f>IFERROR(IF(AND(INDEX(#REF!,A351)="",OR(INDEX(#REF!,A351)&gt;0,INDEX(#REF!,A351)&gt;0,INDEX(#REF!,A351)&gt;0)),$B$152,""),"")</f>
        <v/>
      </c>
      <c r="E351" s="195" t="e">
        <f>SUBSTITUTE(IF(INDEX(#REF!,A351)&gt;IFERROR(INDEX(salaries_other_inst[Max hourly rate],MATCH(INDEX(#REF!,A351),salaries_other_inst[category],0),1),""),$B$153,""),"&lt;&lt;max_hourly_rate&gt;&gt;",TEXT(IFERROR(INDEX(salaries_other_inst[Max hourly rate],MATCH(INDEX(#REF!,A351),salaries_other_inst[category],0),1),""),"€ #"))</f>
        <v>#REF!</v>
      </c>
      <c r="F351" s="195" t="str">
        <f>IFERROR(IF(AND(INDEX(#REF!,A351)&lt;&gt;"",INDEX(#REF!,A351)=0),$B$155,""),"")</f>
        <v/>
      </c>
      <c r="G351" s="195" t="str">
        <f>IFERROR(IF(12*INDEX(#REF!,A351)/INDEX(#REF!,A351)&gt;pers_other_nrhours_year,checks!$B$156,""),"")</f>
        <v/>
      </c>
      <c r="H351" t="e">
        <f>IF(AND(organisation_type="yes",INDEX(#REF!,A351,1)&lt;&gt;"",ISBLANK(INDEX(#REF!,A351,1))),$B$146,"")</f>
        <v>#REF!</v>
      </c>
      <c r="I351" t="e">
        <f>IF(AND(organisation_name="yes",INDEX(#REF!,A351,1)&lt;&gt;"",ISBLANK(INDEX(#REF!,A351,1))),$B$147,"")</f>
        <v>#REF!</v>
      </c>
    </row>
    <row r="352" spans="1:9" hidden="1" outlineLevel="1" x14ac:dyDescent="0.35">
      <c r="A352" s="195">
        <v>41</v>
      </c>
      <c r="B352" s="195" t="str">
        <f t="array" ref="B352">IFERROR(INDEX(personnel_other_inst[[#This Row],[Empty lines]:[Name organisation]],1,MATCH(TRUE,LEN(personnel_other_inst[[#This Row],[Empty lines]:[Name organisation]])&gt;0,0)),"")</f>
        <v/>
      </c>
      <c r="C352" s="195" t="str">
        <f>IFERROR(IF(AND(LEN(INDEX(#REF!,A352))+LEN(INDEX(#REF!,A352))+LEN(INDEX(#REF!,A352))+LEN(INDEX(#REF!,A352))&gt;0,LEN(INDEX(#REF!,A352-1))+LEN(INDEX(#REF!,A352-1))+LEN(INDEX(#REF!,A352-1))+LEN(INDEX(#REF!,A352-1))=0),$B$127,""),"")</f>
        <v/>
      </c>
      <c r="D352" s="195" t="str">
        <f>IFERROR(IF(AND(INDEX(#REF!,A352)="",OR(INDEX(#REF!,A352)&gt;0,INDEX(#REF!,A352)&gt;0,INDEX(#REF!,A352)&gt;0)),$B$152,""),"")</f>
        <v/>
      </c>
      <c r="E352" s="195" t="e">
        <f>SUBSTITUTE(IF(INDEX(#REF!,A352)&gt;IFERROR(INDEX(salaries_other_inst[Max hourly rate],MATCH(INDEX(#REF!,A352),salaries_other_inst[category],0),1),""),$B$153,""),"&lt;&lt;max_hourly_rate&gt;&gt;",TEXT(IFERROR(INDEX(salaries_other_inst[Max hourly rate],MATCH(INDEX(#REF!,A352),salaries_other_inst[category],0),1),""),"€ #"))</f>
        <v>#REF!</v>
      </c>
      <c r="F352" s="195" t="str">
        <f>IFERROR(IF(AND(INDEX(#REF!,A352)&lt;&gt;"",INDEX(#REF!,A352)=0),$B$155,""),"")</f>
        <v/>
      </c>
      <c r="G352" s="195" t="str">
        <f>IFERROR(IF(12*INDEX(#REF!,A352)/INDEX(#REF!,A352)&gt;pers_other_nrhours_year,checks!$B$156,""),"")</f>
        <v/>
      </c>
      <c r="H352" t="e">
        <f>IF(AND(organisation_type="yes",INDEX(#REF!,A352,1)&lt;&gt;"",ISBLANK(INDEX(#REF!,A352,1))),$B$146,"")</f>
        <v>#REF!</v>
      </c>
      <c r="I352" t="e">
        <f>IF(AND(organisation_name="yes",INDEX(#REF!,A352,1)&lt;&gt;"",ISBLANK(INDEX(#REF!,A352,1))),$B$147,"")</f>
        <v>#REF!</v>
      </c>
    </row>
    <row r="353" spans="1:9" hidden="1" outlineLevel="1" x14ac:dyDescent="0.35">
      <c r="A353" s="195">
        <v>42</v>
      </c>
      <c r="B353" s="195" t="str">
        <f t="array" ref="B353">IFERROR(INDEX(personnel_other_inst[[#This Row],[Empty lines]:[Name organisation]],1,MATCH(TRUE,LEN(personnel_other_inst[[#This Row],[Empty lines]:[Name organisation]])&gt;0,0)),"")</f>
        <v/>
      </c>
      <c r="C353" s="195" t="str">
        <f>IFERROR(IF(AND(LEN(INDEX(#REF!,A353))+LEN(INDEX(#REF!,A353))+LEN(INDEX(#REF!,A353))+LEN(INDEX(#REF!,A353))&gt;0,LEN(INDEX(#REF!,A353-1))+LEN(INDEX(#REF!,A353-1))+LEN(INDEX(#REF!,A353-1))+LEN(INDEX(#REF!,A353-1))=0),$B$127,""),"")</f>
        <v/>
      </c>
      <c r="D353" s="195" t="str">
        <f>IFERROR(IF(AND(INDEX(#REF!,A353)="",OR(INDEX(#REF!,A353)&gt;0,INDEX(#REF!,A353)&gt;0,INDEX(#REF!,A353)&gt;0)),$B$152,""),"")</f>
        <v/>
      </c>
      <c r="E353" s="195" t="e">
        <f>SUBSTITUTE(IF(INDEX(#REF!,A353)&gt;IFERROR(INDEX(salaries_other_inst[Max hourly rate],MATCH(INDEX(#REF!,A353),salaries_other_inst[category],0),1),""),$B$153,""),"&lt;&lt;max_hourly_rate&gt;&gt;",TEXT(IFERROR(INDEX(salaries_other_inst[Max hourly rate],MATCH(INDEX(#REF!,A353),salaries_other_inst[category],0),1),""),"€ #"))</f>
        <v>#REF!</v>
      </c>
      <c r="F353" s="195" t="str">
        <f>IFERROR(IF(AND(INDEX(#REF!,A353)&lt;&gt;"",INDEX(#REF!,A353)=0),$B$155,""),"")</f>
        <v/>
      </c>
      <c r="G353" s="195" t="str">
        <f>IFERROR(IF(12*INDEX(#REF!,A353)/INDEX(#REF!,A353)&gt;pers_other_nrhours_year,checks!$B$156,""),"")</f>
        <v/>
      </c>
      <c r="H353" t="e">
        <f>IF(AND(organisation_type="yes",INDEX(#REF!,A353,1)&lt;&gt;"",ISBLANK(INDEX(#REF!,A353,1))),$B$146,"")</f>
        <v>#REF!</v>
      </c>
      <c r="I353" t="e">
        <f>IF(AND(organisation_name="yes",INDEX(#REF!,A353,1)&lt;&gt;"",ISBLANK(INDEX(#REF!,A353,1))),$B$147,"")</f>
        <v>#REF!</v>
      </c>
    </row>
    <row r="354" spans="1:9" hidden="1" outlineLevel="1" x14ac:dyDescent="0.35">
      <c r="A354" s="195">
        <v>43</v>
      </c>
      <c r="B354" s="195" t="str">
        <f t="array" ref="B354">IFERROR(INDEX(personnel_other_inst[[#This Row],[Empty lines]:[Name organisation]],1,MATCH(TRUE,LEN(personnel_other_inst[[#This Row],[Empty lines]:[Name organisation]])&gt;0,0)),"")</f>
        <v/>
      </c>
      <c r="C354" s="195" t="str">
        <f>IFERROR(IF(AND(LEN(INDEX(#REF!,A354))+LEN(INDEX(#REF!,A354))+LEN(INDEX(#REF!,A354))+LEN(INDEX(#REF!,A354))&gt;0,LEN(INDEX(#REF!,A354-1))+LEN(INDEX(#REF!,A354-1))+LEN(INDEX(#REF!,A354-1))+LEN(INDEX(#REF!,A354-1))=0),$B$127,""),"")</f>
        <v/>
      </c>
      <c r="D354" s="195" t="str">
        <f>IFERROR(IF(AND(INDEX(#REF!,A354)="",OR(INDEX(#REF!,A354)&gt;0,INDEX(#REF!,A354)&gt;0,INDEX(#REF!,A354)&gt;0)),$B$152,""),"")</f>
        <v/>
      </c>
      <c r="E354" s="195" t="e">
        <f>SUBSTITUTE(IF(INDEX(#REF!,A354)&gt;IFERROR(INDEX(salaries_other_inst[Max hourly rate],MATCH(INDEX(#REF!,A354),salaries_other_inst[category],0),1),""),$B$153,""),"&lt;&lt;max_hourly_rate&gt;&gt;",TEXT(IFERROR(INDEX(salaries_other_inst[Max hourly rate],MATCH(INDEX(#REF!,A354),salaries_other_inst[category],0),1),""),"€ #"))</f>
        <v>#REF!</v>
      </c>
      <c r="F354" s="195" t="str">
        <f>IFERROR(IF(AND(INDEX(#REF!,A354)&lt;&gt;"",INDEX(#REF!,A354)=0),$B$155,""),"")</f>
        <v/>
      </c>
      <c r="G354" s="195" t="str">
        <f>IFERROR(IF(12*INDEX(#REF!,A354)/INDEX(#REF!,A354)&gt;pers_other_nrhours_year,checks!$B$156,""),"")</f>
        <v/>
      </c>
      <c r="H354" t="e">
        <f>IF(AND(organisation_type="yes",INDEX(#REF!,A354,1)&lt;&gt;"",ISBLANK(INDEX(#REF!,A354,1))),$B$146,"")</f>
        <v>#REF!</v>
      </c>
      <c r="I354" t="e">
        <f>IF(AND(organisation_name="yes",INDEX(#REF!,A354,1)&lt;&gt;"",ISBLANK(INDEX(#REF!,A354,1))),$B$147,"")</f>
        <v>#REF!</v>
      </c>
    </row>
    <row r="355" spans="1:9" hidden="1" outlineLevel="1" x14ac:dyDescent="0.35">
      <c r="A355" s="195">
        <v>44</v>
      </c>
      <c r="B355" s="195" t="str">
        <f t="array" ref="B355">IFERROR(INDEX(personnel_other_inst[[#This Row],[Empty lines]:[Name organisation]],1,MATCH(TRUE,LEN(personnel_other_inst[[#This Row],[Empty lines]:[Name organisation]])&gt;0,0)),"")</f>
        <v/>
      </c>
      <c r="C355" s="195" t="str">
        <f>IFERROR(IF(AND(LEN(INDEX(#REF!,A355))+LEN(INDEX(#REF!,A355))+LEN(INDEX(#REF!,A355))+LEN(INDEX(#REF!,A355))&gt;0,LEN(INDEX(#REF!,A355-1))+LEN(INDEX(#REF!,A355-1))+LEN(INDEX(#REF!,A355-1))+LEN(INDEX(#REF!,A355-1))=0),$B$127,""),"")</f>
        <v/>
      </c>
      <c r="D355" s="195" t="str">
        <f>IFERROR(IF(AND(INDEX(#REF!,A355)="",OR(INDEX(#REF!,A355)&gt;0,INDEX(#REF!,A355)&gt;0,INDEX(#REF!,A355)&gt;0)),$B$152,""),"")</f>
        <v/>
      </c>
      <c r="E355" s="195" t="e">
        <f>SUBSTITUTE(IF(INDEX(#REF!,A355)&gt;IFERROR(INDEX(salaries_other_inst[Max hourly rate],MATCH(INDEX(#REF!,A355),salaries_other_inst[category],0),1),""),$B$153,""),"&lt;&lt;max_hourly_rate&gt;&gt;",TEXT(IFERROR(INDEX(salaries_other_inst[Max hourly rate],MATCH(INDEX(#REF!,A355),salaries_other_inst[category],0),1),""),"€ #"))</f>
        <v>#REF!</v>
      </c>
      <c r="F355" s="195" t="str">
        <f>IFERROR(IF(AND(INDEX(#REF!,A355)&lt;&gt;"",INDEX(#REF!,A355)=0),$B$155,""),"")</f>
        <v/>
      </c>
      <c r="G355" s="195" t="str">
        <f>IFERROR(IF(12*INDEX(#REF!,A355)/INDEX(#REF!,A355)&gt;pers_other_nrhours_year,checks!$B$156,""),"")</f>
        <v/>
      </c>
      <c r="H355" t="e">
        <f>IF(AND(organisation_type="yes",INDEX(#REF!,A355,1)&lt;&gt;"",ISBLANK(INDEX(#REF!,A355,1))),$B$146,"")</f>
        <v>#REF!</v>
      </c>
      <c r="I355" t="e">
        <f>IF(AND(organisation_name="yes",INDEX(#REF!,A355,1)&lt;&gt;"",ISBLANK(INDEX(#REF!,A355,1))),$B$147,"")</f>
        <v>#REF!</v>
      </c>
    </row>
    <row r="356" spans="1:9" hidden="1" outlineLevel="1" x14ac:dyDescent="0.35">
      <c r="A356" s="195">
        <v>45</v>
      </c>
      <c r="B356" s="195" t="str">
        <f t="array" ref="B356">IFERROR(INDEX(personnel_other_inst[[#This Row],[Empty lines]:[Name organisation]],1,MATCH(TRUE,LEN(personnel_other_inst[[#This Row],[Empty lines]:[Name organisation]])&gt;0,0)),"")</f>
        <v/>
      </c>
      <c r="C356" s="195" t="str">
        <f>IFERROR(IF(AND(LEN(INDEX(#REF!,A356))+LEN(INDEX(#REF!,A356))+LEN(INDEX(#REF!,A356))+LEN(INDEX(#REF!,A356))&gt;0,LEN(INDEX(#REF!,A356-1))+LEN(INDEX(#REF!,A356-1))+LEN(INDEX(#REF!,A356-1))+LEN(INDEX(#REF!,A356-1))=0),$B$127,""),"")</f>
        <v/>
      </c>
      <c r="D356" s="195" t="str">
        <f>IFERROR(IF(AND(INDEX(#REF!,A356)="",OR(INDEX(#REF!,A356)&gt;0,INDEX(#REF!,A356)&gt;0,INDEX(#REF!,A356)&gt;0)),$B$152,""),"")</f>
        <v/>
      </c>
      <c r="E356" s="195" t="e">
        <f>SUBSTITUTE(IF(INDEX(#REF!,A356)&gt;IFERROR(INDEX(salaries_other_inst[Max hourly rate],MATCH(INDEX(#REF!,A356),salaries_other_inst[category],0),1),""),$B$153,""),"&lt;&lt;max_hourly_rate&gt;&gt;",TEXT(IFERROR(INDEX(salaries_other_inst[Max hourly rate],MATCH(INDEX(#REF!,A356),salaries_other_inst[category],0),1),""),"€ #"))</f>
        <v>#REF!</v>
      </c>
      <c r="F356" s="195" t="str">
        <f>IFERROR(IF(AND(INDEX(#REF!,A356)&lt;&gt;"",INDEX(#REF!,A356)=0),$B$155,""),"")</f>
        <v/>
      </c>
      <c r="G356" s="195" t="str">
        <f>IFERROR(IF(12*INDEX(#REF!,A356)/INDEX(#REF!,A356)&gt;pers_other_nrhours_year,checks!$B$156,""),"")</f>
        <v/>
      </c>
      <c r="H356" t="e">
        <f>IF(AND(organisation_type="yes",INDEX(#REF!,A356,1)&lt;&gt;"",ISBLANK(INDEX(#REF!,A356,1))),$B$146,"")</f>
        <v>#REF!</v>
      </c>
      <c r="I356" t="e">
        <f>IF(AND(organisation_name="yes",INDEX(#REF!,A356,1)&lt;&gt;"",ISBLANK(INDEX(#REF!,A356,1))),$B$147,"")</f>
        <v>#REF!</v>
      </c>
    </row>
    <row r="357" spans="1:9" hidden="1" outlineLevel="1" x14ac:dyDescent="0.35">
      <c r="A357" s="195">
        <v>46</v>
      </c>
      <c r="B357" s="195" t="str">
        <f t="array" ref="B357">IFERROR(INDEX(personnel_other_inst[[#This Row],[Empty lines]:[Name organisation]],1,MATCH(TRUE,LEN(personnel_other_inst[[#This Row],[Empty lines]:[Name organisation]])&gt;0,0)),"")</f>
        <v/>
      </c>
      <c r="C357" s="195" t="str">
        <f>IFERROR(IF(AND(LEN(INDEX(#REF!,A357))+LEN(INDEX(#REF!,A357))+LEN(INDEX(#REF!,A357))+LEN(INDEX(#REF!,A357))&gt;0,LEN(INDEX(#REF!,A357-1))+LEN(INDEX(#REF!,A357-1))+LEN(INDEX(#REF!,A357-1))+LEN(INDEX(#REF!,A357-1))=0),$B$127,""),"")</f>
        <v/>
      </c>
      <c r="D357" s="195" t="str">
        <f>IFERROR(IF(AND(INDEX(#REF!,A357)="",OR(INDEX(#REF!,A357)&gt;0,INDEX(#REF!,A357)&gt;0,INDEX(#REF!,A357)&gt;0)),$B$152,""),"")</f>
        <v/>
      </c>
      <c r="E357" s="195" t="e">
        <f>SUBSTITUTE(IF(INDEX(#REF!,A357)&gt;IFERROR(INDEX(salaries_other_inst[Max hourly rate],MATCH(INDEX(#REF!,A357),salaries_other_inst[category],0),1),""),$B$153,""),"&lt;&lt;max_hourly_rate&gt;&gt;",TEXT(IFERROR(INDEX(salaries_other_inst[Max hourly rate],MATCH(INDEX(#REF!,A357),salaries_other_inst[category],0),1),""),"€ #"))</f>
        <v>#REF!</v>
      </c>
      <c r="F357" s="195" t="str">
        <f>IFERROR(IF(AND(INDEX(#REF!,A357)&lt;&gt;"",INDEX(#REF!,A357)=0),$B$155,""),"")</f>
        <v/>
      </c>
      <c r="G357" s="195" t="str">
        <f>IFERROR(IF(12*INDEX(#REF!,A357)/INDEX(#REF!,A357)&gt;pers_other_nrhours_year,checks!$B$156,""),"")</f>
        <v/>
      </c>
      <c r="H357" t="e">
        <f>IF(AND(organisation_type="yes",INDEX(#REF!,A357,1)&lt;&gt;"",ISBLANK(INDEX(#REF!,A357,1))),$B$146,"")</f>
        <v>#REF!</v>
      </c>
      <c r="I357" t="e">
        <f>IF(AND(organisation_name="yes",INDEX(#REF!,A357,1)&lt;&gt;"",ISBLANK(INDEX(#REF!,A357,1))),$B$147,"")</f>
        <v>#REF!</v>
      </c>
    </row>
    <row r="358" spans="1:9" hidden="1" outlineLevel="1" x14ac:dyDescent="0.35">
      <c r="A358" s="195">
        <v>47</v>
      </c>
      <c r="B358" s="195" t="str">
        <f t="array" ref="B358">IFERROR(INDEX(personnel_other_inst[[#This Row],[Empty lines]:[Name organisation]],1,MATCH(TRUE,LEN(personnel_other_inst[[#This Row],[Empty lines]:[Name organisation]])&gt;0,0)),"")</f>
        <v/>
      </c>
      <c r="C358" s="195" t="str">
        <f>IFERROR(IF(AND(LEN(INDEX(#REF!,A358))+LEN(INDEX(#REF!,A358))+LEN(INDEX(#REF!,A358))+LEN(INDEX(#REF!,A358))&gt;0,LEN(INDEX(#REF!,A358-1))+LEN(INDEX(#REF!,A358-1))+LEN(INDEX(#REF!,A358-1))+LEN(INDEX(#REF!,A358-1))=0),$B$127,""),"")</f>
        <v/>
      </c>
      <c r="D358" s="195" t="str">
        <f>IFERROR(IF(AND(INDEX(#REF!,A358)="",OR(INDEX(#REF!,A358)&gt;0,INDEX(#REF!,A358)&gt;0,INDEX(#REF!,A358)&gt;0)),$B$152,""),"")</f>
        <v/>
      </c>
      <c r="E358" s="195" t="e">
        <f>SUBSTITUTE(IF(INDEX(#REF!,A358)&gt;IFERROR(INDEX(salaries_other_inst[Max hourly rate],MATCH(INDEX(#REF!,A358),salaries_other_inst[category],0),1),""),$B$153,""),"&lt;&lt;max_hourly_rate&gt;&gt;",TEXT(IFERROR(INDEX(salaries_other_inst[Max hourly rate],MATCH(INDEX(#REF!,A358),salaries_other_inst[category],0),1),""),"€ #"))</f>
        <v>#REF!</v>
      </c>
      <c r="F358" s="195" t="str">
        <f>IFERROR(IF(AND(INDEX(#REF!,A358)&lt;&gt;"",INDEX(#REF!,A358)=0),$B$155,""),"")</f>
        <v/>
      </c>
      <c r="G358" s="195" t="str">
        <f>IFERROR(IF(12*INDEX(#REF!,A358)/INDEX(#REF!,A358)&gt;pers_other_nrhours_year,checks!$B$156,""),"")</f>
        <v/>
      </c>
      <c r="H358" t="e">
        <f>IF(AND(organisation_type="yes",INDEX(#REF!,A358,1)&lt;&gt;"",ISBLANK(INDEX(#REF!,A358,1))),$B$146,"")</f>
        <v>#REF!</v>
      </c>
      <c r="I358" t="e">
        <f>IF(AND(organisation_name="yes",INDEX(#REF!,A358,1)&lt;&gt;"",ISBLANK(INDEX(#REF!,A358,1))),$B$147,"")</f>
        <v>#REF!</v>
      </c>
    </row>
    <row r="359" spans="1:9" hidden="1" outlineLevel="1" x14ac:dyDescent="0.35">
      <c r="A359" s="195">
        <v>48</v>
      </c>
      <c r="B359" s="195" t="str">
        <f t="array" ref="B359">IFERROR(INDEX(personnel_other_inst[[#This Row],[Empty lines]:[Name organisation]],1,MATCH(TRUE,LEN(personnel_other_inst[[#This Row],[Empty lines]:[Name organisation]])&gt;0,0)),"")</f>
        <v/>
      </c>
      <c r="C359" s="195" t="str">
        <f>IFERROR(IF(AND(LEN(INDEX(#REF!,A359))+LEN(INDEX(#REF!,A359))+LEN(INDEX(#REF!,A359))+LEN(INDEX(#REF!,A359))&gt;0,LEN(INDEX(#REF!,A359-1))+LEN(INDEX(#REF!,A359-1))+LEN(INDEX(#REF!,A359-1))+LEN(INDEX(#REF!,A359-1))=0),$B$127,""),"")</f>
        <v/>
      </c>
      <c r="D359" s="195" t="str">
        <f>IFERROR(IF(AND(INDEX(#REF!,A359)="",OR(INDEX(#REF!,A359)&gt;0,INDEX(#REF!,A359)&gt;0,INDEX(#REF!,A359)&gt;0)),$B$152,""),"")</f>
        <v/>
      </c>
      <c r="E359" s="195" t="e">
        <f>SUBSTITUTE(IF(INDEX(#REF!,A359)&gt;IFERROR(INDEX(salaries_other_inst[Max hourly rate],MATCH(INDEX(#REF!,A359),salaries_other_inst[category],0),1),""),$B$153,""),"&lt;&lt;max_hourly_rate&gt;&gt;",TEXT(IFERROR(INDEX(salaries_other_inst[Max hourly rate],MATCH(INDEX(#REF!,A359),salaries_other_inst[category],0),1),""),"€ #"))</f>
        <v>#REF!</v>
      </c>
      <c r="F359" s="195" t="str">
        <f>IFERROR(IF(AND(INDEX(#REF!,A359)&lt;&gt;"",INDEX(#REF!,A359)=0),$B$155,""),"")</f>
        <v/>
      </c>
      <c r="G359" s="195" t="str">
        <f>IFERROR(IF(12*INDEX(#REF!,A359)/INDEX(#REF!,A359)&gt;pers_other_nrhours_year,checks!$B$156,""),"")</f>
        <v/>
      </c>
      <c r="H359" t="e">
        <f>IF(AND(organisation_type="yes",INDEX(#REF!,A359,1)&lt;&gt;"",ISBLANK(INDEX(#REF!,A359,1))),$B$146,"")</f>
        <v>#REF!</v>
      </c>
      <c r="I359" t="e">
        <f>IF(AND(organisation_name="yes",INDEX(#REF!,A359,1)&lt;&gt;"",ISBLANK(INDEX(#REF!,A359,1))),$B$147,"")</f>
        <v>#REF!</v>
      </c>
    </row>
    <row r="360" spans="1:9" hidden="1" outlineLevel="1" x14ac:dyDescent="0.35">
      <c r="A360" s="195">
        <v>49</v>
      </c>
      <c r="B360" s="195" t="str">
        <f t="array" ref="B360">IFERROR(INDEX(personnel_other_inst[[#This Row],[Empty lines]:[Name organisation]],1,MATCH(TRUE,LEN(personnel_other_inst[[#This Row],[Empty lines]:[Name organisation]])&gt;0,0)),"")</f>
        <v/>
      </c>
      <c r="C360" s="195" t="str">
        <f>IFERROR(IF(AND(LEN(INDEX(#REF!,A360))+LEN(INDEX(#REF!,A360))+LEN(INDEX(#REF!,A360))+LEN(INDEX(#REF!,A360))&gt;0,LEN(INDEX(#REF!,A360-1))+LEN(INDEX(#REF!,A360-1))+LEN(INDEX(#REF!,A360-1))+LEN(INDEX(#REF!,A360-1))=0),$B$127,""),"")</f>
        <v/>
      </c>
      <c r="D360" s="195" t="str">
        <f>IFERROR(IF(AND(INDEX(#REF!,A360)="",OR(INDEX(#REF!,A360)&gt;0,INDEX(#REF!,A360)&gt;0,INDEX(#REF!,A360)&gt;0)),$B$152,""),"")</f>
        <v/>
      </c>
      <c r="E360" s="195" t="e">
        <f>SUBSTITUTE(IF(INDEX(#REF!,A360)&gt;IFERROR(INDEX(salaries_other_inst[Max hourly rate],MATCH(INDEX(#REF!,A360),salaries_other_inst[category],0),1),""),$B$153,""),"&lt;&lt;max_hourly_rate&gt;&gt;",TEXT(IFERROR(INDEX(salaries_other_inst[Max hourly rate],MATCH(INDEX(#REF!,A360),salaries_other_inst[category],0),1),""),"€ #"))</f>
        <v>#REF!</v>
      </c>
      <c r="F360" s="195" t="str">
        <f>IFERROR(IF(AND(INDEX(#REF!,A360)&lt;&gt;"",INDEX(#REF!,A360)=0),$B$155,""),"")</f>
        <v/>
      </c>
      <c r="G360" s="195" t="str">
        <f>IFERROR(IF(12*INDEX(#REF!,A360)/INDEX(#REF!,A360)&gt;pers_other_nrhours_year,checks!$B$156,""),"")</f>
        <v/>
      </c>
      <c r="H360" t="e">
        <f>IF(AND(organisation_type="yes",INDEX(#REF!,A360,1)&lt;&gt;"",ISBLANK(INDEX(#REF!,A360,1))),$B$146,"")</f>
        <v>#REF!</v>
      </c>
      <c r="I360" t="e">
        <f>IF(AND(organisation_name="yes",INDEX(#REF!,A360,1)&lt;&gt;"",ISBLANK(INDEX(#REF!,A360,1))),$B$147,"")</f>
        <v>#REF!</v>
      </c>
    </row>
    <row r="361" spans="1:9" hidden="1" outlineLevel="1" x14ac:dyDescent="0.35">
      <c r="A361" s="195">
        <v>50</v>
      </c>
      <c r="B361" s="195" t="str">
        <f t="array" ref="B361">IFERROR(INDEX(personnel_other_inst[[#This Row],[Empty lines]:[Name organisation]],1,MATCH(TRUE,LEN(personnel_other_inst[[#This Row],[Empty lines]:[Name organisation]])&gt;0,0)),"")</f>
        <v/>
      </c>
      <c r="C361" s="195" t="str">
        <f>IFERROR(IF(AND(LEN(INDEX(#REF!,A361))+LEN(INDEX(#REF!,A361))+LEN(INDEX(#REF!,A361))+LEN(INDEX(#REF!,A361))&gt;0,LEN(INDEX(#REF!,A361-1))+LEN(INDEX(#REF!,A361-1))+LEN(INDEX(#REF!,A361-1))+LEN(INDEX(#REF!,A361-1))=0),$B$127,""),"")</f>
        <v/>
      </c>
      <c r="D361" s="195" t="str">
        <f>IFERROR(IF(AND(INDEX(#REF!,A361)="",OR(INDEX(#REF!,A361)&gt;0,INDEX(#REF!,A361)&gt;0,INDEX(#REF!,A361)&gt;0)),$B$152,""),"")</f>
        <v/>
      </c>
      <c r="E361" s="195" t="e">
        <f>SUBSTITUTE(IF(INDEX(#REF!,A361)&gt;IFERROR(INDEX(salaries_other_inst[Max hourly rate],MATCH(INDEX(#REF!,A361),salaries_other_inst[category],0),1),""),$B$153,""),"&lt;&lt;max_hourly_rate&gt;&gt;",TEXT(IFERROR(INDEX(salaries_other_inst[Max hourly rate],MATCH(INDEX(#REF!,A361),salaries_other_inst[category],0),1),""),"€ #"))</f>
        <v>#REF!</v>
      </c>
      <c r="F361" s="195" t="str">
        <f>IFERROR(IF(AND(INDEX(#REF!,A361)&lt;&gt;"",INDEX(#REF!,A361)=0),$B$155,""),"")</f>
        <v/>
      </c>
      <c r="G361" s="195" t="str">
        <f>IFERROR(IF(12*INDEX(#REF!,A361)/INDEX(#REF!,A361)&gt;pers_other_nrhours_year,checks!$B$156,""),"")</f>
        <v/>
      </c>
      <c r="H361" t="e">
        <f>IF(AND(organisation_type="yes",INDEX(#REF!,A361,1)&lt;&gt;"",ISBLANK(INDEX(#REF!,A361,1))),$B$146,"")</f>
        <v>#REF!</v>
      </c>
      <c r="I361" t="e">
        <f>IF(AND(organisation_name="yes",INDEX(#REF!,A361,1)&lt;&gt;"",ISBLANK(INDEX(#REF!,A361,1))),$B$147,"")</f>
        <v>#REF!</v>
      </c>
    </row>
    <row r="362" spans="1:9" hidden="1" outlineLevel="1" x14ac:dyDescent="0.35">
      <c r="A362" s="195">
        <v>51</v>
      </c>
      <c r="B362" s="195" t="str">
        <f t="array" ref="B362">IFERROR(INDEX(personnel_other_inst[[#This Row],[Empty lines]:[Name organisation]],1,MATCH(TRUE,LEN(personnel_other_inst[[#This Row],[Empty lines]:[Name organisation]])&gt;0,0)),"")</f>
        <v/>
      </c>
      <c r="C362" s="195" t="str">
        <f>IFERROR(IF(AND(LEN(INDEX(#REF!,A362))+LEN(INDEX(#REF!,A362))+LEN(INDEX(#REF!,A362))+LEN(INDEX(#REF!,A362))&gt;0,LEN(INDEX(#REF!,A362-1))+LEN(INDEX(#REF!,A362-1))+LEN(INDEX(#REF!,A362-1))+LEN(INDEX(#REF!,A362-1))=0),$B$127,""),"")</f>
        <v/>
      </c>
      <c r="D362" s="195" t="str">
        <f>IFERROR(IF(AND(INDEX(#REF!,A362)="",OR(INDEX(#REF!,A362)&gt;0,INDEX(#REF!,A362)&gt;0,INDEX(#REF!,A362)&gt;0)),$B$152,""),"")</f>
        <v/>
      </c>
      <c r="E362" s="195" t="e">
        <f>SUBSTITUTE(IF(INDEX(#REF!,A362)&gt;IFERROR(INDEX(salaries_other_inst[Max hourly rate],MATCH(INDEX(#REF!,A362),salaries_other_inst[category],0),1),""),$B$153,""),"&lt;&lt;max_hourly_rate&gt;&gt;",TEXT(IFERROR(INDEX(salaries_other_inst[Max hourly rate],MATCH(INDEX(#REF!,A362),salaries_other_inst[category],0),1),""),"€ #"))</f>
        <v>#REF!</v>
      </c>
      <c r="F362" s="195" t="str">
        <f>IFERROR(IF(AND(INDEX(#REF!,A362)&lt;&gt;"",INDEX(#REF!,A362)=0),$B$155,""),"")</f>
        <v/>
      </c>
      <c r="G362" s="195" t="str">
        <f>IFERROR(IF(12*INDEX(#REF!,A362)/INDEX(#REF!,A362)&gt;pers_other_nrhours_year,checks!$B$156,""),"")</f>
        <v/>
      </c>
      <c r="H362" t="e">
        <f>IF(AND(organisation_type="yes",INDEX(#REF!,A362,1)&lt;&gt;"",ISBLANK(INDEX(#REF!,A362,1))),$B$146,"")</f>
        <v>#REF!</v>
      </c>
      <c r="I362" t="e">
        <f>IF(AND(organisation_name="yes",INDEX(#REF!,A362,1)&lt;&gt;"",ISBLANK(INDEX(#REF!,A362,1))),$B$147,"")</f>
        <v>#REF!</v>
      </c>
    </row>
    <row r="363" spans="1:9" hidden="1" outlineLevel="1" x14ac:dyDescent="0.35">
      <c r="A363" s="195">
        <v>52</v>
      </c>
      <c r="B363" s="195" t="str">
        <f t="array" ref="B363">IFERROR(INDEX(personnel_other_inst[[#This Row],[Empty lines]:[Name organisation]],1,MATCH(TRUE,LEN(personnel_other_inst[[#This Row],[Empty lines]:[Name organisation]])&gt;0,0)),"")</f>
        <v/>
      </c>
      <c r="C363" s="195" t="str">
        <f>IFERROR(IF(AND(LEN(INDEX(#REF!,A363))+LEN(INDEX(#REF!,A363))+LEN(INDEX(#REF!,A363))+LEN(INDEX(#REF!,A363))&gt;0,LEN(INDEX(#REF!,A363-1))+LEN(INDEX(#REF!,A363-1))+LEN(INDEX(#REF!,A363-1))+LEN(INDEX(#REF!,A363-1))=0),$B$127,""),"")</f>
        <v/>
      </c>
      <c r="D363" s="195" t="str">
        <f>IFERROR(IF(AND(INDEX(#REF!,A363)="",OR(INDEX(#REF!,A363)&gt;0,INDEX(#REF!,A363)&gt;0,INDEX(#REF!,A363)&gt;0)),$B$152,""),"")</f>
        <v/>
      </c>
      <c r="E363" s="195" t="e">
        <f>SUBSTITUTE(IF(INDEX(#REF!,A363)&gt;IFERROR(INDEX(salaries_other_inst[Max hourly rate],MATCH(INDEX(#REF!,A363),salaries_other_inst[category],0),1),""),$B$153,""),"&lt;&lt;max_hourly_rate&gt;&gt;",TEXT(IFERROR(INDEX(salaries_other_inst[Max hourly rate],MATCH(INDEX(#REF!,A363),salaries_other_inst[category],0),1),""),"€ #"))</f>
        <v>#REF!</v>
      </c>
      <c r="F363" s="195" t="str">
        <f>IFERROR(IF(AND(INDEX(#REF!,A363)&lt;&gt;"",INDEX(#REF!,A363)=0),$B$155,""),"")</f>
        <v/>
      </c>
      <c r="G363" s="195" t="str">
        <f>IFERROR(IF(12*INDEX(#REF!,A363)/INDEX(#REF!,A363)&gt;pers_other_nrhours_year,checks!$B$156,""),"")</f>
        <v/>
      </c>
      <c r="H363" t="e">
        <f>IF(AND(organisation_type="yes",INDEX(#REF!,A363,1)&lt;&gt;"",ISBLANK(INDEX(#REF!,A363,1))),$B$146,"")</f>
        <v>#REF!</v>
      </c>
      <c r="I363" t="e">
        <f>IF(AND(organisation_name="yes",INDEX(#REF!,A363,1)&lt;&gt;"",ISBLANK(INDEX(#REF!,A363,1))),$B$147,"")</f>
        <v>#REF!</v>
      </c>
    </row>
    <row r="364" spans="1:9" hidden="1" outlineLevel="1" x14ac:dyDescent="0.35">
      <c r="A364" s="195">
        <v>53</v>
      </c>
      <c r="B364" s="195" t="str">
        <f t="array" ref="B364">IFERROR(INDEX(personnel_other_inst[[#This Row],[Empty lines]:[Name organisation]],1,MATCH(TRUE,LEN(personnel_other_inst[[#This Row],[Empty lines]:[Name organisation]])&gt;0,0)),"")</f>
        <v/>
      </c>
      <c r="C364" s="195" t="str">
        <f>IFERROR(IF(AND(LEN(INDEX(#REF!,A364))+LEN(INDEX(#REF!,A364))+LEN(INDEX(#REF!,A364))+LEN(INDEX(#REF!,A364))&gt;0,LEN(INDEX(#REF!,A364-1))+LEN(INDEX(#REF!,A364-1))+LEN(INDEX(#REF!,A364-1))+LEN(INDEX(#REF!,A364-1))=0),$B$127,""),"")</f>
        <v/>
      </c>
      <c r="D364" s="195" t="str">
        <f>IFERROR(IF(AND(INDEX(#REF!,A364)="",OR(INDEX(#REF!,A364)&gt;0,INDEX(#REF!,A364)&gt;0,INDEX(#REF!,A364)&gt;0)),$B$152,""),"")</f>
        <v/>
      </c>
      <c r="E364" s="195" t="e">
        <f>SUBSTITUTE(IF(INDEX(#REF!,A364)&gt;IFERROR(INDEX(salaries_other_inst[Max hourly rate],MATCH(INDEX(#REF!,A364),salaries_other_inst[category],0),1),""),$B$153,""),"&lt;&lt;max_hourly_rate&gt;&gt;",TEXT(IFERROR(INDEX(salaries_other_inst[Max hourly rate],MATCH(INDEX(#REF!,A364),salaries_other_inst[category],0),1),""),"€ #"))</f>
        <v>#REF!</v>
      </c>
      <c r="F364" s="195" t="str">
        <f>IFERROR(IF(AND(INDEX(#REF!,A364)&lt;&gt;"",INDEX(#REF!,A364)=0),$B$155,""),"")</f>
        <v/>
      </c>
      <c r="G364" s="195" t="str">
        <f>IFERROR(IF(12*INDEX(#REF!,A364)/INDEX(#REF!,A364)&gt;pers_other_nrhours_year,checks!$B$156,""),"")</f>
        <v/>
      </c>
      <c r="H364" t="e">
        <f>IF(AND(organisation_type="yes",INDEX(#REF!,A364,1)&lt;&gt;"",ISBLANK(INDEX(#REF!,A364,1))),$B$146,"")</f>
        <v>#REF!</v>
      </c>
      <c r="I364" t="e">
        <f>IF(AND(organisation_name="yes",INDEX(#REF!,A364,1)&lt;&gt;"",ISBLANK(INDEX(#REF!,A364,1))),$B$147,"")</f>
        <v>#REF!</v>
      </c>
    </row>
    <row r="365" spans="1:9" hidden="1" outlineLevel="1" x14ac:dyDescent="0.35">
      <c r="A365" s="195">
        <v>54</v>
      </c>
      <c r="B365" s="195" t="str">
        <f t="array" ref="B365">IFERROR(INDEX(personnel_other_inst[[#This Row],[Empty lines]:[Name organisation]],1,MATCH(TRUE,LEN(personnel_other_inst[[#This Row],[Empty lines]:[Name organisation]])&gt;0,0)),"")</f>
        <v/>
      </c>
      <c r="C365" s="195" t="str">
        <f>IFERROR(IF(AND(LEN(INDEX(#REF!,A365))+LEN(INDEX(#REF!,A365))+LEN(INDEX(#REF!,A365))+LEN(INDEX(#REF!,A365))&gt;0,LEN(INDEX(#REF!,A365-1))+LEN(INDEX(#REF!,A365-1))+LEN(INDEX(#REF!,A365-1))+LEN(INDEX(#REF!,A365-1))=0),$B$127,""),"")</f>
        <v/>
      </c>
      <c r="D365" s="195" t="str">
        <f>IFERROR(IF(AND(INDEX(#REF!,A365)="",OR(INDEX(#REF!,A365)&gt;0,INDEX(#REF!,A365)&gt;0,INDEX(#REF!,A365)&gt;0)),$B$152,""),"")</f>
        <v/>
      </c>
      <c r="E365" s="195" t="e">
        <f>SUBSTITUTE(IF(INDEX(#REF!,A365)&gt;IFERROR(INDEX(salaries_other_inst[Max hourly rate],MATCH(INDEX(#REF!,A365),salaries_other_inst[category],0),1),""),$B$153,""),"&lt;&lt;max_hourly_rate&gt;&gt;",TEXT(IFERROR(INDEX(salaries_other_inst[Max hourly rate],MATCH(INDEX(#REF!,A365),salaries_other_inst[category],0),1),""),"€ #"))</f>
        <v>#REF!</v>
      </c>
      <c r="F365" s="195" t="str">
        <f>IFERROR(IF(AND(INDEX(#REF!,A365)&lt;&gt;"",INDEX(#REF!,A365)=0),$B$155,""),"")</f>
        <v/>
      </c>
      <c r="G365" s="195" t="str">
        <f>IFERROR(IF(12*INDEX(#REF!,A365)/INDEX(#REF!,A365)&gt;pers_other_nrhours_year,checks!$B$156,""),"")</f>
        <v/>
      </c>
      <c r="H365" t="e">
        <f>IF(AND(organisation_type="yes",INDEX(#REF!,A365,1)&lt;&gt;"",ISBLANK(INDEX(#REF!,A365,1))),$B$146,"")</f>
        <v>#REF!</v>
      </c>
      <c r="I365" t="e">
        <f>IF(AND(organisation_name="yes",INDEX(#REF!,A365,1)&lt;&gt;"",ISBLANK(INDEX(#REF!,A365,1))),$B$147,"")</f>
        <v>#REF!</v>
      </c>
    </row>
    <row r="366" spans="1:9" hidden="1" outlineLevel="1" x14ac:dyDescent="0.35">
      <c r="A366" s="195">
        <v>55</v>
      </c>
      <c r="B366" s="195" t="str">
        <f t="array" ref="B366">IFERROR(INDEX(personnel_other_inst[[#This Row],[Empty lines]:[Name organisation]],1,MATCH(TRUE,LEN(personnel_other_inst[[#This Row],[Empty lines]:[Name organisation]])&gt;0,0)),"")</f>
        <v/>
      </c>
      <c r="C366" s="195" t="str">
        <f>IFERROR(IF(AND(LEN(INDEX(#REF!,A366))+LEN(INDEX(#REF!,A366))+LEN(INDEX(#REF!,A366))+LEN(INDEX(#REF!,A366))&gt;0,LEN(INDEX(#REF!,A366-1))+LEN(INDEX(#REF!,A366-1))+LEN(INDEX(#REF!,A366-1))+LEN(INDEX(#REF!,A366-1))=0),$B$127,""),"")</f>
        <v/>
      </c>
      <c r="D366" s="195" t="str">
        <f>IFERROR(IF(AND(INDEX(#REF!,A366)="",OR(INDEX(#REF!,A366)&gt;0,INDEX(#REF!,A366)&gt;0,INDEX(#REF!,A366)&gt;0)),$B$152,""),"")</f>
        <v/>
      </c>
      <c r="E366" s="195" t="e">
        <f>SUBSTITUTE(IF(INDEX(#REF!,A366)&gt;IFERROR(INDEX(salaries_other_inst[Max hourly rate],MATCH(INDEX(#REF!,A366),salaries_other_inst[category],0),1),""),$B$153,""),"&lt;&lt;max_hourly_rate&gt;&gt;",TEXT(IFERROR(INDEX(salaries_other_inst[Max hourly rate],MATCH(INDEX(#REF!,A366),salaries_other_inst[category],0),1),""),"€ #"))</f>
        <v>#REF!</v>
      </c>
      <c r="F366" s="195" t="str">
        <f>IFERROR(IF(AND(INDEX(#REF!,A366)&lt;&gt;"",INDEX(#REF!,A366)=0),$B$155,""),"")</f>
        <v/>
      </c>
      <c r="G366" s="195" t="str">
        <f>IFERROR(IF(12*INDEX(#REF!,A366)/INDEX(#REF!,A366)&gt;pers_other_nrhours_year,checks!$B$156,""),"")</f>
        <v/>
      </c>
      <c r="H366" t="e">
        <f>IF(AND(organisation_type="yes",INDEX(#REF!,A366,1)&lt;&gt;"",ISBLANK(INDEX(#REF!,A366,1))),$B$146,"")</f>
        <v>#REF!</v>
      </c>
      <c r="I366" t="e">
        <f>IF(AND(organisation_name="yes",INDEX(#REF!,A366,1)&lt;&gt;"",ISBLANK(INDEX(#REF!,A366,1))),$B$147,"")</f>
        <v>#REF!</v>
      </c>
    </row>
    <row r="367" spans="1:9" hidden="1" outlineLevel="1" x14ac:dyDescent="0.35">
      <c r="A367" s="195">
        <v>56</v>
      </c>
      <c r="B367" s="195" t="str">
        <f t="array" ref="B367">IFERROR(INDEX(personnel_other_inst[[#This Row],[Empty lines]:[Name organisation]],1,MATCH(TRUE,LEN(personnel_other_inst[[#This Row],[Empty lines]:[Name organisation]])&gt;0,0)),"")</f>
        <v/>
      </c>
      <c r="C367" s="195" t="str">
        <f>IFERROR(IF(AND(LEN(INDEX(#REF!,A367))+LEN(INDEX(#REF!,A367))+LEN(INDEX(#REF!,A367))+LEN(INDEX(#REF!,A367))&gt;0,LEN(INDEX(#REF!,A367-1))+LEN(INDEX(#REF!,A367-1))+LEN(INDEX(#REF!,A367-1))+LEN(INDEX(#REF!,A367-1))=0),$B$127,""),"")</f>
        <v/>
      </c>
      <c r="D367" s="195" t="str">
        <f>IFERROR(IF(AND(INDEX(#REF!,A367)="",OR(INDEX(#REF!,A367)&gt;0,INDEX(#REF!,A367)&gt;0,INDEX(#REF!,A367)&gt;0)),$B$152,""),"")</f>
        <v/>
      </c>
      <c r="E367" s="195" t="e">
        <f>SUBSTITUTE(IF(INDEX(#REF!,A367)&gt;IFERROR(INDEX(salaries_other_inst[Max hourly rate],MATCH(INDEX(#REF!,A367),salaries_other_inst[category],0),1),""),$B$153,""),"&lt;&lt;max_hourly_rate&gt;&gt;",TEXT(IFERROR(INDEX(salaries_other_inst[Max hourly rate],MATCH(INDEX(#REF!,A367),salaries_other_inst[category],0),1),""),"€ #"))</f>
        <v>#REF!</v>
      </c>
      <c r="F367" s="195" t="str">
        <f>IFERROR(IF(AND(INDEX(#REF!,A367)&lt;&gt;"",INDEX(#REF!,A367)=0),$B$155,""),"")</f>
        <v/>
      </c>
      <c r="G367" s="195" t="str">
        <f>IFERROR(IF(12*INDEX(#REF!,A367)/INDEX(#REF!,A367)&gt;pers_other_nrhours_year,checks!$B$156,""),"")</f>
        <v/>
      </c>
      <c r="H367" t="e">
        <f>IF(AND(organisation_type="yes",INDEX(#REF!,A367,1)&lt;&gt;"",ISBLANK(INDEX(#REF!,A367,1))),$B$146,"")</f>
        <v>#REF!</v>
      </c>
      <c r="I367" t="e">
        <f>IF(AND(organisation_name="yes",INDEX(#REF!,A367,1)&lt;&gt;"",ISBLANK(INDEX(#REF!,A367,1))),$B$147,"")</f>
        <v>#REF!</v>
      </c>
    </row>
    <row r="368" spans="1:9" hidden="1" outlineLevel="1" x14ac:dyDescent="0.35">
      <c r="A368" s="195">
        <v>57</v>
      </c>
      <c r="B368" s="195" t="str">
        <f t="array" ref="B368">IFERROR(INDEX(personnel_other_inst[[#This Row],[Empty lines]:[Name organisation]],1,MATCH(TRUE,LEN(personnel_other_inst[[#This Row],[Empty lines]:[Name organisation]])&gt;0,0)),"")</f>
        <v/>
      </c>
      <c r="C368" s="195" t="str">
        <f>IFERROR(IF(AND(LEN(INDEX(#REF!,A368))+LEN(INDEX(#REF!,A368))+LEN(INDEX(#REF!,A368))+LEN(INDEX(#REF!,A368))&gt;0,LEN(INDEX(#REF!,A368-1))+LEN(INDEX(#REF!,A368-1))+LEN(INDEX(#REF!,A368-1))+LEN(INDEX(#REF!,A368-1))=0),$B$127,""),"")</f>
        <v/>
      </c>
      <c r="D368" s="195" t="str">
        <f>IFERROR(IF(AND(INDEX(#REF!,A368)="",OR(INDEX(#REF!,A368)&gt;0,INDEX(#REF!,A368)&gt;0,INDEX(#REF!,A368)&gt;0)),$B$152,""),"")</f>
        <v/>
      </c>
      <c r="E368" s="195" t="e">
        <f>SUBSTITUTE(IF(INDEX(#REF!,A368)&gt;IFERROR(INDEX(salaries_other_inst[Max hourly rate],MATCH(INDEX(#REF!,A368),salaries_other_inst[category],0),1),""),$B$153,""),"&lt;&lt;max_hourly_rate&gt;&gt;",TEXT(IFERROR(INDEX(salaries_other_inst[Max hourly rate],MATCH(INDEX(#REF!,A368),salaries_other_inst[category],0),1),""),"€ #"))</f>
        <v>#REF!</v>
      </c>
      <c r="F368" s="195" t="str">
        <f>IFERROR(IF(AND(INDEX(#REF!,A368)&lt;&gt;"",INDEX(#REF!,A368)=0),$B$155,""),"")</f>
        <v/>
      </c>
      <c r="G368" s="195" t="str">
        <f>IFERROR(IF(12*INDEX(#REF!,A368)/INDEX(#REF!,A368)&gt;pers_other_nrhours_year,checks!$B$156,""),"")</f>
        <v/>
      </c>
      <c r="H368" t="e">
        <f>IF(AND(organisation_type="yes",INDEX(#REF!,A368,1)&lt;&gt;"",ISBLANK(INDEX(#REF!,A368,1))),$B$146,"")</f>
        <v>#REF!</v>
      </c>
      <c r="I368" t="e">
        <f>IF(AND(organisation_name="yes",INDEX(#REF!,A368,1)&lt;&gt;"",ISBLANK(INDEX(#REF!,A368,1))),$B$147,"")</f>
        <v>#REF!</v>
      </c>
    </row>
    <row r="369" spans="1:9" hidden="1" outlineLevel="1" x14ac:dyDescent="0.35">
      <c r="A369" s="195">
        <v>58</v>
      </c>
      <c r="B369" s="195" t="str">
        <f t="array" ref="B369">IFERROR(INDEX(personnel_other_inst[[#This Row],[Empty lines]:[Name organisation]],1,MATCH(TRUE,LEN(personnel_other_inst[[#This Row],[Empty lines]:[Name organisation]])&gt;0,0)),"")</f>
        <v/>
      </c>
      <c r="C369" s="195" t="str">
        <f>IFERROR(IF(AND(LEN(INDEX(#REF!,A369))+LEN(INDEX(#REF!,A369))+LEN(INDEX(#REF!,A369))+LEN(INDEX(#REF!,A369))&gt;0,LEN(INDEX(#REF!,A369-1))+LEN(INDEX(#REF!,A369-1))+LEN(INDEX(#REF!,A369-1))+LEN(INDEX(#REF!,A369-1))=0),$B$127,""),"")</f>
        <v/>
      </c>
      <c r="D369" s="195" t="str">
        <f>IFERROR(IF(AND(INDEX(#REF!,A369)="",OR(INDEX(#REF!,A369)&gt;0,INDEX(#REF!,A369)&gt;0,INDEX(#REF!,A369)&gt;0)),$B$152,""),"")</f>
        <v/>
      </c>
      <c r="E369" s="195" t="e">
        <f>SUBSTITUTE(IF(INDEX(#REF!,A369)&gt;IFERROR(INDEX(salaries_other_inst[Max hourly rate],MATCH(INDEX(#REF!,A369),salaries_other_inst[category],0),1),""),$B$153,""),"&lt;&lt;max_hourly_rate&gt;&gt;",TEXT(IFERROR(INDEX(salaries_other_inst[Max hourly rate],MATCH(INDEX(#REF!,A369),salaries_other_inst[category],0),1),""),"€ #"))</f>
        <v>#REF!</v>
      </c>
      <c r="F369" s="195" t="str">
        <f>IFERROR(IF(AND(INDEX(#REF!,A369)&lt;&gt;"",INDEX(#REF!,A369)=0),$B$155,""),"")</f>
        <v/>
      </c>
      <c r="G369" s="195" t="str">
        <f>IFERROR(IF(12*INDEX(#REF!,A369)/INDEX(#REF!,A369)&gt;pers_other_nrhours_year,checks!$B$156,""),"")</f>
        <v/>
      </c>
      <c r="H369" t="e">
        <f>IF(AND(organisation_type="yes",INDEX(#REF!,A369,1)&lt;&gt;"",ISBLANK(INDEX(#REF!,A369,1))),$B$146,"")</f>
        <v>#REF!</v>
      </c>
      <c r="I369" t="e">
        <f>IF(AND(organisation_name="yes",INDEX(#REF!,A369,1)&lt;&gt;"",ISBLANK(INDEX(#REF!,A369,1))),$B$147,"")</f>
        <v>#REF!</v>
      </c>
    </row>
    <row r="370" spans="1:9" hidden="1" outlineLevel="1" x14ac:dyDescent="0.35">
      <c r="A370" s="195">
        <v>59</v>
      </c>
      <c r="B370" s="195" t="str">
        <f t="array" ref="B370">IFERROR(INDEX(personnel_other_inst[[#This Row],[Empty lines]:[Name organisation]],1,MATCH(TRUE,LEN(personnel_other_inst[[#This Row],[Empty lines]:[Name organisation]])&gt;0,0)),"")</f>
        <v/>
      </c>
      <c r="C370" s="195" t="str">
        <f>IFERROR(IF(AND(LEN(INDEX(#REF!,A370))+LEN(INDEX(#REF!,A370))+LEN(INDEX(#REF!,A370))+LEN(INDEX(#REF!,A370))&gt;0,LEN(INDEX(#REF!,A370-1))+LEN(INDEX(#REF!,A370-1))+LEN(INDEX(#REF!,A370-1))+LEN(INDEX(#REF!,A370-1))=0),$B$127,""),"")</f>
        <v/>
      </c>
      <c r="D370" s="195" t="str">
        <f>IFERROR(IF(AND(INDEX(#REF!,A370)="",OR(INDEX(#REF!,A370)&gt;0,INDEX(#REF!,A370)&gt;0,INDEX(#REF!,A370)&gt;0)),$B$152,""),"")</f>
        <v/>
      </c>
      <c r="E370" s="195" t="e">
        <f>SUBSTITUTE(IF(INDEX(#REF!,A370)&gt;IFERROR(INDEX(salaries_other_inst[Max hourly rate],MATCH(INDEX(#REF!,A370),salaries_other_inst[category],0),1),""),$B$153,""),"&lt;&lt;max_hourly_rate&gt;&gt;",TEXT(IFERROR(INDEX(salaries_other_inst[Max hourly rate],MATCH(INDEX(#REF!,A370),salaries_other_inst[category],0),1),""),"€ #"))</f>
        <v>#REF!</v>
      </c>
      <c r="F370" s="195" t="str">
        <f>IFERROR(IF(AND(INDEX(#REF!,A370)&lt;&gt;"",INDEX(#REF!,A370)=0),$B$155,""),"")</f>
        <v/>
      </c>
      <c r="G370" s="195" t="str">
        <f>IFERROR(IF(12*INDEX(#REF!,A370)/INDEX(#REF!,A370)&gt;pers_other_nrhours_year,checks!$B$156,""),"")</f>
        <v/>
      </c>
      <c r="H370" t="e">
        <f>IF(AND(organisation_type="yes",INDEX(#REF!,A370,1)&lt;&gt;"",ISBLANK(INDEX(#REF!,A370,1))),$B$146,"")</f>
        <v>#REF!</v>
      </c>
      <c r="I370" t="e">
        <f>IF(AND(organisation_name="yes",INDEX(#REF!,A370,1)&lt;&gt;"",ISBLANK(INDEX(#REF!,A370,1))),$B$147,"")</f>
        <v>#REF!</v>
      </c>
    </row>
    <row r="371" spans="1:9" hidden="1" outlineLevel="1" x14ac:dyDescent="0.35">
      <c r="A371" s="195">
        <v>60</v>
      </c>
      <c r="B371" s="195" t="str">
        <f t="array" ref="B371">IFERROR(INDEX(personnel_other_inst[[#This Row],[Empty lines]:[Name organisation]],1,MATCH(TRUE,LEN(personnel_other_inst[[#This Row],[Empty lines]:[Name organisation]])&gt;0,0)),"")</f>
        <v/>
      </c>
      <c r="C371" s="195" t="str">
        <f>IFERROR(IF(AND(LEN(INDEX(#REF!,A371))+LEN(INDEX(#REF!,A371))+LEN(INDEX(#REF!,A371))+LEN(INDEX(#REF!,A371))&gt;0,LEN(INDEX(#REF!,A371-1))+LEN(INDEX(#REF!,A371-1))+LEN(INDEX(#REF!,A371-1))+LEN(INDEX(#REF!,A371-1))=0),$B$127,""),"")</f>
        <v/>
      </c>
      <c r="D371" s="195" t="str">
        <f>IFERROR(IF(AND(INDEX(#REF!,A371)="",OR(INDEX(#REF!,A371)&gt;0,INDEX(#REF!,A371)&gt;0,INDEX(#REF!,A371)&gt;0)),$B$152,""),"")</f>
        <v/>
      </c>
      <c r="E371" s="195" t="e">
        <f>SUBSTITUTE(IF(INDEX(#REF!,A371)&gt;IFERROR(INDEX(salaries_other_inst[Max hourly rate],MATCH(INDEX(#REF!,A371),salaries_other_inst[category],0),1),""),$B$153,""),"&lt;&lt;max_hourly_rate&gt;&gt;",TEXT(IFERROR(INDEX(salaries_other_inst[Max hourly rate],MATCH(INDEX(#REF!,A371),salaries_other_inst[category],0),1),""),"€ #"))</f>
        <v>#REF!</v>
      </c>
      <c r="F371" s="195" t="str">
        <f>IFERROR(IF(AND(INDEX(#REF!,A371)&lt;&gt;"",INDEX(#REF!,A371)=0),$B$155,""),"")</f>
        <v/>
      </c>
      <c r="G371" s="195" t="str">
        <f>IFERROR(IF(12*INDEX(#REF!,A371)/INDEX(#REF!,A371)&gt;pers_other_nrhours_year,checks!$B$156,""),"")</f>
        <v/>
      </c>
      <c r="H371" t="e">
        <f>IF(AND(organisation_type="yes",INDEX(#REF!,A371,1)&lt;&gt;"",ISBLANK(INDEX(#REF!,A371,1))),$B$146,"")</f>
        <v>#REF!</v>
      </c>
      <c r="I371" t="e">
        <f>IF(AND(organisation_name="yes",INDEX(#REF!,A371,1)&lt;&gt;"",ISBLANK(INDEX(#REF!,A371,1))),$B$147,"")</f>
        <v>#REF!</v>
      </c>
    </row>
    <row r="372" spans="1:9" hidden="1" outlineLevel="1" x14ac:dyDescent="0.35">
      <c r="A372" s="195">
        <v>61</v>
      </c>
      <c r="B372" s="195" t="str">
        <f t="array" ref="B372">IFERROR(INDEX(personnel_other_inst[[#This Row],[Empty lines]:[Name organisation]],1,MATCH(TRUE,LEN(personnel_other_inst[[#This Row],[Empty lines]:[Name organisation]])&gt;0,0)),"")</f>
        <v/>
      </c>
      <c r="C372" s="195" t="str">
        <f>IFERROR(IF(AND(LEN(INDEX(#REF!,A372))+LEN(INDEX(#REF!,A372))+LEN(INDEX(#REF!,A372))+LEN(INDEX(#REF!,A372))&gt;0,LEN(INDEX(#REF!,A372-1))+LEN(INDEX(#REF!,A372-1))+LEN(INDEX(#REF!,A372-1))+LEN(INDEX(#REF!,A372-1))=0),$B$127,""),"")</f>
        <v/>
      </c>
      <c r="D372" s="195" t="str">
        <f>IFERROR(IF(AND(INDEX(#REF!,A372)="",OR(INDEX(#REF!,A372)&gt;0,INDEX(#REF!,A372)&gt;0,INDEX(#REF!,A372)&gt;0)),$B$152,""),"")</f>
        <v/>
      </c>
      <c r="E372" s="195" t="e">
        <f>SUBSTITUTE(IF(INDEX(#REF!,A372)&gt;IFERROR(INDEX(salaries_other_inst[Max hourly rate],MATCH(INDEX(#REF!,A372),salaries_other_inst[category],0),1),""),$B$153,""),"&lt;&lt;max_hourly_rate&gt;&gt;",TEXT(IFERROR(INDEX(salaries_other_inst[Max hourly rate],MATCH(INDEX(#REF!,A372),salaries_other_inst[category],0),1),""),"€ #"))</f>
        <v>#REF!</v>
      </c>
      <c r="F372" s="195" t="str">
        <f>IFERROR(IF(AND(INDEX(#REF!,A372)&lt;&gt;"",INDEX(#REF!,A372)=0),$B$155,""),"")</f>
        <v/>
      </c>
      <c r="G372" s="195" t="str">
        <f>IFERROR(IF(12*INDEX(#REF!,A372)/INDEX(#REF!,A372)&gt;pers_other_nrhours_year,checks!$B$156,""),"")</f>
        <v/>
      </c>
      <c r="H372" t="e">
        <f>IF(AND(organisation_type="yes",INDEX(#REF!,A372,1)&lt;&gt;"",ISBLANK(INDEX(#REF!,A372,1))),$B$146,"")</f>
        <v>#REF!</v>
      </c>
      <c r="I372" t="e">
        <f>IF(AND(organisation_name="yes",INDEX(#REF!,A372,1)&lt;&gt;"",ISBLANK(INDEX(#REF!,A372,1))),$B$147,"")</f>
        <v>#REF!</v>
      </c>
    </row>
    <row r="373" spans="1:9" hidden="1" outlineLevel="1" x14ac:dyDescent="0.35">
      <c r="A373" s="195">
        <v>62</v>
      </c>
      <c r="B373" s="195" t="str">
        <f t="array" ref="B373">IFERROR(INDEX(personnel_other_inst[[#This Row],[Empty lines]:[Name organisation]],1,MATCH(TRUE,LEN(personnel_other_inst[[#This Row],[Empty lines]:[Name organisation]])&gt;0,0)),"")</f>
        <v/>
      </c>
      <c r="C373" s="195" t="str">
        <f>IFERROR(IF(AND(LEN(INDEX(#REF!,A373))+LEN(INDEX(#REF!,A373))+LEN(INDEX(#REF!,A373))+LEN(INDEX(#REF!,A373))&gt;0,LEN(INDEX(#REF!,A373-1))+LEN(INDEX(#REF!,A373-1))+LEN(INDEX(#REF!,A373-1))+LEN(INDEX(#REF!,A373-1))=0),$B$127,""),"")</f>
        <v/>
      </c>
      <c r="D373" s="195" t="str">
        <f>IFERROR(IF(AND(INDEX(#REF!,A373)="",OR(INDEX(#REF!,A373)&gt;0,INDEX(#REF!,A373)&gt;0,INDEX(#REF!,A373)&gt;0)),$B$152,""),"")</f>
        <v/>
      </c>
      <c r="E373" s="195" t="e">
        <f>SUBSTITUTE(IF(INDEX(#REF!,A373)&gt;IFERROR(INDEX(salaries_other_inst[Max hourly rate],MATCH(INDEX(#REF!,A373),salaries_other_inst[category],0),1),""),$B$153,""),"&lt;&lt;max_hourly_rate&gt;&gt;",TEXT(IFERROR(INDEX(salaries_other_inst[Max hourly rate],MATCH(INDEX(#REF!,A373),salaries_other_inst[category],0),1),""),"€ #"))</f>
        <v>#REF!</v>
      </c>
      <c r="F373" s="195" t="str">
        <f>IFERROR(IF(AND(INDEX(#REF!,A373)&lt;&gt;"",INDEX(#REF!,A373)=0),$B$155,""),"")</f>
        <v/>
      </c>
      <c r="G373" s="195" t="str">
        <f>IFERROR(IF(12*INDEX(#REF!,A373)/INDEX(#REF!,A373)&gt;pers_other_nrhours_year,checks!$B$156,""),"")</f>
        <v/>
      </c>
      <c r="H373" t="e">
        <f>IF(AND(organisation_type="yes",INDEX(#REF!,A373,1)&lt;&gt;"",ISBLANK(INDEX(#REF!,A373,1))),$B$146,"")</f>
        <v>#REF!</v>
      </c>
      <c r="I373" t="e">
        <f>IF(AND(organisation_name="yes",INDEX(#REF!,A373,1)&lt;&gt;"",ISBLANK(INDEX(#REF!,A373,1))),$B$147,"")</f>
        <v>#REF!</v>
      </c>
    </row>
    <row r="374" spans="1:9" hidden="1" outlineLevel="1" x14ac:dyDescent="0.35">
      <c r="A374" s="195">
        <v>63</v>
      </c>
      <c r="B374" s="195" t="str">
        <f t="array" ref="B374">IFERROR(INDEX(personnel_other_inst[[#This Row],[Empty lines]:[Name organisation]],1,MATCH(TRUE,LEN(personnel_other_inst[[#This Row],[Empty lines]:[Name organisation]])&gt;0,0)),"")</f>
        <v/>
      </c>
      <c r="C374" s="195" t="str">
        <f>IFERROR(IF(AND(LEN(INDEX(#REF!,A374))+LEN(INDEX(#REF!,A374))+LEN(INDEX(#REF!,A374))+LEN(INDEX(#REF!,A374))&gt;0,LEN(INDEX(#REF!,A374-1))+LEN(INDEX(#REF!,A374-1))+LEN(INDEX(#REF!,A374-1))+LEN(INDEX(#REF!,A374-1))=0),$B$127,""),"")</f>
        <v/>
      </c>
      <c r="D374" s="195" t="str">
        <f>IFERROR(IF(AND(INDEX(#REF!,A374)="",OR(INDEX(#REF!,A374)&gt;0,INDEX(#REF!,A374)&gt;0,INDEX(#REF!,A374)&gt;0)),$B$152,""),"")</f>
        <v/>
      </c>
      <c r="E374" s="195" t="e">
        <f>SUBSTITUTE(IF(INDEX(#REF!,A374)&gt;IFERROR(INDEX(salaries_other_inst[Max hourly rate],MATCH(INDEX(#REF!,A374),salaries_other_inst[category],0),1),""),$B$153,""),"&lt;&lt;max_hourly_rate&gt;&gt;",TEXT(IFERROR(INDEX(salaries_other_inst[Max hourly rate],MATCH(INDEX(#REF!,A374),salaries_other_inst[category],0),1),""),"€ #"))</f>
        <v>#REF!</v>
      </c>
      <c r="F374" s="195" t="str">
        <f>IFERROR(IF(AND(INDEX(#REF!,A374)&lt;&gt;"",INDEX(#REF!,A374)=0),$B$155,""),"")</f>
        <v/>
      </c>
      <c r="G374" s="195" t="str">
        <f>IFERROR(IF(12*INDEX(#REF!,A374)/INDEX(#REF!,A374)&gt;pers_other_nrhours_year,checks!$B$156,""),"")</f>
        <v/>
      </c>
      <c r="H374" t="e">
        <f>IF(AND(organisation_type="yes",INDEX(#REF!,A374,1)&lt;&gt;"",ISBLANK(INDEX(#REF!,A374,1))),$B$146,"")</f>
        <v>#REF!</v>
      </c>
      <c r="I374" t="e">
        <f>IF(AND(organisation_name="yes",INDEX(#REF!,A374,1)&lt;&gt;"",ISBLANK(INDEX(#REF!,A374,1))),$B$147,"")</f>
        <v>#REF!</v>
      </c>
    </row>
    <row r="375" spans="1:9" hidden="1" outlineLevel="1" x14ac:dyDescent="0.35">
      <c r="A375" s="195">
        <v>64</v>
      </c>
      <c r="B375" s="195" t="str">
        <f t="array" ref="B375">IFERROR(INDEX(personnel_other_inst[[#This Row],[Empty lines]:[Name organisation]],1,MATCH(TRUE,LEN(personnel_other_inst[[#This Row],[Empty lines]:[Name organisation]])&gt;0,0)),"")</f>
        <v/>
      </c>
      <c r="C375" s="195" t="str">
        <f>IFERROR(IF(AND(LEN(INDEX(#REF!,A375))+LEN(INDEX(#REF!,A375))+LEN(INDEX(#REF!,A375))+LEN(INDEX(#REF!,A375))&gt;0,LEN(INDEX(#REF!,A375-1))+LEN(INDEX(#REF!,A375-1))+LEN(INDEX(#REF!,A375-1))+LEN(INDEX(#REF!,A375-1))=0),$B$127,""),"")</f>
        <v/>
      </c>
      <c r="D375" s="195" t="str">
        <f>IFERROR(IF(AND(INDEX(#REF!,A375)="",OR(INDEX(#REF!,A375)&gt;0,INDEX(#REF!,A375)&gt;0,INDEX(#REF!,A375)&gt;0)),$B$152,""),"")</f>
        <v/>
      </c>
      <c r="E375" s="195" t="e">
        <f>SUBSTITUTE(IF(INDEX(#REF!,A375)&gt;IFERROR(INDEX(salaries_other_inst[Max hourly rate],MATCH(INDEX(#REF!,A375),salaries_other_inst[category],0),1),""),$B$153,""),"&lt;&lt;max_hourly_rate&gt;&gt;",TEXT(IFERROR(INDEX(salaries_other_inst[Max hourly rate],MATCH(INDEX(#REF!,A375),salaries_other_inst[category],0),1),""),"€ #"))</f>
        <v>#REF!</v>
      </c>
      <c r="F375" s="195" t="str">
        <f>IFERROR(IF(AND(INDEX(#REF!,A375)&lt;&gt;"",INDEX(#REF!,A375)=0),$B$155,""),"")</f>
        <v/>
      </c>
      <c r="G375" s="195" t="str">
        <f>IFERROR(IF(12*INDEX(#REF!,A375)/INDEX(#REF!,A375)&gt;pers_other_nrhours_year,checks!$B$156,""),"")</f>
        <v/>
      </c>
      <c r="H375" t="e">
        <f>IF(AND(organisation_type="yes",INDEX(#REF!,A375,1)&lt;&gt;"",ISBLANK(INDEX(#REF!,A375,1))),$B$146,"")</f>
        <v>#REF!</v>
      </c>
      <c r="I375" t="e">
        <f>IF(AND(organisation_name="yes",INDEX(#REF!,A375,1)&lt;&gt;"",ISBLANK(INDEX(#REF!,A375,1))),$B$147,"")</f>
        <v>#REF!</v>
      </c>
    </row>
    <row r="376" spans="1:9" hidden="1" outlineLevel="1" x14ac:dyDescent="0.35">
      <c r="A376" s="195">
        <v>65</v>
      </c>
      <c r="B376" s="195" t="str">
        <f t="array" ref="B376">IFERROR(INDEX(personnel_other_inst[[#This Row],[Empty lines]:[Name organisation]],1,MATCH(TRUE,LEN(personnel_other_inst[[#This Row],[Empty lines]:[Name organisation]])&gt;0,0)),"")</f>
        <v/>
      </c>
      <c r="C376" s="195" t="str">
        <f>IFERROR(IF(AND(LEN(INDEX(#REF!,A376))+LEN(INDEX(#REF!,A376))+LEN(INDEX(#REF!,A376))+LEN(INDEX(#REF!,A376))&gt;0,LEN(INDEX(#REF!,A376-1))+LEN(INDEX(#REF!,A376-1))+LEN(INDEX(#REF!,A376-1))+LEN(INDEX(#REF!,A376-1))=0),$B$127,""),"")</f>
        <v/>
      </c>
      <c r="D376" s="195" t="str">
        <f>IFERROR(IF(AND(INDEX(#REF!,A376)="",OR(INDEX(#REF!,A376)&gt;0,INDEX(#REF!,A376)&gt;0,INDEX(#REF!,A376)&gt;0)),$B$152,""),"")</f>
        <v/>
      </c>
      <c r="E376" s="195" t="e">
        <f>SUBSTITUTE(IF(INDEX(#REF!,A376)&gt;IFERROR(INDEX(salaries_other_inst[Max hourly rate],MATCH(INDEX(#REF!,A376),salaries_other_inst[category],0),1),""),$B$153,""),"&lt;&lt;max_hourly_rate&gt;&gt;",TEXT(IFERROR(INDEX(salaries_other_inst[Max hourly rate],MATCH(INDEX(#REF!,A376),salaries_other_inst[category],0),1),""),"€ #"))</f>
        <v>#REF!</v>
      </c>
      <c r="F376" s="195" t="str">
        <f>IFERROR(IF(AND(INDEX(#REF!,A376)&lt;&gt;"",INDEX(#REF!,A376)=0),$B$155,""),"")</f>
        <v/>
      </c>
      <c r="G376" s="195" t="str">
        <f>IFERROR(IF(12*INDEX(#REF!,A376)/INDEX(#REF!,A376)&gt;pers_other_nrhours_year,checks!$B$156,""),"")</f>
        <v/>
      </c>
      <c r="H376" t="e">
        <f>IF(AND(organisation_type="yes",INDEX(#REF!,A376,1)&lt;&gt;"",ISBLANK(INDEX(#REF!,A376,1))),$B$146,"")</f>
        <v>#REF!</v>
      </c>
      <c r="I376" t="e">
        <f>IF(AND(organisation_name="yes",INDEX(#REF!,A376,1)&lt;&gt;"",ISBLANK(INDEX(#REF!,A376,1))),$B$147,"")</f>
        <v>#REF!</v>
      </c>
    </row>
    <row r="377" spans="1:9" hidden="1" outlineLevel="1" x14ac:dyDescent="0.35">
      <c r="A377" s="195">
        <v>66</v>
      </c>
      <c r="B377" s="195" t="str">
        <f t="array" ref="B377">IFERROR(INDEX(personnel_other_inst[[#This Row],[Empty lines]:[Name organisation]],1,MATCH(TRUE,LEN(personnel_other_inst[[#This Row],[Empty lines]:[Name organisation]])&gt;0,0)),"")</f>
        <v/>
      </c>
      <c r="C377" s="195" t="str">
        <f>IFERROR(IF(AND(LEN(INDEX(#REF!,A377))+LEN(INDEX(#REF!,A377))+LEN(INDEX(#REF!,A377))+LEN(INDEX(#REF!,A377))&gt;0,LEN(INDEX(#REF!,A377-1))+LEN(INDEX(#REF!,A377-1))+LEN(INDEX(#REF!,A377-1))+LEN(INDEX(#REF!,A377-1))=0),$B$127,""),"")</f>
        <v/>
      </c>
      <c r="D377" s="195" t="str">
        <f>IFERROR(IF(AND(INDEX(#REF!,A377)="",OR(INDEX(#REF!,A377)&gt;0,INDEX(#REF!,A377)&gt;0,INDEX(#REF!,A377)&gt;0)),$B$152,""),"")</f>
        <v/>
      </c>
      <c r="E377" s="195" t="e">
        <f>SUBSTITUTE(IF(INDEX(#REF!,A377)&gt;IFERROR(INDEX(salaries_other_inst[Max hourly rate],MATCH(INDEX(#REF!,A377),salaries_other_inst[category],0),1),""),$B$153,""),"&lt;&lt;max_hourly_rate&gt;&gt;",TEXT(IFERROR(INDEX(salaries_other_inst[Max hourly rate],MATCH(INDEX(#REF!,A377),salaries_other_inst[category],0),1),""),"€ #"))</f>
        <v>#REF!</v>
      </c>
      <c r="F377" s="195" t="str">
        <f>IFERROR(IF(AND(INDEX(#REF!,A377)&lt;&gt;"",INDEX(#REF!,A377)=0),$B$155,""),"")</f>
        <v/>
      </c>
      <c r="G377" s="195" t="str">
        <f>IFERROR(IF(12*INDEX(#REF!,A377)/INDEX(#REF!,A377)&gt;pers_other_nrhours_year,checks!$B$156,""),"")</f>
        <v/>
      </c>
      <c r="H377" t="e">
        <f>IF(AND(organisation_type="yes",INDEX(#REF!,A377,1)&lt;&gt;"",ISBLANK(INDEX(#REF!,A377,1))),$B$146,"")</f>
        <v>#REF!</v>
      </c>
      <c r="I377" t="e">
        <f>IF(AND(organisation_name="yes",INDEX(#REF!,A377,1)&lt;&gt;"",ISBLANK(INDEX(#REF!,A377,1))),$B$147,"")</f>
        <v>#REF!</v>
      </c>
    </row>
    <row r="378" spans="1:9" hidden="1" outlineLevel="1" x14ac:dyDescent="0.35">
      <c r="A378" s="195">
        <v>67</v>
      </c>
      <c r="B378" s="195" t="str">
        <f t="array" ref="B378">IFERROR(INDEX(personnel_other_inst[[#This Row],[Empty lines]:[Name organisation]],1,MATCH(TRUE,LEN(personnel_other_inst[[#This Row],[Empty lines]:[Name organisation]])&gt;0,0)),"")</f>
        <v/>
      </c>
      <c r="C378" s="195" t="str">
        <f>IFERROR(IF(AND(LEN(INDEX(#REF!,A378))+LEN(INDEX(#REF!,A378))+LEN(INDEX(#REF!,A378))+LEN(INDEX(#REF!,A378))&gt;0,LEN(INDEX(#REF!,A378-1))+LEN(INDEX(#REF!,A378-1))+LEN(INDEX(#REF!,A378-1))+LEN(INDEX(#REF!,A378-1))=0),$B$127,""),"")</f>
        <v/>
      </c>
      <c r="D378" s="195" t="str">
        <f>IFERROR(IF(AND(INDEX(#REF!,A378)="",OR(INDEX(#REF!,A378)&gt;0,INDEX(#REF!,A378)&gt;0,INDEX(#REF!,A378)&gt;0)),$B$152,""),"")</f>
        <v/>
      </c>
      <c r="E378" s="195" t="e">
        <f>SUBSTITUTE(IF(INDEX(#REF!,A378)&gt;IFERROR(INDEX(salaries_other_inst[Max hourly rate],MATCH(INDEX(#REF!,A378),salaries_other_inst[category],0),1),""),$B$153,""),"&lt;&lt;max_hourly_rate&gt;&gt;",TEXT(IFERROR(INDEX(salaries_other_inst[Max hourly rate],MATCH(INDEX(#REF!,A378),salaries_other_inst[category],0),1),""),"€ #"))</f>
        <v>#REF!</v>
      </c>
      <c r="F378" s="195" t="str">
        <f>IFERROR(IF(AND(INDEX(#REF!,A378)&lt;&gt;"",INDEX(#REF!,A378)=0),$B$155,""),"")</f>
        <v/>
      </c>
      <c r="G378" s="195" t="str">
        <f>IFERROR(IF(12*INDEX(#REF!,A378)/INDEX(#REF!,A378)&gt;pers_other_nrhours_year,checks!$B$156,""),"")</f>
        <v/>
      </c>
      <c r="H378" t="e">
        <f>IF(AND(organisation_type="yes",INDEX(#REF!,A378,1)&lt;&gt;"",ISBLANK(INDEX(#REF!,A378,1))),$B$146,"")</f>
        <v>#REF!</v>
      </c>
      <c r="I378" t="e">
        <f>IF(AND(organisation_name="yes",INDEX(#REF!,A378,1)&lt;&gt;"",ISBLANK(INDEX(#REF!,A378,1))),$B$147,"")</f>
        <v>#REF!</v>
      </c>
    </row>
    <row r="379" spans="1:9" hidden="1" outlineLevel="1" x14ac:dyDescent="0.35">
      <c r="A379" s="195">
        <v>68</v>
      </c>
      <c r="B379" s="195" t="str">
        <f t="array" ref="B379">IFERROR(INDEX(personnel_other_inst[[#This Row],[Empty lines]:[Name organisation]],1,MATCH(TRUE,LEN(personnel_other_inst[[#This Row],[Empty lines]:[Name organisation]])&gt;0,0)),"")</f>
        <v/>
      </c>
      <c r="C379" s="195" t="str">
        <f>IFERROR(IF(AND(LEN(INDEX(#REF!,A379))+LEN(INDEX(#REF!,A379))+LEN(INDEX(#REF!,A379))+LEN(INDEX(#REF!,A379))&gt;0,LEN(INDEX(#REF!,A379-1))+LEN(INDEX(#REF!,A379-1))+LEN(INDEX(#REF!,A379-1))+LEN(INDEX(#REF!,A379-1))=0),$B$127,""),"")</f>
        <v/>
      </c>
      <c r="D379" s="195" t="str">
        <f>IFERROR(IF(AND(INDEX(#REF!,A379)="",OR(INDEX(#REF!,A379)&gt;0,INDEX(#REF!,A379)&gt;0,INDEX(#REF!,A379)&gt;0)),$B$152,""),"")</f>
        <v/>
      </c>
      <c r="E379" s="195" t="e">
        <f>SUBSTITUTE(IF(INDEX(#REF!,A379)&gt;IFERROR(INDEX(salaries_other_inst[Max hourly rate],MATCH(INDEX(#REF!,A379),salaries_other_inst[category],0),1),""),$B$153,""),"&lt;&lt;max_hourly_rate&gt;&gt;",TEXT(IFERROR(INDEX(salaries_other_inst[Max hourly rate],MATCH(INDEX(#REF!,A379),salaries_other_inst[category],0),1),""),"€ #"))</f>
        <v>#REF!</v>
      </c>
      <c r="F379" s="195" t="str">
        <f>IFERROR(IF(AND(INDEX(#REF!,A379)&lt;&gt;"",INDEX(#REF!,A379)=0),$B$155,""),"")</f>
        <v/>
      </c>
      <c r="G379" s="195" t="str">
        <f>IFERROR(IF(12*INDEX(#REF!,A379)/INDEX(#REF!,A379)&gt;pers_other_nrhours_year,checks!$B$156,""),"")</f>
        <v/>
      </c>
      <c r="H379" t="e">
        <f>IF(AND(organisation_type="yes",INDEX(#REF!,A379,1)&lt;&gt;"",ISBLANK(INDEX(#REF!,A379,1))),$B$146,"")</f>
        <v>#REF!</v>
      </c>
      <c r="I379" t="e">
        <f>IF(AND(organisation_name="yes",INDEX(#REF!,A379,1)&lt;&gt;"",ISBLANK(INDEX(#REF!,A379,1))),$B$147,"")</f>
        <v>#REF!</v>
      </c>
    </row>
    <row r="380" spans="1:9" hidden="1" outlineLevel="1" x14ac:dyDescent="0.35">
      <c r="A380" s="195">
        <v>69</v>
      </c>
      <c r="B380" s="195" t="str">
        <f t="array" ref="B380">IFERROR(INDEX(personnel_other_inst[[#This Row],[Empty lines]:[Name organisation]],1,MATCH(TRUE,LEN(personnel_other_inst[[#This Row],[Empty lines]:[Name organisation]])&gt;0,0)),"")</f>
        <v/>
      </c>
      <c r="C380" s="195" t="str">
        <f>IFERROR(IF(AND(LEN(INDEX(#REF!,A380))+LEN(INDEX(#REF!,A380))+LEN(INDEX(#REF!,A380))+LEN(INDEX(#REF!,A380))&gt;0,LEN(INDEX(#REF!,A380-1))+LEN(INDEX(#REF!,A380-1))+LEN(INDEX(#REF!,A380-1))+LEN(INDEX(#REF!,A380-1))=0),$B$127,""),"")</f>
        <v/>
      </c>
      <c r="D380" s="195" t="str">
        <f>IFERROR(IF(AND(INDEX(#REF!,A380)="",OR(INDEX(#REF!,A380)&gt;0,INDEX(#REF!,A380)&gt;0,INDEX(#REF!,A380)&gt;0)),$B$152,""),"")</f>
        <v/>
      </c>
      <c r="E380" s="195" t="e">
        <f>SUBSTITUTE(IF(INDEX(#REF!,A380)&gt;IFERROR(INDEX(salaries_other_inst[Max hourly rate],MATCH(INDEX(#REF!,A380),salaries_other_inst[category],0),1),""),$B$153,""),"&lt;&lt;max_hourly_rate&gt;&gt;",TEXT(IFERROR(INDEX(salaries_other_inst[Max hourly rate],MATCH(INDEX(#REF!,A380),salaries_other_inst[category],0),1),""),"€ #"))</f>
        <v>#REF!</v>
      </c>
      <c r="F380" s="195" t="str">
        <f>IFERROR(IF(AND(INDEX(#REF!,A380)&lt;&gt;"",INDEX(#REF!,A380)=0),$B$155,""),"")</f>
        <v/>
      </c>
      <c r="G380" s="195" t="str">
        <f>IFERROR(IF(12*INDEX(#REF!,A380)/INDEX(#REF!,A380)&gt;pers_other_nrhours_year,checks!$B$156,""),"")</f>
        <v/>
      </c>
      <c r="H380" t="e">
        <f>IF(AND(organisation_type="yes",INDEX(#REF!,A380,1)&lt;&gt;"",ISBLANK(INDEX(#REF!,A380,1))),$B$146,"")</f>
        <v>#REF!</v>
      </c>
      <c r="I380" t="e">
        <f>IF(AND(organisation_name="yes",INDEX(#REF!,A380,1)&lt;&gt;"",ISBLANK(INDEX(#REF!,A380,1))),$B$147,"")</f>
        <v>#REF!</v>
      </c>
    </row>
    <row r="381" spans="1:9" hidden="1" outlineLevel="1" x14ac:dyDescent="0.35">
      <c r="A381" s="195">
        <v>70</v>
      </c>
      <c r="B381" s="195" t="str">
        <f t="array" ref="B381">IFERROR(INDEX(personnel_other_inst[[#This Row],[Empty lines]:[Name organisation]],1,MATCH(TRUE,LEN(personnel_other_inst[[#This Row],[Empty lines]:[Name organisation]])&gt;0,0)),"")</f>
        <v/>
      </c>
      <c r="C381" s="195" t="str">
        <f>IFERROR(IF(AND(LEN(INDEX(#REF!,A381))+LEN(INDEX(#REF!,A381))+LEN(INDEX(#REF!,A381))+LEN(INDEX(#REF!,A381))&gt;0,LEN(INDEX(#REF!,A381-1))+LEN(INDEX(#REF!,A381-1))+LEN(INDEX(#REF!,A381-1))+LEN(INDEX(#REF!,A381-1))=0),$B$127,""),"")</f>
        <v/>
      </c>
      <c r="D381" s="195" t="str">
        <f>IFERROR(IF(AND(INDEX(#REF!,A381)="",OR(INDEX(#REF!,A381)&gt;0,INDEX(#REF!,A381)&gt;0,INDEX(#REF!,A381)&gt;0)),$B$152,""),"")</f>
        <v/>
      </c>
      <c r="E381" s="195" t="e">
        <f>SUBSTITUTE(IF(INDEX(#REF!,A381)&gt;IFERROR(INDEX(salaries_other_inst[Max hourly rate],MATCH(INDEX(#REF!,A381),salaries_other_inst[category],0),1),""),$B$153,""),"&lt;&lt;max_hourly_rate&gt;&gt;",TEXT(IFERROR(INDEX(salaries_other_inst[Max hourly rate],MATCH(INDEX(#REF!,A381),salaries_other_inst[category],0),1),""),"€ #"))</f>
        <v>#REF!</v>
      </c>
      <c r="F381" s="195" t="str">
        <f>IFERROR(IF(AND(INDEX(#REF!,A381)&lt;&gt;"",INDEX(#REF!,A381)=0),$B$155,""),"")</f>
        <v/>
      </c>
      <c r="G381" s="195" t="str">
        <f>IFERROR(IF(12*INDEX(#REF!,A381)/INDEX(#REF!,A381)&gt;pers_other_nrhours_year,checks!$B$156,""),"")</f>
        <v/>
      </c>
      <c r="H381" t="e">
        <f>IF(AND(organisation_type="yes",INDEX(#REF!,A381,1)&lt;&gt;"",ISBLANK(INDEX(#REF!,A381,1))),$B$146,"")</f>
        <v>#REF!</v>
      </c>
      <c r="I381" t="e">
        <f>IF(AND(organisation_name="yes",INDEX(#REF!,A381,1)&lt;&gt;"",ISBLANK(INDEX(#REF!,A381,1))),$B$147,"")</f>
        <v>#REF!</v>
      </c>
    </row>
    <row r="382" spans="1:9" hidden="1" outlineLevel="1" x14ac:dyDescent="0.35">
      <c r="A382" s="195">
        <v>71</v>
      </c>
      <c r="B382" s="195" t="str">
        <f t="array" ref="B382">IFERROR(INDEX(personnel_other_inst[[#This Row],[Empty lines]:[Name organisation]],1,MATCH(TRUE,LEN(personnel_other_inst[[#This Row],[Empty lines]:[Name organisation]])&gt;0,0)),"")</f>
        <v/>
      </c>
      <c r="C382" s="195" t="str">
        <f>IFERROR(IF(AND(LEN(INDEX(#REF!,A382))+LEN(INDEX(#REF!,A382))+LEN(INDEX(#REF!,A382))+LEN(INDEX(#REF!,A382))&gt;0,LEN(INDEX(#REF!,A382-1))+LEN(INDEX(#REF!,A382-1))+LEN(INDEX(#REF!,A382-1))+LEN(INDEX(#REF!,A382-1))=0),$B$127,""),"")</f>
        <v/>
      </c>
      <c r="D382" s="195" t="str">
        <f>IFERROR(IF(AND(INDEX(#REF!,A382)="",OR(INDEX(#REF!,A382)&gt;0,INDEX(#REF!,A382)&gt;0,INDEX(#REF!,A382)&gt;0)),$B$152,""),"")</f>
        <v/>
      </c>
      <c r="E382" s="195" t="e">
        <f>SUBSTITUTE(IF(INDEX(#REF!,A382)&gt;IFERROR(INDEX(salaries_other_inst[Max hourly rate],MATCH(INDEX(#REF!,A382),salaries_other_inst[category],0),1),""),$B$153,""),"&lt;&lt;max_hourly_rate&gt;&gt;",TEXT(IFERROR(INDEX(salaries_other_inst[Max hourly rate],MATCH(INDEX(#REF!,A382),salaries_other_inst[category],0),1),""),"€ #"))</f>
        <v>#REF!</v>
      </c>
      <c r="F382" s="195" t="str">
        <f>IFERROR(IF(AND(INDEX(#REF!,A382)&lt;&gt;"",INDEX(#REF!,A382)=0),$B$155,""),"")</f>
        <v/>
      </c>
      <c r="G382" s="195" t="str">
        <f>IFERROR(IF(12*INDEX(#REF!,A382)/INDEX(#REF!,A382)&gt;pers_other_nrhours_year,checks!$B$156,""),"")</f>
        <v/>
      </c>
      <c r="H382" t="e">
        <f>IF(AND(organisation_type="yes",INDEX(#REF!,A382,1)&lt;&gt;"",ISBLANK(INDEX(#REF!,A382,1))),$B$146,"")</f>
        <v>#REF!</v>
      </c>
      <c r="I382" t="e">
        <f>IF(AND(organisation_name="yes",INDEX(#REF!,A382,1)&lt;&gt;"",ISBLANK(INDEX(#REF!,A382,1))),$B$147,"")</f>
        <v>#REF!</v>
      </c>
    </row>
    <row r="383" spans="1:9" hidden="1" outlineLevel="1" x14ac:dyDescent="0.35">
      <c r="A383" s="195">
        <v>72</v>
      </c>
      <c r="B383" s="195" t="str">
        <f t="array" ref="B383">IFERROR(INDEX(personnel_other_inst[[#This Row],[Empty lines]:[Name organisation]],1,MATCH(TRUE,LEN(personnel_other_inst[[#This Row],[Empty lines]:[Name organisation]])&gt;0,0)),"")</f>
        <v/>
      </c>
      <c r="C383" s="195" t="str">
        <f>IFERROR(IF(AND(LEN(INDEX(#REF!,A383))+LEN(INDEX(#REF!,A383))+LEN(INDEX(#REF!,A383))+LEN(INDEX(#REF!,A383))&gt;0,LEN(INDEX(#REF!,A383-1))+LEN(INDEX(#REF!,A383-1))+LEN(INDEX(#REF!,A383-1))+LEN(INDEX(#REF!,A383-1))=0),$B$127,""),"")</f>
        <v/>
      </c>
      <c r="D383" s="195" t="str">
        <f>IFERROR(IF(AND(INDEX(#REF!,A383)="",OR(INDEX(#REF!,A383)&gt;0,INDEX(#REF!,A383)&gt;0,INDEX(#REF!,A383)&gt;0)),$B$152,""),"")</f>
        <v/>
      </c>
      <c r="E383" s="195" t="e">
        <f>SUBSTITUTE(IF(INDEX(#REF!,A383)&gt;IFERROR(INDEX(salaries_other_inst[Max hourly rate],MATCH(INDEX(#REF!,A383),salaries_other_inst[category],0),1),""),$B$153,""),"&lt;&lt;max_hourly_rate&gt;&gt;",TEXT(IFERROR(INDEX(salaries_other_inst[Max hourly rate],MATCH(INDEX(#REF!,A383),salaries_other_inst[category],0),1),""),"€ #"))</f>
        <v>#REF!</v>
      </c>
      <c r="F383" s="195" t="str">
        <f>IFERROR(IF(AND(INDEX(#REF!,A383)&lt;&gt;"",INDEX(#REF!,A383)=0),$B$155,""),"")</f>
        <v/>
      </c>
      <c r="G383" s="195" t="str">
        <f>IFERROR(IF(12*INDEX(#REF!,A383)/INDEX(#REF!,A383)&gt;pers_other_nrhours_year,checks!$B$156,""),"")</f>
        <v/>
      </c>
      <c r="H383" t="e">
        <f>IF(AND(organisation_type="yes",INDEX(#REF!,A383,1)&lt;&gt;"",ISBLANK(INDEX(#REF!,A383,1))),$B$146,"")</f>
        <v>#REF!</v>
      </c>
      <c r="I383" t="e">
        <f>IF(AND(organisation_name="yes",INDEX(#REF!,A383,1)&lt;&gt;"",ISBLANK(INDEX(#REF!,A383,1))),$B$147,"")</f>
        <v>#REF!</v>
      </c>
    </row>
    <row r="384" spans="1:9" hidden="1" outlineLevel="1" x14ac:dyDescent="0.35">
      <c r="A384" s="195">
        <v>73</v>
      </c>
      <c r="B384" s="195" t="str">
        <f t="array" ref="B384">IFERROR(INDEX(personnel_other_inst[[#This Row],[Empty lines]:[Name organisation]],1,MATCH(TRUE,LEN(personnel_other_inst[[#This Row],[Empty lines]:[Name organisation]])&gt;0,0)),"")</f>
        <v/>
      </c>
      <c r="C384" s="195" t="str">
        <f>IFERROR(IF(AND(LEN(INDEX(#REF!,A384))+LEN(INDEX(#REF!,A384))+LEN(INDEX(#REF!,A384))+LEN(INDEX(#REF!,A384))&gt;0,LEN(INDEX(#REF!,A384-1))+LEN(INDEX(#REF!,A384-1))+LEN(INDEX(#REF!,A384-1))+LEN(INDEX(#REF!,A384-1))=0),$B$127,""),"")</f>
        <v/>
      </c>
      <c r="D384" s="195" t="str">
        <f>IFERROR(IF(AND(INDEX(#REF!,A384)="",OR(INDEX(#REF!,A384)&gt;0,INDEX(#REF!,A384)&gt;0,INDEX(#REF!,A384)&gt;0)),$B$152,""),"")</f>
        <v/>
      </c>
      <c r="E384" s="195" t="e">
        <f>SUBSTITUTE(IF(INDEX(#REF!,A384)&gt;IFERROR(INDEX(salaries_other_inst[Max hourly rate],MATCH(INDEX(#REF!,A384),salaries_other_inst[category],0),1),""),$B$153,""),"&lt;&lt;max_hourly_rate&gt;&gt;",TEXT(IFERROR(INDEX(salaries_other_inst[Max hourly rate],MATCH(INDEX(#REF!,A384),salaries_other_inst[category],0),1),""),"€ #"))</f>
        <v>#REF!</v>
      </c>
      <c r="F384" s="195" t="str">
        <f>IFERROR(IF(AND(INDEX(#REF!,A384)&lt;&gt;"",INDEX(#REF!,A384)=0),$B$155,""),"")</f>
        <v/>
      </c>
      <c r="G384" s="195" t="str">
        <f>IFERROR(IF(12*INDEX(#REF!,A384)/INDEX(#REF!,A384)&gt;pers_other_nrhours_year,checks!$B$156,""),"")</f>
        <v/>
      </c>
      <c r="H384" t="e">
        <f>IF(AND(organisation_type="yes",INDEX(#REF!,A384,1)&lt;&gt;"",ISBLANK(INDEX(#REF!,A384,1))),$B$146,"")</f>
        <v>#REF!</v>
      </c>
      <c r="I384" t="e">
        <f>IF(AND(organisation_name="yes",INDEX(#REF!,A384,1)&lt;&gt;"",ISBLANK(INDEX(#REF!,A384,1))),$B$147,"")</f>
        <v>#REF!</v>
      </c>
    </row>
    <row r="385" spans="1:9" hidden="1" outlineLevel="1" x14ac:dyDescent="0.35">
      <c r="A385" s="195">
        <v>74</v>
      </c>
      <c r="B385" s="195" t="str">
        <f t="array" ref="B385">IFERROR(INDEX(personnel_other_inst[[#This Row],[Empty lines]:[Name organisation]],1,MATCH(TRUE,LEN(personnel_other_inst[[#This Row],[Empty lines]:[Name organisation]])&gt;0,0)),"")</f>
        <v/>
      </c>
      <c r="C385" s="195" t="str">
        <f>IFERROR(IF(AND(LEN(INDEX(#REF!,A385))+LEN(INDEX(#REF!,A385))+LEN(INDEX(#REF!,A385))+LEN(INDEX(#REF!,A385))&gt;0,LEN(INDEX(#REF!,A385-1))+LEN(INDEX(#REF!,A385-1))+LEN(INDEX(#REF!,A385-1))+LEN(INDEX(#REF!,A385-1))=0),$B$127,""),"")</f>
        <v/>
      </c>
      <c r="D385" s="195" t="str">
        <f>IFERROR(IF(AND(INDEX(#REF!,A385)="",OR(INDEX(#REF!,A385)&gt;0,INDEX(#REF!,A385)&gt;0,INDEX(#REF!,A385)&gt;0)),$B$152,""),"")</f>
        <v/>
      </c>
      <c r="E385" s="195" t="e">
        <f>SUBSTITUTE(IF(INDEX(#REF!,A385)&gt;IFERROR(INDEX(salaries_other_inst[Max hourly rate],MATCH(INDEX(#REF!,A385),salaries_other_inst[category],0),1),""),$B$153,""),"&lt;&lt;max_hourly_rate&gt;&gt;",TEXT(IFERROR(INDEX(salaries_other_inst[Max hourly rate],MATCH(INDEX(#REF!,A385),salaries_other_inst[category],0),1),""),"€ #"))</f>
        <v>#REF!</v>
      </c>
      <c r="F385" s="195" t="str">
        <f>IFERROR(IF(AND(INDEX(#REF!,A385)&lt;&gt;"",INDEX(#REF!,A385)=0),$B$155,""),"")</f>
        <v/>
      </c>
      <c r="G385" s="195" t="str">
        <f>IFERROR(IF(12*INDEX(#REF!,A385)/INDEX(#REF!,A385)&gt;pers_other_nrhours_year,checks!$B$156,""),"")</f>
        <v/>
      </c>
      <c r="H385" t="e">
        <f>IF(AND(organisation_type="yes",INDEX(#REF!,A385,1)&lt;&gt;"",ISBLANK(INDEX(#REF!,A385,1))),$B$146,"")</f>
        <v>#REF!</v>
      </c>
      <c r="I385" t="e">
        <f>IF(AND(organisation_name="yes",INDEX(#REF!,A385,1)&lt;&gt;"",ISBLANK(INDEX(#REF!,A385,1))),$B$147,"")</f>
        <v>#REF!</v>
      </c>
    </row>
    <row r="386" spans="1:9" hidden="1" outlineLevel="1" x14ac:dyDescent="0.35">
      <c r="A386" s="195">
        <v>75</v>
      </c>
      <c r="B386" s="195" t="str">
        <f t="array" ref="B386">IFERROR(INDEX(personnel_other_inst[[#This Row],[Empty lines]:[Name organisation]],1,MATCH(TRUE,LEN(personnel_other_inst[[#This Row],[Empty lines]:[Name organisation]])&gt;0,0)),"")</f>
        <v/>
      </c>
      <c r="C386" s="195" t="str">
        <f>IFERROR(IF(AND(LEN(INDEX(#REF!,A386))+LEN(INDEX(#REF!,A386))+LEN(INDEX(#REF!,A386))+LEN(INDEX(#REF!,A386))&gt;0,LEN(INDEX(#REF!,A386-1))+LEN(INDEX(#REF!,A386-1))+LEN(INDEX(#REF!,A386-1))+LEN(INDEX(#REF!,A386-1))=0),$B$127,""),"")</f>
        <v/>
      </c>
      <c r="D386" s="195" t="str">
        <f>IFERROR(IF(AND(INDEX(#REF!,A386)="",OR(INDEX(#REF!,A386)&gt;0,INDEX(#REF!,A386)&gt;0,INDEX(#REF!,A386)&gt;0)),$B$152,""),"")</f>
        <v/>
      </c>
      <c r="E386" s="195" t="e">
        <f>SUBSTITUTE(IF(INDEX(#REF!,A386)&gt;IFERROR(INDEX(salaries_other_inst[Max hourly rate],MATCH(INDEX(#REF!,A386),salaries_other_inst[category],0),1),""),$B$153,""),"&lt;&lt;max_hourly_rate&gt;&gt;",TEXT(IFERROR(INDEX(salaries_other_inst[Max hourly rate],MATCH(INDEX(#REF!,A386),salaries_other_inst[category],0),1),""),"€ #"))</f>
        <v>#REF!</v>
      </c>
      <c r="F386" s="195" t="str">
        <f>IFERROR(IF(AND(INDEX(#REF!,A386)&lt;&gt;"",INDEX(#REF!,A386)=0),$B$155,""),"")</f>
        <v/>
      </c>
      <c r="G386" s="195" t="str">
        <f>IFERROR(IF(12*INDEX(#REF!,A386)/INDEX(#REF!,A386)&gt;pers_other_nrhours_year,checks!$B$156,""),"")</f>
        <v/>
      </c>
      <c r="H386" t="e">
        <f>IF(AND(organisation_type="yes",INDEX(#REF!,A386,1)&lt;&gt;"",ISBLANK(INDEX(#REF!,A386,1))),$B$146,"")</f>
        <v>#REF!</v>
      </c>
      <c r="I386" t="e">
        <f>IF(AND(organisation_name="yes",INDEX(#REF!,A386,1)&lt;&gt;"",ISBLANK(INDEX(#REF!,A386,1))),$B$147,"")</f>
        <v>#REF!</v>
      </c>
    </row>
    <row r="387" spans="1:9" hidden="1" outlineLevel="1" x14ac:dyDescent="0.35">
      <c r="A387" s="195">
        <v>76</v>
      </c>
      <c r="B387" s="195" t="str">
        <f t="array" ref="B387">IFERROR(INDEX(personnel_other_inst[[#This Row],[Empty lines]:[Name organisation]],1,MATCH(TRUE,LEN(personnel_other_inst[[#This Row],[Empty lines]:[Name organisation]])&gt;0,0)),"")</f>
        <v/>
      </c>
      <c r="C387" s="195" t="str">
        <f>IFERROR(IF(AND(LEN(INDEX(#REF!,A387))+LEN(INDEX(#REF!,A387))+LEN(INDEX(#REF!,A387))+LEN(INDEX(#REF!,A387))&gt;0,LEN(INDEX(#REF!,A387-1))+LEN(INDEX(#REF!,A387-1))+LEN(INDEX(#REF!,A387-1))+LEN(INDEX(#REF!,A387-1))=0),$B$127,""),"")</f>
        <v/>
      </c>
      <c r="D387" s="195" t="str">
        <f>IFERROR(IF(AND(INDEX(#REF!,A387)="",OR(INDEX(#REF!,A387)&gt;0,INDEX(#REF!,A387)&gt;0,INDEX(#REF!,A387)&gt;0)),$B$152,""),"")</f>
        <v/>
      </c>
      <c r="E387" s="195" t="e">
        <f>SUBSTITUTE(IF(INDEX(#REF!,A387)&gt;IFERROR(INDEX(salaries_other_inst[Max hourly rate],MATCH(INDEX(#REF!,A387),salaries_other_inst[category],0),1),""),$B$153,""),"&lt;&lt;max_hourly_rate&gt;&gt;",TEXT(IFERROR(INDEX(salaries_other_inst[Max hourly rate],MATCH(INDEX(#REF!,A387),salaries_other_inst[category],0),1),""),"€ #"))</f>
        <v>#REF!</v>
      </c>
      <c r="F387" s="195" t="str">
        <f>IFERROR(IF(AND(INDEX(#REF!,A387)&lt;&gt;"",INDEX(#REF!,A387)=0),$B$155,""),"")</f>
        <v/>
      </c>
      <c r="G387" s="195" t="str">
        <f>IFERROR(IF(12*INDEX(#REF!,A387)/INDEX(#REF!,A387)&gt;pers_other_nrhours_year,checks!$B$156,""),"")</f>
        <v/>
      </c>
      <c r="H387" t="e">
        <f>IF(AND(organisation_type="yes",INDEX(#REF!,A387,1)&lt;&gt;"",ISBLANK(INDEX(#REF!,A387,1))),$B$146,"")</f>
        <v>#REF!</v>
      </c>
      <c r="I387" t="e">
        <f>IF(AND(organisation_name="yes",INDEX(#REF!,A387,1)&lt;&gt;"",ISBLANK(INDEX(#REF!,A387,1))),$B$147,"")</f>
        <v>#REF!</v>
      </c>
    </row>
    <row r="388" spans="1:9" hidden="1" outlineLevel="1" x14ac:dyDescent="0.35">
      <c r="A388" s="195">
        <v>77</v>
      </c>
      <c r="B388" s="195" t="str">
        <f t="array" ref="B388">IFERROR(INDEX(personnel_other_inst[[#This Row],[Empty lines]:[Name organisation]],1,MATCH(TRUE,LEN(personnel_other_inst[[#This Row],[Empty lines]:[Name organisation]])&gt;0,0)),"")</f>
        <v/>
      </c>
      <c r="C388" s="195" t="str">
        <f>IFERROR(IF(AND(LEN(INDEX(#REF!,A388))+LEN(INDEX(#REF!,A388))+LEN(INDEX(#REF!,A388))+LEN(INDEX(#REF!,A388))&gt;0,LEN(INDEX(#REF!,A388-1))+LEN(INDEX(#REF!,A388-1))+LEN(INDEX(#REF!,A388-1))+LEN(INDEX(#REF!,A388-1))=0),$B$127,""),"")</f>
        <v/>
      </c>
      <c r="D388" s="195" t="str">
        <f>IFERROR(IF(AND(INDEX(#REF!,A388)="",OR(INDEX(#REF!,A388)&gt;0,INDEX(#REF!,A388)&gt;0,INDEX(#REF!,A388)&gt;0)),$B$152,""),"")</f>
        <v/>
      </c>
      <c r="E388" s="195" t="e">
        <f>SUBSTITUTE(IF(INDEX(#REF!,A388)&gt;IFERROR(INDEX(salaries_other_inst[Max hourly rate],MATCH(INDEX(#REF!,A388),salaries_other_inst[category],0),1),""),$B$153,""),"&lt;&lt;max_hourly_rate&gt;&gt;",TEXT(IFERROR(INDEX(salaries_other_inst[Max hourly rate],MATCH(INDEX(#REF!,A388),salaries_other_inst[category],0),1),""),"€ #"))</f>
        <v>#REF!</v>
      </c>
      <c r="F388" s="195" t="str">
        <f>IFERROR(IF(AND(INDEX(#REF!,A388)&lt;&gt;"",INDEX(#REF!,A388)=0),$B$155,""),"")</f>
        <v/>
      </c>
      <c r="G388" s="195" t="str">
        <f>IFERROR(IF(12*INDEX(#REF!,A388)/INDEX(#REF!,A388)&gt;pers_other_nrhours_year,checks!$B$156,""),"")</f>
        <v/>
      </c>
      <c r="H388" t="e">
        <f>IF(AND(organisation_type="yes",INDEX(#REF!,A388,1)&lt;&gt;"",ISBLANK(INDEX(#REF!,A388,1))),$B$146,"")</f>
        <v>#REF!</v>
      </c>
      <c r="I388" t="e">
        <f>IF(AND(organisation_name="yes",INDEX(#REF!,A388,1)&lt;&gt;"",ISBLANK(INDEX(#REF!,A388,1))),$B$147,"")</f>
        <v>#REF!</v>
      </c>
    </row>
    <row r="389" spans="1:9" hidden="1" outlineLevel="1" x14ac:dyDescent="0.35">
      <c r="A389" s="195">
        <v>78</v>
      </c>
      <c r="B389" s="195" t="str">
        <f t="array" ref="B389">IFERROR(INDEX(personnel_other_inst[[#This Row],[Empty lines]:[Name organisation]],1,MATCH(TRUE,LEN(personnel_other_inst[[#This Row],[Empty lines]:[Name organisation]])&gt;0,0)),"")</f>
        <v/>
      </c>
      <c r="C389" s="195" t="str">
        <f>IFERROR(IF(AND(LEN(INDEX(#REF!,A389))+LEN(INDEX(#REF!,A389))+LEN(INDEX(#REF!,A389))+LEN(INDEX(#REF!,A389))&gt;0,LEN(INDEX(#REF!,A389-1))+LEN(INDEX(#REF!,A389-1))+LEN(INDEX(#REF!,A389-1))+LEN(INDEX(#REF!,A389-1))=0),$B$127,""),"")</f>
        <v/>
      </c>
      <c r="D389" s="195" t="str">
        <f>IFERROR(IF(AND(INDEX(#REF!,A389)="",OR(INDEX(#REF!,A389)&gt;0,INDEX(#REF!,A389)&gt;0,INDEX(#REF!,A389)&gt;0)),$B$152,""),"")</f>
        <v/>
      </c>
      <c r="E389" s="195" t="e">
        <f>SUBSTITUTE(IF(INDEX(#REF!,A389)&gt;IFERROR(INDEX(salaries_other_inst[Max hourly rate],MATCH(INDEX(#REF!,A389),salaries_other_inst[category],0),1),""),$B$153,""),"&lt;&lt;max_hourly_rate&gt;&gt;",TEXT(IFERROR(INDEX(salaries_other_inst[Max hourly rate],MATCH(INDEX(#REF!,A389),salaries_other_inst[category],0),1),""),"€ #"))</f>
        <v>#REF!</v>
      </c>
      <c r="F389" s="195" t="str">
        <f>IFERROR(IF(AND(INDEX(#REF!,A389)&lt;&gt;"",INDEX(#REF!,A389)=0),$B$155,""),"")</f>
        <v/>
      </c>
      <c r="G389" s="195" t="str">
        <f>IFERROR(IF(12*INDEX(#REF!,A389)/INDEX(#REF!,A389)&gt;pers_other_nrhours_year,checks!$B$156,""),"")</f>
        <v/>
      </c>
      <c r="H389" t="e">
        <f>IF(AND(organisation_type="yes",INDEX(#REF!,A389,1)&lt;&gt;"",ISBLANK(INDEX(#REF!,A389,1))),$B$146,"")</f>
        <v>#REF!</v>
      </c>
      <c r="I389" t="e">
        <f>IF(AND(organisation_name="yes",INDEX(#REF!,A389,1)&lt;&gt;"",ISBLANK(INDEX(#REF!,A389,1))),$B$147,"")</f>
        <v>#REF!</v>
      </c>
    </row>
    <row r="390" spans="1:9" hidden="1" outlineLevel="1" x14ac:dyDescent="0.35">
      <c r="A390" s="195">
        <v>79</v>
      </c>
      <c r="B390" s="195" t="str">
        <f t="array" ref="B390">IFERROR(INDEX(personnel_other_inst[[#This Row],[Empty lines]:[Name organisation]],1,MATCH(TRUE,LEN(personnel_other_inst[[#This Row],[Empty lines]:[Name organisation]])&gt;0,0)),"")</f>
        <v/>
      </c>
      <c r="C390" s="195" t="str">
        <f>IFERROR(IF(AND(LEN(INDEX(#REF!,A390))+LEN(INDEX(#REF!,A390))+LEN(INDEX(#REF!,A390))+LEN(INDEX(#REF!,A390))&gt;0,LEN(INDEX(#REF!,A390-1))+LEN(INDEX(#REF!,A390-1))+LEN(INDEX(#REF!,A390-1))+LEN(INDEX(#REF!,A390-1))=0),$B$127,""),"")</f>
        <v/>
      </c>
      <c r="D390" s="195" t="str">
        <f>IFERROR(IF(AND(INDEX(#REF!,A390)="",OR(INDEX(#REF!,A390)&gt;0,INDEX(#REF!,A390)&gt;0,INDEX(#REF!,A390)&gt;0)),$B$152,""),"")</f>
        <v/>
      </c>
      <c r="E390" s="195" t="e">
        <f>SUBSTITUTE(IF(INDEX(#REF!,A390)&gt;IFERROR(INDEX(salaries_other_inst[Max hourly rate],MATCH(INDEX(#REF!,A390),salaries_other_inst[category],0),1),""),$B$153,""),"&lt;&lt;max_hourly_rate&gt;&gt;",TEXT(IFERROR(INDEX(salaries_other_inst[Max hourly rate],MATCH(INDEX(#REF!,A390),salaries_other_inst[category],0),1),""),"€ #"))</f>
        <v>#REF!</v>
      </c>
      <c r="F390" s="195" t="str">
        <f>IFERROR(IF(AND(INDEX(#REF!,A390)&lt;&gt;"",INDEX(#REF!,A390)=0),$B$155,""),"")</f>
        <v/>
      </c>
      <c r="G390" s="195" t="str">
        <f>IFERROR(IF(12*INDEX(#REF!,A390)/INDEX(#REF!,A390)&gt;pers_other_nrhours_year,checks!$B$156,""),"")</f>
        <v/>
      </c>
      <c r="H390" t="e">
        <f>IF(AND(organisation_type="yes",INDEX(#REF!,A390,1)&lt;&gt;"",ISBLANK(INDEX(#REF!,A390,1))),$B$146,"")</f>
        <v>#REF!</v>
      </c>
      <c r="I390" t="e">
        <f>IF(AND(organisation_name="yes",INDEX(#REF!,A390,1)&lt;&gt;"",ISBLANK(INDEX(#REF!,A390,1))),$B$147,"")</f>
        <v>#REF!</v>
      </c>
    </row>
    <row r="391" spans="1:9" hidden="1" outlineLevel="1" x14ac:dyDescent="0.35">
      <c r="A391" s="195">
        <v>80</v>
      </c>
      <c r="B391" s="195" t="str">
        <f t="array" ref="B391">IFERROR(INDEX(personnel_other_inst[[#This Row],[Empty lines]:[Name organisation]],1,MATCH(TRUE,LEN(personnel_other_inst[[#This Row],[Empty lines]:[Name organisation]])&gt;0,0)),"")</f>
        <v/>
      </c>
      <c r="C391" s="195" t="str">
        <f>IFERROR(IF(AND(LEN(INDEX(#REF!,A391))+LEN(INDEX(#REF!,A391))+LEN(INDEX(#REF!,A391))+LEN(INDEX(#REF!,A391))&gt;0,LEN(INDEX(#REF!,A391-1))+LEN(INDEX(#REF!,A391-1))+LEN(INDEX(#REF!,A391-1))+LEN(INDEX(#REF!,A391-1))=0),$B$127,""),"")</f>
        <v/>
      </c>
      <c r="D391" s="195" t="str">
        <f>IFERROR(IF(AND(INDEX(#REF!,A391)="",OR(INDEX(#REF!,A391)&gt;0,INDEX(#REF!,A391)&gt;0,INDEX(#REF!,A391)&gt;0)),$B$152,""),"")</f>
        <v/>
      </c>
      <c r="E391" s="195" t="e">
        <f>SUBSTITUTE(IF(INDEX(#REF!,A391)&gt;IFERROR(INDEX(salaries_other_inst[Max hourly rate],MATCH(INDEX(#REF!,A391),salaries_other_inst[category],0),1),""),$B$153,""),"&lt;&lt;max_hourly_rate&gt;&gt;",TEXT(IFERROR(INDEX(salaries_other_inst[Max hourly rate],MATCH(INDEX(#REF!,A391),salaries_other_inst[category],0),1),""),"€ #"))</f>
        <v>#REF!</v>
      </c>
      <c r="F391" s="195" t="str">
        <f>IFERROR(IF(AND(INDEX(#REF!,A391)&lt;&gt;"",INDEX(#REF!,A391)=0),$B$155,""),"")</f>
        <v/>
      </c>
      <c r="G391" s="195" t="str">
        <f>IFERROR(IF(12*INDEX(#REF!,A391)/INDEX(#REF!,A391)&gt;pers_other_nrhours_year,checks!$B$156,""),"")</f>
        <v/>
      </c>
      <c r="H391" t="e">
        <f>IF(AND(organisation_type="yes",INDEX(#REF!,A391,1)&lt;&gt;"",ISBLANK(INDEX(#REF!,A391,1))),$B$146,"")</f>
        <v>#REF!</v>
      </c>
      <c r="I391" t="e">
        <f>IF(AND(organisation_name="yes",INDEX(#REF!,A391,1)&lt;&gt;"",ISBLANK(INDEX(#REF!,A391,1))),$B$147,"")</f>
        <v>#REF!</v>
      </c>
    </row>
    <row r="392" spans="1:9" hidden="1" outlineLevel="1" x14ac:dyDescent="0.35">
      <c r="A392" s="195">
        <v>81</v>
      </c>
      <c r="B392" s="195" t="str">
        <f t="array" ref="B392">IFERROR(INDEX(personnel_other_inst[[#This Row],[Empty lines]:[Name organisation]],1,MATCH(TRUE,LEN(personnel_other_inst[[#This Row],[Empty lines]:[Name organisation]])&gt;0,0)),"")</f>
        <v/>
      </c>
      <c r="C392" s="195" t="str">
        <f>IFERROR(IF(AND(LEN(INDEX(#REF!,A392))+LEN(INDEX(#REF!,A392))+LEN(INDEX(#REF!,A392))+LEN(INDEX(#REF!,A392))&gt;0,LEN(INDEX(#REF!,A392-1))+LEN(INDEX(#REF!,A392-1))+LEN(INDEX(#REF!,A392-1))+LEN(INDEX(#REF!,A392-1))=0),$B$127,""),"")</f>
        <v/>
      </c>
      <c r="D392" s="195" t="str">
        <f>IFERROR(IF(AND(INDEX(#REF!,A392)="",OR(INDEX(#REF!,A392)&gt;0,INDEX(#REF!,A392)&gt;0,INDEX(#REF!,A392)&gt;0)),$B$152,""),"")</f>
        <v/>
      </c>
      <c r="E392" s="195" t="e">
        <f>SUBSTITUTE(IF(INDEX(#REF!,A392)&gt;IFERROR(INDEX(salaries_other_inst[Max hourly rate],MATCH(INDEX(#REF!,A392),salaries_other_inst[category],0),1),""),$B$153,""),"&lt;&lt;max_hourly_rate&gt;&gt;",TEXT(IFERROR(INDEX(salaries_other_inst[Max hourly rate],MATCH(INDEX(#REF!,A392),salaries_other_inst[category],0),1),""),"€ #"))</f>
        <v>#REF!</v>
      </c>
      <c r="F392" s="195" t="str">
        <f>IFERROR(IF(AND(INDEX(#REF!,A392)&lt;&gt;"",INDEX(#REF!,A392)=0),$B$155,""),"")</f>
        <v/>
      </c>
      <c r="G392" s="195" t="str">
        <f>IFERROR(IF(12*INDEX(#REF!,A392)/INDEX(#REF!,A392)&gt;pers_other_nrhours_year,checks!$B$156,""),"")</f>
        <v/>
      </c>
      <c r="H392" t="e">
        <f>IF(AND(organisation_type="yes",INDEX(#REF!,A392,1)&lt;&gt;"",ISBLANK(INDEX(#REF!,A392,1))),$B$146,"")</f>
        <v>#REF!</v>
      </c>
      <c r="I392" t="e">
        <f>IF(AND(organisation_name="yes",INDEX(#REF!,A392,1)&lt;&gt;"",ISBLANK(INDEX(#REF!,A392,1))),$B$147,"")</f>
        <v>#REF!</v>
      </c>
    </row>
    <row r="393" spans="1:9" hidden="1" outlineLevel="1" x14ac:dyDescent="0.35">
      <c r="A393" s="195">
        <v>82</v>
      </c>
      <c r="B393" s="195" t="str">
        <f t="array" ref="B393">IFERROR(INDEX(personnel_other_inst[[#This Row],[Empty lines]:[Name organisation]],1,MATCH(TRUE,LEN(personnel_other_inst[[#This Row],[Empty lines]:[Name organisation]])&gt;0,0)),"")</f>
        <v/>
      </c>
      <c r="C393" s="195" t="str">
        <f>IFERROR(IF(AND(LEN(INDEX(#REF!,A393))+LEN(INDEX(#REF!,A393))+LEN(INDEX(#REF!,A393))+LEN(INDEX(#REF!,A393))&gt;0,LEN(INDEX(#REF!,A393-1))+LEN(INDEX(#REF!,A393-1))+LEN(INDEX(#REF!,A393-1))+LEN(INDEX(#REF!,A393-1))=0),$B$127,""),"")</f>
        <v/>
      </c>
      <c r="D393" s="195" t="str">
        <f>IFERROR(IF(AND(INDEX(#REF!,A393)="",OR(INDEX(#REF!,A393)&gt;0,INDEX(#REF!,A393)&gt;0,INDEX(#REF!,A393)&gt;0)),$B$152,""),"")</f>
        <v/>
      </c>
      <c r="E393" s="195" t="e">
        <f>SUBSTITUTE(IF(INDEX(#REF!,A393)&gt;IFERROR(INDEX(salaries_other_inst[Max hourly rate],MATCH(INDEX(#REF!,A393),salaries_other_inst[category],0),1),""),$B$153,""),"&lt;&lt;max_hourly_rate&gt;&gt;",TEXT(IFERROR(INDEX(salaries_other_inst[Max hourly rate],MATCH(INDEX(#REF!,A393),salaries_other_inst[category],0),1),""),"€ #"))</f>
        <v>#REF!</v>
      </c>
      <c r="F393" s="195" t="str">
        <f>IFERROR(IF(AND(INDEX(#REF!,A393)&lt;&gt;"",INDEX(#REF!,A393)=0),$B$155,""),"")</f>
        <v/>
      </c>
      <c r="G393" s="195" t="str">
        <f>IFERROR(IF(12*INDEX(#REF!,A393)/INDEX(#REF!,A393)&gt;pers_other_nrhours_year,checks!$B$156,""),"")</f>
        <v/>
      </c>
      <c r="H393" t="e">
        <f>IF(AND(organisation_type="yes",INDEX(#REF!,A393,1)&lt;&gt;"",ISBLANK(INDEX(#REF!,A393,1))),$B$146,"")</f>
        <v>#REF!</v>
      </c>
      <c r="I393" t="e">
        <f>IF(AND(organisation_name="yes",INDEX(#REF!,A393,1)&lt;&gt;"",ISBLANK(INDEX(#REF!,A393,1))),$B$147,"")</f>
        <v>#REF!</v>
      </c>
    </row>
    <row r="394" spans="1:9" hidden="1" outlineLevel="1" x14ac:dyDescent="0.35">
      <c r="A394" s="195">
        <v>83</v>
      </c>
      <c r="B394" s="195" t="str">
        <f t="array" ref="B394">IFERROR(INDEX(personnel_other_inst[[#This Row],[Empty lines]:[Name organisation]],1,MATCH(TRUE,LEN(personnel_other_inst[[#This Row],[Empty lines]:[Name organisation]])&gt;0,0)),"")</f>
        <v/>
      </c>
      <c r="C394" s="195" t="str">
        <f>IFERROR(IF(AND(LEN(INDEX(#REF!,A394))+LEN(INDEX(#REF!,A394))+LEN(INDEX(#REF!,A394))+LEN(INDEX(#REF!,A394))&gt;0,LEN(INDEX(#REF!,A394-1))+LEN(INDEX(#REF!,A394-1))+LEN(INDEX(#REF!,A394-1))+LEN(INDEX(#REF!,A394-1))=0),$B$127,""),"")</f>
        <v/>
      </c>
      <c r="D394" s="195" t="str">
        <f>IFERROR(IF(AND(INDEX(#REF!,A394)="",OR(INDEX(#REF!,A394)&gt;0,INDEX(#REF!,A394)&gt;0,INDEX(#REF!,A394)&gt;0)),$B$152,""),"")</f>
        <v/>
      </c>
      <c r="E394" s="195" t="e">
        <f>SUBSTITUTE(IF(INDEX(#REF!,A394)&gt;IFERROR(INDEX(salaries_other_inst[Max hourly rate],MATCH(INDEX(#REF!,A394),salaries_other_inst[category],0),1),""),$B$153,""),"&lt;&lt;max_hourly_rate&gt;&gt;",TEXT(IFERROR(INDEX(salaries_other_inst[Max hourly rate],MATCH(INDEX(#REF!,A394),salaries_other_inst[category],0),1),""),"€ #"))</f>
        <v>#REF!</v>
      </c>
      <c r="F394" s="195" t="str">
        <f>IFERROR(IF(AND(INDEX(#REF!,A394)&lt;&gt;"",INDEX(#REF!,A394)=0),$B$155,""),"")</f>
        <v/>
      </c>
      <c r="G394" s="195" t="str">
        <f>IFERROR(IF(12*INDEX(#REF!,A394)/INDEX(#REF!,A394)&gt;pers_other_nrhours_year,checks!$B$156,""),"")</f>
        <v/>
      </c>
      <c r="H394" t="e">
        <f>IF(AND(organisation_type="yes",INDEX(#REF!,A394,1)&lt;&gt;"",ISBLANK(INDEX(#REF!,A394,1))),$B$146,"")</f>
        <v>#REF!</v>
      </c>
      <c r="I394" t="e">
        <f>IF(AND(organisation_name="yes",INDEX(#REF!,A394,1)&lt;&gt;"",ISBLANK(INDEX(#REF!,A394,1))),$B$147,"")</f>
        <v>#REF!</v>
      </c>
    </row>
    <row r="395" spans="1:9" hidden="1" outlineLevel="1" x14ac:dyDescent="0.35">
      <c r="A395" s="195">
        <v>84</v>
      </c>
      <c r="B395" s="195" t="str">
        <f t="array" ref="B395">IFERROR(INDEX(personnel_other_inst[[#This Row],[Empty lines]:[Name organisation]],1,MATCH(TRUE,LEN(personnel_other_inst[[#This Row],[Empty lines]:[Name organisation]])&gt;0,0)),"")</f>
        <v/>
      </c>
      <c r="C395" s="195" t="str">
        <f>IFERROR(IF(AND(LEN(INDEX(#REF!,A395))+LEN(INDEX(#REF!,A395))+LEN(INDEX(#REF!,A395))+LEN(INDEX(#REF!,A395))&gt;0,LEN(INDEX(#REF!,A395-1))+LEN(INDEX(#REF!,A395-1))+LEN(INDEX(#REF!,A395-1))+LEN(INDEX(#REF!,A395-1))=0),$B$127,""),"")</f>
        <v/>
      </c>
      <c r="D395" s="195" t="str">
        <f>IFERROR(IF(AND(INDEX(#REF!,A395)="",OR(INDEX(#REF!,A395)&gt;0,INDEX(#REF!,A395)&gt;0,INDEX(#REF!,A395)&gt;0)),$B$152,""),"")</f>
        <v/>
      </c>
      <c r="E395" s="195" t="e">
        <f>SUBSTITUTE(IF(INDEX(#REF!,A395)&gt;IFERROR(INDEX(salaries_other_inst[Max hourly rate],MATCH(INDEX(#REF!,A395),salaries_other_inst[category],0),1),""),$B$153,""),"&lt;&lt;max_hourly_rate&gt;&gt;",TEXT(IFERROR(INDEX(salaries_other_inst[Max hourly rate],MATCH(INDEX(#REF!,A395),salaries_other_inst[category],0),1),""),"€ #"))</f>
        <v>#REF!</v>
      </c>
      <c r="F395" s="195" t="str">
        <f>IFERROR(IF(AND(INDEX(#REF!,A395)&lt;&gt;"",INDEX(#REF!,A395)=0),$B$155,""),"")</f>
        <v/>
      </c>
      <c r="G395" s="195" t="str">
        <f>IFERROR(IF(12*INDEX(#REF!,A395)/INDEX(#REF!,A395)&gt;pers_other_nrhours_year,checks!$B$156,""),"")</f>
        <v/>
      </c>
      <c r="H395" t="e">
        <f>IF(AND(organisation_type="yes",INDEX(#REF!,A395,1)&lt;&gt;"",ISBLANK(INDEX(#REF!,A395,1))),$B$146,"")</f>
        <v>#REF!</v>
      </c>
      <c r="I395" t="e">
        <f>IF(AND(organisation_name="yes",INDEX(#REF!,A395,1)&lt;&gt;"",ISBLANK(INDEX(#REF!,A395,1))),$B$147,"")</f>
        <v>#REF!</v>
      </c>
    </row>
    <row r="396" spans="1:9" hidden="1" outlineLevel="1" x14ac:dyDescent="0.35">
      <c r="A396" s="195">
        <v>85</v>
      </c>
      <c r="B396" s="195" t="str">
        <f t="array" ref="B396">IFERROR(INDEX(personnel_other_inst[[#This Row],[Empty lines]:[Name organisation]],1,MATCH(TRUE,LEN(personnel_other_inst[[#This Row],[Empty lines]:[Name organisation]])&gt;0,0)),"")</f>
        <v/>
      </c>
      <c r="C396" s="195" t="str">
        <f>IFERROR(IF(AND(LEN(INDEX(#REF!,A396))+LEN(INDEX(#REF!,A396))+LEN(INDEX(#REF!,A396))+LEN(INDEX(#REF!,A396))&gt;0,LEN(INDEX(#REF!,A396-1))+LEN(INDEX(#REF!,A396-1))+LEN(INDEX(#REF!,A396-1))+LEN(INDEX(#REF!,A396-1))=0),$B$127,""),"")</f>
        <v/>
      </c>
      <c r="D396" s="195" t="str">
        <f>IFERROR(IF(AND(INDEX(#REF!,A396)="",OR(INDEX(#REF!,A396)&gt;0,INDEX(#REF!,A396)&gt;0,INDEX(#REF!,A396)&gt;0)),$B$152,""),"")</f>
        <v/>
      </c>
      <c r="E396" s="195" t="e">
        <f>SUBSTITUTE(IF(INDEX(#REF!,A396)&gt;IFERROR(INDEX(salaries_other_inst[Max hourly rate],MATCH(INDEX(#REF!,A396),salaries_other_inst[category],0),1),""),$B$153,""),"&lt;&lt;max_hourly_rate&gt;&gt;",TEXT(IFERROR(INDEX(salaries_other_inst[Max hourly rate],MATCH(INDEX(#REF!,A396),salaries_other_inst[category],0),1),""),"€ #"))</f>
        <v>#REF!</v>
      </c>
      <c r="F396" s="195" t="str">
        <f>IFERROR(IF(AND(INDEX(#REF!,A396)&lt;&gt;"",INDEX(#REF!,A396)=0),$B$155,""),"")</f>
        <v/>
      </c>
      <c r="G396" s="195" t="str">
        <f>IFERROR(IF(12*INDEX(#REF!,A396)/INDEX(#REF!,A396)&gt;pers_other_nrhours_year,checks!$B$156,""),"")</f>
        <v/>
      </c>
      <c r="H396" t="e">
        <f>IF(AND(organisation_type="yes",INDEX(#REF!,A396,1)&lt;&gt;"",ISBLANK(INDEX(#REF!,A396,1))),$B$146,"")</f>
        <v>#REF!</v>
      </c>
      <c r="I396" t="e">
        <f>IF(AND(organisation_name="yes",INDEX(#REF!,A396,1)&lt;&gt;"",ISBLANK(INDEX(#REF!,A396,1))),$B$147,"")</f>
        <v>#REF!</v>
      </c>
    </row>
    <row r="397" spans="1:9" hidden="1" outlineLevel="1" x14ac:dyDescent="0.35">
      <c r="A397" s="195">
        <v>86</v>
      </c>
      <c r="B397" s="195" t="str">
        <f t="array" ref="B397">IFERROR(INDEX(personnel_other_inst[[#This Row],[Empty lines]:[Name organisation]],1,MATCH(TRUE,LEN(personnel_other_inst[[#This Row],[Empty lines]:[Name organisation]])&gt;0,0)),"")</f>
        <v/>
      </c>
      <c r="C397" s="195" t="str">
        <f>IFERROR(IF(AND(LEN(INDEX(#REF!,A397))+LEN(INDEX(#REF!,A397))+LEN(INDEX(#REF!,A397))+LEN(INDEX(#REF!,A397))&gt;0,LEN(INDEX(#REF!,A397-1))+LEN(INDEX(#REF!,A397-1))+LEN(INDEX(#REF!,A397-1))+LEN(INDEX(#REF!,A397-1))=0),$B$127,""),"")</f>
        <v/>
      </c>
      <c r="D397" s="195" t="str">
        <f>IFERROR(IF(AND(INDEX(#REF!,A397)="",OR(INDEX(#REF!,A397)&gt;0,INDEX(#REF!,A397)&gt;0,INDEX(#REF!,A397)&gt;0)),$B$152,""),"")</f>
        <v/>
      </c>
      <c r="E397" s="195" t="e">
        <f>SUBSTITUTE(IF(INDEX(#REF!,A397)&gt;IFERROR(INDEX(salaries_other_inst[Max hourly rate],MATCH(INDEX(#REF!,A397),salaries_other_inst[category],0),1),""),$B$153,""),"&lt;&lt;max_hourly_rate&gt;&gt;",TEXT(IFERROR(INDEX(salaries_other_inst[Max hourly rate],MATCH(INDEX(#REF!,A397),salaries_other_inst[category],0),1),""),"€ #"))</f>
        <v>#REF!</v>
      </c>
      <c r="F397" s="195" t="str">
        <f>IFERROR(IF(AND(INDEX(#REF!,A397)&lt;&gt;"",INDEX(#REF!,A397)=0),$B$155,""),"")</f>
        <v/>
      </c>
      <c r="G397" s="195" t="str">
        <f>IFERROR(IF(12*INDEX(#REF!,A397)/INDEX(#REF!,A397)&gt;pers_other_nrhours_year,checks!$B$156,""),"")</f>
        <v/>
      </c>
      <c r="H397" t="e">
        <f>IF(AND(organisation_type="yes",INDEX(#REF!,A397,1)&lt;&gt;"",ISBLANK(INDEX(#REF!,A397,1))),$B$146,"")</f>
        <v>#REF!</v>
      </c>
      <c r="I397" t="e">
        <f>IF(AND(organisation_name="yes",INDEX(#REF!,A397,1)&lt;&gt;"",ISBLANK(INDEX(#REF!,A397,1))),$B$147,"")</f>
        <v>#REF!</v>
      </c>
    </row>
    <row r="398" spans="1:9" hidden="1" outlineLevel="1" x14ac:dyDescent="0.35">
      <c r="A398" s="195">
        <v>87</v>
      </c>
      <c r="B398" s="195" t="str">
        <f t="array" ref="B398">IFERROR(INDEX(personnel_other_inst[[#This Row],[Empty lines]:[Name organisation]],1,MATCH(TRUE,LEN(personnel_other_inst[[#This Row],[Empty lines]:[Name organisation]])&gt;0,0)),"")</f>
        <v/>
      </c>
      <c r="C398" s="195" t="str">
        <f>IFERROR(IF(AND(LEN(INDEX(#REF!,A398))+LEN(INDEX(#REF!,A398))+LEN(INDEX(#REF!,A398))+LEN(INDEX(#REF!,A398))&gt;0,LEN(INDEX(#REF!,A398-1))+LEN(INDEX(#REF!,A398-1))+LEN(INDEX(#REF!,A398-1))+LEN(INDEX(#REF!,A398-1))=0),$B$127,""),"")</f>
        <v/>
      </c>
      <c r="D398" s="195" t="str">
        <f>IFERROR(IF(AND(INDEX(#REF!,A398)="",OR(INDEX(#REF!,A398)&gt;0,INDEX(#REF!,A398)&gt;0,INDEX(#REF!,A398)&gt;0)),$B$152,""),"")</f>
        <v/>
      </c>
      <c r="E398" s="195" t="e">
        <f>SUBSTITUTE(IF(INDEX(#REF!,A398)&gt;IFERROR(INDEX(salaries_other_inst[Max hourly rate],MATCH(INDEX(#REF!,A398),salaries_other_inst[category],0),1),""),$B$153,""),"&lt;&lt;max_hourly_rate&gt;&gt;",TEXT(IFERROR(INDEX(salaries_other_inst[Max hourly rate],MATCH(INDEX(#REF!,A398),salaries_other_inst[category],0),1),""),"€ #"))</f>
        <v>#REF!</v>
      </c>
      <c r="F398" s="195" t="str">
        <f>IFERROR(IF(AND(INDEX(#REF!,A398)&lt;&gt;"",INDEX(#REF!,A398)=0),$B$155,""),"")</f>
        <v/>
      </c>
      <c r="G398" s="195" t="str">
        <f>IFERROR(IF(12*INDEX(#REF!,A398)/INDEX(#REF!,A398)&gt;pers_other_nrhours_year,checks!$B$156,""),"")</f>
        <v/>
      </c>
      <c r="H398" t="e">
        <f>IF(AND(organisation_type="yes",INDEX(#REF!,A398,1)&lt;&gt;"",ISBLANK(INDEX(#REF!,A398,1))),$B$146,"")</f>
        <v>#REF!</v>
      </c>
      <c r="I398" t="e">
        <f>IF(AND(organisation_name="yes",INDEX(#REF!,A398,1)&lt;&gt;"",ISBLANK(INDEX(#REF!,A398,1))),$B$147,"")</f>
        <v>#REF!</v>
      </c>
    </row>
    <row r="399" spans="1:9" hidden="1" outlineLevel="1" x14ac:dyDescent="0.35">
      <c r="A399" s="195">
        <v>88</v>
      </c>
      <c r="B399" s="195" t="str">
        <f t="array" ref="B399">IFERROR(INDEX(personnel_other_inst[[#This Row],[Empty lines]:[Name organisation]],1,MATCH(TRUE,LEN(personnel_other_inst[[#This Row],[Empty lines]:[Name organisation]])&gt;0,0)),"")</f>
        <v/>
      </c>
      <c r="C399" s="195" t="str">
        <f>IFERROR(IF(AND(LEN(INDEX(#REF!,A399))+LEN(INDEX(#REF!,A399))+LEN(INDEX(#REF!,A399))+LEN(INDEX(#REF!,A399))&gt;0,LEN(INDEX(#REF!,A399-1))+LEN(INDEX(#REF!,A399-1))+LEN(INDEX(#REF!,A399-1))+LEN(INDEX(#REF!,A399-1))=0),$B$127,""),"")</f>
        <v/>
      </c>
      <c r="D399" s="195" t="str">
        <f>IFERROR(IF(AND(INDEX(#REF!,A399)="",OR(INDEX(#REF!,A399)&gt;0,INDEX(#REF!,A399)&gt;0,INDEX(#REF!,A399)&gt;0)),$B$152,""),"")</f>
        <v/>
      </c>
      <c r="E399" s="195" t="e">
        <f>SUBSTITUTE(IF(INDEX(#REF!,A399)&gt;IFERROR(INDEX(salaries_other_inst[Max hourly rate],MATCH(INDEX(#REF!,A399),salaries_other_inst[category],0),1),""),$B$153,""),"&lt;&lt;max_hourly_rate&gt;&gt;",TEXT(IFERROR(INDEX(salaries_other_inst[Max hourly rate],MATCH(INDEX(#REF!,A399),salaries_other_inst[category],0),1),""),"€ #"))</f>
        <v>#REF!</v>
      </c>
      <c r="F399" s="195" t="str">
        <f>IFERROR(IF(AND(INDEX(#REF!,A399)&lt;&gt;"",INDEX(#REF!,A399)=0),$B$155,""),"")</f>
        <v/>
      </c>
      <c r="G399" s="195" t="str">
        <f>IFERROR(IF(12*INDEX(#REF!,A399)/INDEX(#REF!,A399)&gt;pers_other_nrhours_year,checks!$B$156,""),"")</f>
        <v/>
      </c>
      <c r="H399" t="e">
        <f>IF(AND(organisation_type="yes",INDEX(#REF!,A399,1)&lt;&gt;"",ISBLANK(INDEX(#REF!,A399,1))),$B$146,"")</f>
        <v>#REF!</v>
      </c>
      <c r="I399" t="e">
        <f>IF(AND(organisation_name="yes",INDEX(#REF!,A399,1)&lt;&gt;"",ISBLANK(INDEX(#REF!,A399,1))),$B$147,"")</f>
        <v>#REF!</v>
      </c>
    </row>
    <row r="400" spans="1:9" hidden="1" outlineLevel="1" x14ac:dyDescent="0.35">
      <c r="A400" s="195">
        <v>89</v>
      </c>
      <c r="B400" s="195" t="str">
        <f t="array" ref="B400">IFERROR(INDEX(personnel_other_inst[[#This Row],[Empty lines]:[Name organisation]],1,MATCH(TRUE,LEN(personnel_other_inst[[#This Row],[Empty lines]:[Name organisation]])&gt;0,0)),"")</f>
        <v/>
      </c>
      <c r="C400" s="195" t="str">
        <f>IFERROR(IF(AND(LEN(INDEX(#REF!,A400))+LEN(INDEX(#REF!,A400))+LEN(INDEX(#REF!,A400))+LEN(INDEX(#REF!,A400))&gt;0,LEN(INDEX(#REF!,A400-1))+LEN(INDEX(#REF!,A400-1))+LEN(INDEX(#REF!,A400-1))+LEN(INDEX(#REF!,A400-1))=0),$B$127,""),"")</f>
        <v/>
      </c>
      <c r="D400" s="195" t="str">
        <f>IFERROR(IF(AND(INDEX(#REF!,A400)="",OR(INDEX(#REF!,A400)&gt;0,INDEX(#REF!,A400)&gt;0,INDEX(#REF!,A400)&gt;0)),$B$152,""),"")</f>
        <v/>
      </c>
      <c r="E400" s="195" t="e">
        <f>SUBSTITUTE(IF(INDEX(#REF!,A400)&gt;IFERROR(INDEX(salaries_other_inst[Max hourly rate],MATCH(INDEX(#REF!,A400),salaries_other_inst[category],0),1),""),$B$153,""),"&lt;&lt;max_hourly_rate&gt;&gt;",TEXT(IFERROR(INDEX(salaries_other_inst[Max hourly rate],MATCH(INDEX(#REF!,A400),salaries_other_inst[category],0),1),""),"€ #"))</f>
        <v>#REF!</v>
      </c>
      <c r="F400" s="195" t="str">
        <f>IFERROR(IF(AND(INDEX(#REF!,A400)&lt;&gt;"",INDEX(#REF!,A400)=0),$B$155,""),"")</f>
        <v/>
      </c>
      <c r="G400" s="195" t="str">
        <f>IFERROR(IF(12*INDEX(#REF!,A400)/INDEX(#REF!,A400)&gt;pers_other_nrhours_year,checks!$B$156,""),"")</f>
        <v/>
      </c>
      <c r="H400" t="e">
        <f>IF(AND(organisation_type="yes",INDEX(#REF!,A400,1)&lt;&gt;"",ISBLANK(INDEX(#REF!,A400,1))),$B$146,"")</f>
        <v>#REF!</v>
      </c>
      <c r="I400" t="e">
        <f>IF(AND(organisation_name="yes",INDEX(#REF!,A400,1)&lt;&gt;"",ISBLANK(INDEX(#REF!,A400,1))),$B$147,"")</f>
        <v>#REF!</v>
      </c>
    </row>
    <row r="401" spans="1:9" hidden="1" outlineLevel="1" x14ac:dyDescent="0.35">
      <c r="A401" s="195">
        <v>90</v>
      </c>
      <c r="B401" s="195" t="str">
        <f t="array" ref="B401">IFERROR(INDEX(personnel_other_inst[[#This Row],[Empty lines]:[Name organisation]],1,MATCH(TRUE,LEN(personnel_other_inst[[#This Row],[Empty lines]:[Name organisation]])&gt;0,0)),"")</f>
        <v/>
      </c>
      <c r="C401" s="195" t="str">
        <f>IFERROR(IF(AND(LEN(INDEX(#REF!,A401))+LEN(INDEX(#REF!,A401))+LEN(INDEX(#REF!,A401))+LEN(INDEX(#REF!,A401))&gt;0,LEN(INDEX(#REF!,A401-1))+LEN(INDEX(#REF!,A401-1))+LEN(INDEX(#REF!,A401-1))+LEN(INDEX(#REF!,A401-1))=0),$B$127,""),"")</f>
        <v/>
      </c>
      <c r="D401" s="195" t="str">
        <f>IFERROR(IF(AND(INDEX(#REF!,A401)="",OR(INDEX(#REF!,A401)&gt;0,INDEX(#REF!,A401)&gt;0,INDEX(#REF!,A401)&gt;0)),$B$152,""),"")</f>
        <v/>
      </c>
      <c r="E401" s="195" t="e">
        <f>SUBSTITUTE(IF(INDEX(#REF!,A401)&gt;IFERROR(INDEX(salaries_other_inst[Max hourly rate],MATCH(INDEX(#REF!,A401),salaries_other_inst[category],0),1),""),$B$153,""),"&lt;&lt;max_hourly_rate&gt;&gt;",TEXT(IFERROR(INDEX(salaries_other_inst[Max hourly rate],MATCH(INDEX(#REF!,A401),salaries_other_inst[category],0),1),""),"€ #"))</f>
        <v>#REF!</v>
      </c>
      <c r="F401" s="195" t="str">
        <f>IFERROR(IF(AND(INDEX(#REF!,A401)&lt;&gt;"",INDEX(#REF!,A401)=0),$B$155,""),"")</f>
        <v/>
      </c>
      <c r="G401" s="195" t="str">
        <f>IFERROR(IF(12*INDEX(#REF!,A401)/INDEX(#REF!,A401)&gt;pers_other_nrhours_year,checks!$B$156,""),"")</f>
        <v/>
      </c>
      <c r="H401" t="e">
        <f>IF(AND(organisation_type="yes",INDEX(#REF!,A401,1)&lt;&gt;"",ISBLANK(INDEX(#REF!,A401,1))),$B$146,"")</f>
        <v>#REF!</v>
      </c>
      <c r="I401" t="e">
        <f>IF(AND(organisation_name="yes",INDEX(#REF!,A401,1)&lt;&gt;"",ISBLANK(INDEX(#REF!,A401,1))),$B$147,"")</f>
        <v>#REF!</v>
      </c>
    </row>
    <row r="402" spans="1:9" hidden="1" outlineLevel="1" x14ac:dyDescent="0.35">
      <c r="A402" s="195">
        <v>91</v>
      </c>
      <c r="B402" s="195" t="str">
        <f t="array" ref="B402">IFERROR(INDEX(personnel_other_inst[[#This Row],[Empty lines]:[Name organisation]],1,MATCH(TRUE,LEN(personnel_other_inst[[#This Row],[Empty lines]:[Name organisation]])&gt;0,0)),"")</f>
        <v/>
      </c>
      <c r="C402" s="195" t="str">
        <f>IFERROR(IF(AND(LEN(INDEX(#REF!,A402))+LEN(INDEX(#REF!,A402))+LEN(INDEX(#REF!,A402))+LEN(INDEX(#REF!,A402))&gt;0,LEN(INDEX(#REF!,A402-1))+LEN(INDEX(#REF!,A402-1))+LEN(INDEX(#REF!,A402-1))+LEN(INDEX(#REF!,A402-1))=0),$B$127,""),"")</f>
        <v/>
      </c>
      <c r="D402" s="195" t="str">
        <f>IFERROR(IF(AND(INDEX(#REF!,A402)="",OR(INDEX(#REF!,A402)&gt;0,INDEX(#REF!,A402)&gt;0,INDEX(#REF!,A402)&gt;0)),$B$152,""),"")</f>
        <v/>
      </c>
      <c r="E402" s="195" t="e">
        <f>SUBSTITUTE(IF(INDEX(#REF!,A402)&gt;IFERROR(INDEX(salaries_other_inst[Max hourly rate],MATCH(INDEX(#REF!,A402),salaries_other_inst[category],0),1),""),$B$153,""),"&lt;&lt;max_hourly_rate&gt;&gt;",TEXT(IFERROR(INDEX(salaries_other_inst[Max hourly rate],MATCH(INDEX(#REF!,A402),salaries_other_inst[category],0),1),""),"€ #"))</f>
        <v>#REF!</v>
      </c>
      <c r="F402" s="195" t="str">
        <f>IFERROR(IF(AND(INDEX(#REF!,A402)&lt;&gt;"",INDEX(#REF!,A402)=0),$B$155,""),"")</f>
        <v/>
      </c>
      <c r="G402" s="195" t="str">
        <f>IFERROR(IF(12*INDEX(#REF!,A402)/INDEX(#REF!,A402)&gt;pers_other_nrhours_year,checks!$B$156,""),"")</f>
        <v/>
      </c>
      <c r="H402" t="e">
        <f>IF(AND(organisation_type="yes",INDEX(#REF!,A402,1)&lt;&gt;"",ISBLANK(INDEX(#REF!,A402,1))),$B$146,"")</f>
        <v>#REF!</v>
      </c>
      <c r="I402" t="e">
        <f>IF(AND(organisation_name="yes",INDEX(#REF!,A402,1)&lt;&gt;"",ISBLANK(INDEX(#REF!,A402,1))),$B$147,"")</f>
        <v>#REF!</v>
      </c>
    </row>
    <row r="403" spans="1:9" hidden="1" outlineLevel="1" x14ac:dyDescent="0.35">
      <c r="A403" s="195">
        <v>92</v>
      </c>
      <c r="B403" s="195" t="str">
        <f t="array" ref="B403">IFERROR(INDEX(personnel_other_inst[[#This Row],[Empty lines]:[Name organisation]],1,MATCH(TRUE,LEN(personnel_other_inst[[#This Row],[Empty lines]:[Name organisation]])&gt;0,0)),"")</f>
        <v/>
      </c>
      <c r="C403" s="195" t="str">
        <f>IFERROR(IF(AND(LEN(INDEX(#REF!,A403))+LEN(INDEX(#REF!,A403))+LEN(INDEX(#REF!,A403))+LEN(INDEX(#REF!,A403))&gt;0,LEN(INDEX(#REF!,A403-1))+LEN(INDEX(#REF!,A403-1))+LEN(INDEX(#REF!,A403-1))+LEN(INDEX(#REF!,A403-1))=0),$B$127,""),"")</f>
        <v/>
      </c>
      <c r="D403" s="195" t="str">
        <f>IFERROR(IF(AND(INDEX(#REF!,A403)="",OR(INDEX(#REF!,A403)&gt;0,INDEX(#REF!,A403)&gt;0,INDEX(#REF!,A403)&gt;0)),$B$152,""),"")</f>
        <v/>
      </c>
      <c r="E403" s="195" t="e">
        <f>SUBSTITUTE(IF(INDEX(#REF!,A403)&gt;IFERROR(INDEX(salaries_other_inst[Max hourly rate],MATCH(INDEX(#REF!,A403),salaries_other_inst[category],0),1),""),$B$153,""),"&lt;&lt;max_hourly_rate&gt;&gt;",TEXT(IFERROR(INDEX(salaries_other_inst[Max hourly rate],MATCH(INDEX(#REF!,A403),salaries_other_inst[category],0),1),""),"€ #"))</f>
        <v>#REF!</v>
      </c>
      <c r="F403" s="195" t="str">
        <f>IFERROR(IF(AND(INDEX(#REF!,A403)&lt;&gt;"",INDEX(#REF!,A403)=0),$B$155,""),"")</f>
        <v/>
      </c>
      <c r="G403" s="195" t="str">
        <f>IFERROR(IF(12*INDEX(#REF!,A403)/INDEX(#REF!,A403)&gt;pers_other_nrhours_year,checks!$B$156,""),"")</f>
        <v/>
      </c>
      <c r="H403" t="e">
        <f>IF(AND(organisation_type="yes",INDEX(#REF!,A403,1)&lt;&gt;"",ISBLANK(INDEX(#REF!,A403,1))),$B$146,"")</f>
        <v>#REF!</v>
      </c>
      <c r="I403" t="e">
        <f>IF(AND(organisation_name="yes",INDEX(#REF!,A403,1)&lt;&gt;"",ISBLANK(INDEX(#REF!,A403,1))),$B$147,"")</f>
        <v>#REF!</v>
      </c>
    </row>
    <row r="404" spans="1:9" hidden="1" outlineLevel="1" x14ac:dyDescent="0.35">
      <c r="A404" s="195">
        <v>93</v>
      </c>
      <c r="B404" s="195" t="str">
        <f t="array" ref="B404">IFERROR(INDEX(personnel_other_inst[[#This Row],[Empty lines]:[Name organisation]],1,MATCH(TRUE,LEN(personnel_other_inst[[#This Row],[Empty lines]:[Name organisation]])&gt;0,0)),"")</f>
        <v/>
      </c>
      <c r="C404" s="195" t="str">
        <f>IFERROR(IF(AND(LEN(INDEX(#REF!,A404))+LEN(INDEX(#REF!,A404))+LEN(INDEX(#REF!,A404))+LEN(INDEX(#REF!,A404))&gt;0,LEN(INDEX(#REF!,A404-1))+LEN(INDEX(#REF!,A404-1))+LEN(INDEX(#REF!,A404-1))+LEN(INDEX(#REF!,A404-1))=0),$B$127,""),"")</f>
        <v/>
      </c>
      <c r="D404" s="195" t="str">
        <f>IFERROR(IF(AND(INDEX(#REF!,A404)="",OR(INDEX(#REF!,A404)&gt;0,INDEX(#REF!,A404)&gt;0,INDEX(#REF!,A404)&gt;0)),$B$152,""),"")</f>
        <v/>
      </c>
      <c r="E404" s="195" t="e">
        <f>SUBSTITUTE(IF(INDEX(#REF!,A404)&gt;IFERROR(INDEX(salaries_other_inst[Max hourly rate],MATCH(INDEX(#REF!,A404),salaries_other_inst[category],0),1),""),$B$153,""),"&lt;&lt;max_hourly_rate&gt;&gt;",TEXT(IFERROR(INDEX(salaries_other_inst[Max hourly rate],MATCH(INDEX(#REF!,A404),salaries_other_inst[category],0),1),""),"€ #"))</f>
        <v>#REF!</v>
      </c>
      <c r="F404" s="195" t="str">
        <f>IFERROR(IF(AND(INDEX(#REF!,A404)&lt;&gt;"",INDEX(#REF!,A404)=0),$B$155,""),"")</f>
        <v/>
      </c>
      <c r="G404" s="195" t="str">
        <f>IFERROR(IF(12*INDEX(#REF!,A404)/INDEX(#REF!,A404)&gt;pers_other_nrhours_year,checks!$B$156,""),"")</f>
        <v/>
      </c>
      <c r="H404" t="e">
        <f>IF(AND(organisation_type="yes",INDEX(#REF!,A404,1)&lt;&gt;"",ISBLANK(INDEX(#REF!,A404,1))),$B$146,"")</f>
        <v>#REF!</v>
      </c>
      <c r="I404" t="e">
        <f>IF(AND(organisation_name="yes",INDEX(#REF!,A404,1)&lt;&gt;"",ISBLANK(INDEX(#REF!,A404,1))),$B$147,"")</f>
        <v>#REF!</v>
      </c>
    </row>
    <row r="405" spans="1:9" hidden="1" outlineLevel="1" x14ac:dyDescent="0.35">
      <c r="A405" s="195">
        <v>94</v>
      </c>
      <c r="B405" s="195" t="str">
        <f t="array" ref="B405">IFERROR(INDEX(personnel_other_inst[[#This Row],[Empty lines]:[Name organisation]],1,MATCH(TRUE,LEN(personnel_other_inst[[#This Row],[Empty lines]:[Name organisation]])&gt;0,0)),"")</f>
        <v/>
      </c>
      <c r="C405" s="195" t="str">
        <f>IFERROR(IF(AND(LEN(INDEX(#REF!,A405))+LEN(INDEX(#REF!,A405))+LEN(INDEX(#REF!,A405))+LEN(INDEX(#REF!,A405))&gt;0,LEN(INDEX(#REF!,A405-1))+LEN(INDEX(#REF!,A405-1))+LEN(INDEX(#REF!,A405-1))+LEN(INDEX(#REF!,A405-1))=0),$B$127,""),"")</f>
        <v/>
      </c>
      <c r="D405" s="195" t="str">
        <f>IFERROR(IF(AND(INDEX(#REF!,A405)="",OR(INDEX(#REF!,A405)&gt;0,INDEX(#REF!,A405)&gt;0,INDEX(#REF!,A405)&gt;0)),$B$152,""),"")</f>
        <v/>
      </c>
      <c r="E405" s="195" t="e">
        <f>SUBSTITUTE(IF(INDEX(#REF!,A405)&gt;IFERROR(INDEX(salaries_other_inst[Max hourly rate],MATCH(INDEX(#REF!,A405),salaries_other_inst[category],0),1),""),$B$153,""),"&lt;&lt;max_hourly_rate&gt;&gt;",TEXT(IFERROR(INDEX(salaries_other_inst[Max hourly rate],MATCH(INDEX(#REF!,A405),salaries_other_inst[category],0),1),""),"€ #"))</f>
        <v>#REF!</v>
      </c>
      <c r="F405" s="195" t="str">
        <f>IFERROR(IF(AND(INDEX(#REF!,A405)&lt;&gt;"",INDEX(#REF!,A405)=0),$B$155,""),"")</f>
        <v/>
      </c>
      <c r="G405" s="195" t="str">
        <f>IFERROR(IF(12*INDEX(#REF!,A405)/INDEX(#REF!,A405)&gt;pers_other_nrhours_year,checks!$B$156,""),"")</f>
        <v/>
      </c>
      <c r="H405" t="e">
        <f>IF(AND(organisation_type="yes",INDEX(#REF!,A405,1)&lt;&gt;"",ISBLANK(INDEX(#REF!,A405,1))),$B$146,"")</f>
        <v>#REF!</v>
      </c>
      <c r="I405" t="e">
        <f>IF(AND(organisation_name="yes",INDEX(#REF!,A405,1)&lt;&gt;"",ISBLANK(INDEX(#REF!,A405,1))),$B$147,"")</f>
        <v>#REF!</v>
      </c>
    </row>
    <row r="406" spans="1:9" hidden="1" outlineLevel="1" x14ac:dyDescent="0.35">
      <c r="A406" s="195">
        <v>95</v>
      </c>
      <c r="B406" s="195" t="str">
        <f t="array" ref="B406">IFERROR(INDEX(personnel_other_inst[[#This Row],[Empty lines]:[Name organisation]],1,MATCH(TRUE,LEN(personnel_other_inst[[#This Row],[Empty lines]:[Name organisation]])&gt;0,0)),"")</f>
        <v/>
      </c>
      <c r="C406" s="195" t="str">
        <f>IFERROR(IF(AND(LEN(INDEX(#REF!,A406))+LEN(INDEX(#REF!,A406))+LEN(INDEX(#REF!,A406))+LEN(INDEX(#REF!,A406))&gt;0,LEN(INDEX(#REF!,A406-1))+LEN(INDEX(#REF!,A406-1))+LEN(INDEX(#REF!,A406-1))+LEN(INDEX(#REF!,A406-1))=0),$B$127,""),"")</f>
        <v/>
      </c>
      <c r="D406" s="195" t="str">
        <f>IFERROR(IF(AND(INDEX(#REF!,A406)="",OR(INDEX(#REF!,A406)&gt;0,INDEX(#REF!,A406)&gt;0,INDEX(#REF!,A406)&gt;0)),$B$152,""),"")</f>
        <v/>
      </c>
      <c r="E406" s="195" t="e">
        <f>SUBSTITUTE(IF(INDEX(#REF!,A406)&gt;IFERROR(INDEX(salaries_other_inst[Max hourly rate],MATCH(INDEX(#REF!,A406),salaries_other_inst[category],0),1),""),$B$153,""),"&lt;&lt;max_hourly_rate&gt;&gt;",TEXT(IFERROR(INDEX(salaries_other_inst[Max hourly rate],MATCH(INDEX(#REF!,A406),salaries_other_inst[category],0),1),""),"€ #"))</f>
        <v>#REF!</v>
      </c>
      <c r="F406" s="195" t="str">
        <f>IFERROR(IF(AND(INDEX(#REF!,A406)&lt;&gt;"",INDEX(#REF!,A406)=0),$B$155,""),"")</f>
        <v/>
      </c>
      <c r="G406" s="195" t="str">
        <f>IFERROR(IF(12*INDEX(#REF!,A406)/INDEX(#REF!,A406)&gt;pers_other_nrhours_year,checks!$B$156,""),"")</f>
        <v/>
      </c>
      <c r="H406" t="e">
        <f>IF(AND(organisation_type="yes",INDEX(#REF!,A406,1)&lt;&gt;"",ISBLANK(INDEX(#REF!,A406,1))),$B$146,"")</f>
        <v>#REF!</v>
      </c>
      <c r="I406" t="e">
        <f>IF(AND(organisation_name="yes",INDEX(#REF!,A406,1)&lt;&gt;"",ISBLANK(INDEX(#REF!,A406,1))),$B$147,"")</f>
        <v>#REF!</v>
      </c>
    </row>
    <row r="407" spans="1:9" hidden="1" outlineLevel="1" x14ac:dyDescent="0.35">
      <c r="A407" s="195">
        <v>96</v>
      </c>
      <c r="B407" s="195" t="str">
        <f t="array" ref="B407">IFERROR(INDEX(personnel_other_inst[[#This Row],[Empty lines]:[Name organisation]],1,MATCH(TRUE,LEN(personnel_other_inst[[#This Row],[Empty lines]:[Name organisation]])&gt;0,0)),"")</f>
        <v/>
      </c>
      <c r="C407" s="195" t="str">
        <f>IFERROR(IF(AND(LEN(INDEX(#REF!,A407))+LEN(INDEX(#REF!,A407))+LEN(INDEX(#REF!,A407))+LEN(INDEX(#REF!,A407))&gt;0,LEN(INDEX(#REF!,A407-1))+LEN(INDEX(#REF!,A407-1))+LEN(INDEX(#REF!,A407-1))+LEN(INDEX(#REF!,A407-1))=0),$B$127,""),"")</f>
        <v/>
      </c>
      <c r="D407" s="195" t="str">
        <f>IFERROR(IF(AND(INDEX(#REF!,A407)="",OR(INDEX(#REF!,A407)&gt;0,INDEX(#REF!,A407)&gt;0,INDEX(#REF!,A407)&gt;0)),$B$152,""),"")</f>
        <v/>
      </c>
      <c r="E407" s="195" t="e">
        <f>SUBSTITUTE(IF(INDEX(#REF!,A407)&gt;IFERROR(INDEX(salaries_other_inst[Max hourly rate],MATCH(INDEX(#REF!,A407),salaries_other_inst[category],0),1),""),$B$153,""),"&lt;&lt;max_hourly_rate&gt;&gt;",TEXT(IFERROR(INDEX(salaries_other_inst[Max hourly rate],MATCH(INDEX(#REF!,A407),salaries_other_inst[category],0),1),""),"€ #"))</f>
        <v>#REF!</v>
      </c>
      <c r="F407" s="195" t="str">
        <f>IFERROR(IF(AND(INDEX(#REF!,A407)&lt;&gt;"",INDEX(#REF!,A407)=0),$B$155,""),"")</f>
        <v/>
      </c>
      <c r="G407" s="195" t="str">
        <f>IFERROR(IF(12*INDEX(#REF!,A407)/INDEX(#REF!,A407)&gt;pers_other_nrhours_year,checks!$B$156,""),"")</f>
        <v/>
      </c>
      <c r="H407" t="e">
        <f>IF(AND(organisation_type="yes",INDEX(#REF!,A407,1)&lt;&gt;"",ISBLANK(INDEX(#REF!,A407,1))),$B$146,"")</f>
        <v>#REF!</v>
      </c>
      <c r="I407" t="e">
        <f>IF(AND(organisation_name="yes",INDEX(#REF!,A407,1)&lt;&gt;"",ISBLANK(INDEX(#REF!,A407,1))),$B$147,"")</f>
        <v>#REF!</v>
      </c>
    </row>
    <row r="408" spans="1:9" hidden="1" outlineLevel="1" x14ac:dyDescent="0.35">
      <c r="A408" s="195">
        <v>97</v>
      </c>
      <c r="B408" s="195" t="str">
        <f t="array" ref="B408">IFERROR(INDEX(personnel_other_inst[[#This Row],[Empty lines]:[Name organisation]],1,MATCH(TRUE,LEN(personnel_other_inst[[#This Row],[Empty lines]:[Name organisation]])&gt;0,0)),"")</f>
        <v/>
      </c>
      <c r="C408" s="195" t="str">
        <f>IFERROR(IF(AND(LEN(INDEX(#REF!,A408))+LEN(INDEX(#REF!,A408))+LEN(INDEX(#REF!,A408))+LEN(INDEX(#REF!,A408))&gt;0,LEN(INDEX(#REF!,A408-1))+LEN(INDEX(#REF!,A408-1))+LEN(INDEX(#REF!,A408-1))+LEN(INDEX(#REF!,A408-1))=0),$B$127,""),"")</f>
        <v/>
      </c>
      <c r="D408" s="195" t="str">
        <f>IFERROR(IF(AND(INDEX(#REF!,A408)="",OR(INDEX(#REF!,A408)&gt;0,INDEX(#REF!,A408)&gt;0,INDEX(#REF!,A408)&gt;0)),$B$152,""),"")</f>
        <v/>
      </c>
      <c r="E408" s="195" t="e">
        <f>SUBSTITUTE(IF(INDEX(#REF!,A408)&gt;IFERROR(INDEX(salaries_other_inst[Max hourly rate],MATCH(INDEX(#REF!,A408),salaries_other_inst[category],0),1),""),$B$153,""),"&lt;&lt;max_hourly_rate&gt;&gt;",TEXT(IFERROR(INDEX(salaries_other_inst[Max hourly rate],MATCH(INDEX(#REF!,A408),salaries_other_inst[category],0),1),""),"€ #"))</f>
        <v>#REF!</v>
      </c>
      <c r="F408" s="195" t="str">
        <f>IFERROR(IF(AND(INDEX(#REF!,A408)&lt;&gt;"",INDEX(#REF!,A408)=0),$B$155,""),"")</f>
        <v/>
      </c>
      <c r="G408" s="195" t="str">
        <f>IFERROR(IF(12*INDEX(#REF!,A408)/INDEX(#REF!,A408)&gt;pers_other_nrhours_year,checks!$B$156,""),"")</f>
        <v/>
      </c>
      <c r="H408" t="e">
        <f>IF(AND(organisation_type="yes",INDEX(#REF!,A408,1)&lt;&gt;"",ISBLANK(INDEX(#REF!,A408,1))),$B$146,"")</f>
        <v>#REF!</v>
      </c>
      <c r="I408" t="e">
        <f>IF(AND(organisation_name="yes",INDEX(#REF!,A408,1)&lt;&gt;"",ISBLANK(INDEX(#REF!,A408,1))),$B$147,"")</f>
        <v>#REF!</v>
      </c>
    </row>
    <row r="409" spans="1:9" hidden="1" outlineLevel="1" x14ac:dyDescent="0.35">
      <c r="A409" s="195">
        <v>98</v>
      </c>
      <c r="B409" s="195" t="str">
        <f t="array" ref="B409">IFERROR(INDEX(personnel_other_inst[[#This Row],[Empty lines]:[Name organisation]],1,MATCH(TRUE,LEN(personnel_other_inst[[#This Row],[Empty lines]:[Name organisation]])&gt;0,0)),"")</f>
        <v/>
      </c>
      <c r="C409" s="195" t="str">
        <f>IFERROR(IF(AND(LEN(INDEX(#REF!,A409))+LEN(INDEX(#REF!,A409))+LEN(INDEX(#REF!,A409))+LEN(INDEX(#REF!,A409))&gt;0,LEN(INDEX(#REF!,A409-1))+LEN(INDEX(#REF!,A409-1))+LEN(INDEX(#REF!,A409-1))+LEN(INDEX(#REF!,A409-1))=0),$B$127,""),"")</f>
        <v/>
      </c>
      <c r="D409" s="195" t="str">
        <f>IFERROR(IF(AND(INDEX(#REF!,A409)="",OR(INDEX(#REF!,A409)&gt;0,INDEX(#REF!,A409)&gt;0,INDEX(#REF!,A409)&gt;0)),$B$152,""),"")</f>
        <v/>
      </c>
      <c r="E409" s="195" t="e">
        <f>SUBSTITUTE(IF(INDEX(#REF!,A409)&gt;IFERROR(INDEX(salaries_other_inst[Max hourly rate],MATCH(INDEX(#REF!,A409),salaries_other_inst[category],0),1),""),$B$153,""),"&lt;&lt;max_hourly_rate&gt;&gt;",TEXT(IFERROR(INDEX(salaries_other_inst[Max hourly rate],MATCH(INDEX(#REF!,A409),salaries_other_inst[category],0),1),""),"€ #"))</f>
        <v>#REF!</v>
      </c>
      <c r="F409" s="195" t="str">
        <f>IFERROR(IF(AND(INDEX(#REF!,A409)&lt;&gt;"",INDEX(#REF!,A409)=0),$B$155,""),"")</f>
        <v/>
      </c>
      <c r="G409" s="195" t="str">
        <f>IFERROR(IF(12*INDEX(#REF!,A409)/INDEX(#REF!,A409)&gt;pers_other_nrhours_year,checks!$B$156,""),"")</f>
        <v/>
      </c>
      <c r="H409" t="e">
        <f>IF(AND(organisation_type="yes",INDEX(#REF!,A409,1)&lt;&gt;"",ISBLANK(INDEX(#REF!,A409,1))),$B$146,"")</f>
        <v>#REF!</v>
      </c>
      <c r="I409" t="e">
        <f>IF(AND(organisation_name="yes",INDEX(#REF!,A409,1)&lt;&gt;"",ISBLANK(INDEX(#REF!,A409,1))),$B$147,"")</f>
        <v>#REF!</v>
      </c>
    </row>
    <row r="410" spans="1:9" hidden="1" outlineLevel="1" x14ac:dyDescent="0.35">
      <c r="A410" s="195">
        <v>99</v>
      </c>
      <c r="B410" s="195" t="str">
        <f t="array" ref="B410">IFERROR(INDEX(personnel_other_inst[[#This Row],[Empty lines]:[Name organisation]],1,MATCH(TRUE,LEN(personnel_other_inst[[#This Row],[Empty lines]:[Name organisation]])&gt;0,0)),"")</f>
        <v/>
      </c>
      <c r="C410" s="195" t="str">
        <f>IFERROR(IF(AND(LEN(INDEX(#REF!,A410))+LEN(INDEX(#REF!,A410))+LEN(INDEX(#REF!,A410))+LEN(INDEX(#REF!,A410))&gt;0,LEN(INDEX(#REF!,A410-1))+LEN(INDEX(#REF!,A410-1))+LEN(INDEX(#REF!,A410-1))+LEN(INDEX(#REF!,A410-1))=0),$B$127,""),"")</f>
        <v/>
      </c>
      <c r="D410" s="195" t="str">
        <f>IFERROR(IF(AND(INDEX(#REF!,A410)="",OR(INDEX(#REF!,A410)&gt;0,INDEX(#REF!,A410)&gt;0,INDEX(#REF!,A410)&gt;0)),$B$152,""),"")</f>
        <v/>
      </c>
      <c r="E410" s="195" t="e">
        <f>SUBSTITUTE(IF(INDEX(#REF!,A410)&gt;IFERROR(INDEX(salaries_other_inst[Max hourly rate],MATCH(INDEX(#REF!,A410),salaries_other_inst[category],0),1),""),$B$153,""),"&lt;&lt;max_hourly_rate&gt;&gt;",TEXT(IFERROR(INDEX(salaries_other_inst[Max hourly rate],MATCH(INDEX(#REF!,A410),salaries_other_inst[category],0),1),""),"€ #"))</f>
        <v>#REF!</v>
      </c>
      <c r="F410" s="195" t="str">
        <f>IFERROR(IF(AND(INDEX(#REF!,A410)&lt;&gt;"",INDEX(#REF!,A410)=0),$B$155,""),"")</f>
        <v/>
      </c>
      <c r="G410" s="195" t="str">
        <f>IFERROR(IF(12*INDEX(#REF!,A410)/INDEX(#REF!,A410)&gt;pers_other_nrhours_year,checks!$B$156,""),"")</f>
        <v/>
      </c>
      <c r="H410" t="e">
        <f>IF(AND(organisation_type="yes",INDEX(#REF!,A410,1)&lt;&gt;"",ISBLANK(INDEX(#REF!,A410,1))),$B$146,"")</f>
        <v>#REF!</v>
      </c>
      <c r="I410" t="e">
        <f>IF(AND(organisation_name="yes",INDEX(#REF!,A410,1)&lt;&gt;"",ISBLANK(INDEX(#REF!,A410,1))),$B$147,"")</f>
        <v>#REF!</v>
      </c>
    </row>
    <row r="411" spans="1:9" hidden="1" outlineLevel="1" x14ac:dyDescent="0.35">
      <c r="A411" s="195">
        <v>100</v>
      </c>
      <c r="B411" s="195" t="str">
        <f t="array" ref="B411">IFERROR(INDEX(personnel_other_inst[[#This Row],[Empty lines]:[Name organisation]],1,MATCH(TRUE,LEN(personnel_other_inst[[#This Row],[Empty lines]:[Name organisation]])&gt;0,0)),"")</f>
        <v/>
      </c>
      <c r="C411" s="195" t="str">
        <f>IFERROR(IF(AND(LEN(INDEX(#REF!,A411))+LEN(INDEX(#REF!,A411))+LEN(INDEX(#REF!,A411))+LEN(INDEX(#REF!,A411))&gt;0,LEN(INDEX(#REF!,A411-1))+LEN(INDEX(#REF!,A411-1))+LEN(INDEX(#REF!,A411-1))+LEN(INDEX(#REF!,A411-1))=0),$B$127,""),"")</f>
        <v/>
      </c>
      <c r="D411" s="195" t="str">
        <f>IFERROR(IF(AND(INDEX(#REF!,A411)="",OR(INDEX(#REF!,A411)&gt;0,INDEX(#REF!,A411)&gt;0,INDEX(#REF!,A411)&gt;0)),$B$152,""),"")</f>
        <v/>
      </c>
      <c r="E411" s="195" t="e">
        <f>SUBSTITUTE(IF(INDEX(#REF!,A411)&gt;IFERROR(INDEX(salaries_other_inst[Max hourly rate],MATCH(INDEX(#REF!,A411),salaries_other_inst[category],0),1),""),$B$153,""),"&lt;&lt;max_hourly_rate&gt;&gt;",TEXT(IFERROR(INDEX(salaries_other_inst[Max hourly rate],MATCH(INDEX(#REF!,A411),salaries_other_inst[category],0),1),""),"€ #"))</f>
        <v>#REF!</v>
      </c>
      <c r="F411" s="195" t="str">
        <f>IFERROR(IF(AND(INDEX(#REF!,A411)&lt;&gt;"",INDEX(#REF!,A411)=0),$B$155,""),"")</f>
        <v/>
      </c>
      <c r="G411" s="195" t="str">
        <f>IFERROR(IF(12*INDEX(#REF!,A411)/INDEX(#REF!,A411)&gt;pers_other_nrhours_year,checks!$B$156,""),"")</f>
        <v/>
      </c>
      <c r="H411" t="e">
        <f>IF(AND(organisation_type="yes",INDEX(#REF!,A411,1)&lt;&gt;"",ISBLANK(INDEX(#REF!,A411,1))),$B$146,"")</f>
        <v>#REF!</v>
      </c>
      <c r="I411" t="e">
        <f>IF(AND(organisation_name="yes",INDEX(#REF!,A411,1)&lt;&gt;"",ISBLANK(INDEX(#REF!,A411,1))),$B$147,"")</f>
        <v>#REF!</v>
      </c>
    </row>
    <row r="412" spans="1:9" collapsed="1" x14ac:dyDescent="0.35"/>
    <row r="414" spans="1:9" ht="37" collapsed="1" x14ac:dyDescent="0.35">
      <c r="A414" s="217" t="s">
        <v>736</v>
      </c>
    </row>
    <row r="415" spans="1:9" hidden="1" outlineLevel="1" x14ac:dyDescent="0.35">
      <c r="A415" s="260" t="s">
        <v>579</v>
      </c>
      <c r="B415" s="261" t="s">
        <v>592</v>
      </c>
      <c r="C415" s="261" t="s">
        <v>800</v>
      </c>
      <c r="D415" s="261" t="s">
        <v>690</v>
      </c>
      <c r="E415" s="261" t="s">
        <v>691</v>
      </c>
      <c r="F415" s="365" t="s">
        <v>786</v>
      </c>
      <c r="G415" s="365" t="s">
        <v>774</v>
      </c>
      <c r="H415" s="218" t="s">
        <v>66</v>
      </c>
      <c r="I415" s="218" t="s">
        <v>732</v>
      </c>
    </row>
    <row r="416" spans="1:9" hidden="1" outlineLevel="1" x14ac:dyDescent="0.35">
      <c r="A416" s="195">
        <v>1</v>
      </c>
      <c r="B416" s="195" t="str">
        <f t="array" ref="B416">IFERROR(INDEX(personnel_other_inst_21[[#This Row],[Empty lines]:[Name organisation]],1,MATCH(TRUE,LEN(personnel_other_inst_21[[#This Row],[Empty lines]:[Name organisation]])&gt;0,0)),"")</f>
        <v/>
      </c>
      <c r="C416" s="195" t="str">
        <f>IFERROR(IF(AND(LEN(INDEX(#REF!,A416))+LEN(INDEX(#REF!,A416))+LEN(INDEX(#REF!,A416))+LEN(INDEX(#REF!,A416))+LEN(INDEX(#REF!,A416))&gt;0,LEN(INDEX(#REF!,A416-1))++LEN(INDEX(#REF!,A416-1))+LEN(INDEX(#REF!,A416-1))+LEN(INDEX(#REF!,A416-1))+LEN(INDEX(#REF!,A416-1))=0),$B$127,""),"")</f>
        <v/>
      </c>
      <c r="D416" s="195" t="str">
        <f>IFERROR(IF(AND(INDEX(#REF!,A416)="",OR(INDEX(#REF!,A416)&gt;0,INDEX(#REF!,A416)&gt;0,INDEX(#REF!,A416)&gt;0)),$B$154,""),"")</f>
        <v/>
      </c>
      <c r="E416" s="195" t="e">
        <f>SUBSTITUTE(IF(INDEX(#REF!,A416)&gt;IFERROR(INDEX(salaries_other_inst[Max hourly rate],MATCH(INDEX(#REF!,A416),salaries_other_inst[category],0),1),""),$B$153,""),"&lt;&lt;max_hourly_rate&gt;&gt;",TEXT(IFERROR(INDEX(salaries_other_inst[Max hourly rate],MATCH(INDEX(#REF!,A416),salaries_other_inst[category],0),1),""),"€ #"))</f>
        <v>#REF!</v>
      </c>
      <c r="F416" s="195" t="str">
        <f>IFERROR(IF(AND(INDEX(#REF!,A416)&lt;&gt;"",INDEX(#REF!,A416)=0),$B$155,""),"")</f>
        <v/>
      </c>
      <c r="G416" s="195" t="str">
        <f>IFERROR(IF(12*INDEX(#REF!,A416)/INDEX(#REF!,A416)&gt;pers_other_nrhours_year,checks!$A$156,""),"")</f>
        <v/>
      </c>
      <c r="H416" t="e">
        <f>IF(AND(organisation_type="yes",INDEX(#REF!,A312,1)&lt;&gt;"",ISBLANK(INDEX(#REF!,A312,1))),$B$146,"")</f>
        <v>#REF!</v>
      </c>
      <c r="I416" t="e">
        <f>IF(AND(organisation_name="yes",INDEX(#REF!,A416,1)&lt;&gt;"",ISBLANK(INDEX(#REF!,A416,1))),$B$147,"")</f>
        <v>#REF!</v>
      </c>
    </row>
    <row r="417" spans="1:9" hidden="1" outlineLevel="1" x14ac:dyDescent="0.35">
      <c r="A417" s="195">
        <v>2</v>
      </c>
      <c r="B417" s="195" t="str">
        <f t="array" ref="B417">IFERROR(INDEX(personnel_other_inst_21[[#This Row],[Empty lines]:[Name organisation]],1,MATCH(TRUE,LEN(personnel_other_inst_21[[#This Row],[Empty lines]:[Name organisation]])&gt;0,0)),"")</f>
        <v/>
      </c>
      <c r="C417" s="195" t="str">
        <f>IFERROR(IF(AND(LEN(INDEX(#REF!,A417))+LEN(INDEX(#REF!,A417))+LEN(INDEX(#REF!,A417))+LEN(INDEX(#REF!,A417))+LEN(INDEX(#REF!,A417))&gt;0,LEN(INDEX(#REF!,A417-1))++LEN(INDEX(#REF!,A417-1))+LEN(INDEX(#REF!,A417-1))+LEN(INDEX(#REF!,A417-1))+LEN(INDEX(#REF!,A417-1))=0),$B$127,""),"")</f>
        <v/>
      </c>
      <c r="D417" s="195" t="str">
        <f>IFERROR(IF(AND(INDEX(#REF!,A417)="",OR(INDEX(#REF!,A417)&gt;0,INDEX(#REF!,A417)&gt;0,INDEX(#REF!,A417)&gt;0)),$B$154,""),"")</f>
        <v/>
      </c>
      <c r="E417" s="195" t="e">
        <f>SUBSTITUTE(IF(INDEX(#REF!,A417)&gt;IFERROR(INDEX(salaries_other_inst[Max hourly rate],MATCH(INDEX(#REF!,A417),salaries_other_inst[category],0),1),""),$B$153,""),"&lt;&lt;max_hourly_rate&gt;&gt;",TEXT(IFERROR(INDEX(salaries_other_inst[Max hourly rate],MATCH(INDEX(#REF!,A417),salaries_other_inst[category],0),1),""),"€ #"))</f>
        <v>#REF!</v>
      </c>
      <c r="F417" s="195" t="str">
        <f>IFERROR(IF(AND(INDEX(#REF!,A417)&lt;&gt;"",INDEX(#REF!,A417)=0),$B$155,""),"")</f>
        <v/>
      </c>
      <c r="G417" s="195" t="str">
        <f>IFERROR(IF(12*INDEX(#REF!,A417)/INDEX(#REF!,A417)&gt;pers_other_nrhours_year,checks!$A$156,""),"")</f>
        <v/>
      </c>
      <c r="H417" t="e">
        <f>IF(AND(organisation_type="yes",INDEX(#REF!,A313,1)&lt;&gt;"",ISBLANK(INDEX(#REF!,A313,1))),$B$146,"")</f>
        <v>#REF!</v>
      </c>
      <c r="I417" t="e">
        <f>IF(AND(organisation_name="yes",INDEX(#REF!,A417,1)&lt;&gt;"",ISBLANK(INDEX(#REF!,A417,1))),$B$147,"")</f>
        <v>#REF!</v>
      </c>
    </row>
    <row r="418" spans="1:9" hidden="1" outlineLevel="1" x14ac:dyDescent="0.35">
      <c r="A418" s="195">
        <v>3</v>
      </c>
      <c r="B418" s="195" t="str">
        <f t="array" ref="B418">IFERROR(INDEX(personnel_other_inst_21[[#This Row],[Empty lines]:[Name organisation]],1,MATCH(TRUE,LEN(personnel_other_inst_21[[#This Row],[Empty lines]:[Name organisation]])&gt;0,0)),"")</f>
        <v/>
      </c>
      <c r="C418" s="195" t="str">
        <f>IFERROR(IF(AND(LEN(INDEX(#REF!,A418))+LEN(INDEX(#REF!,A418))+LEN(INDEX(#REF!,A418))+LEN(INDEX(#REF!,A418))+LEN(INDEX(#REF!,A418))&gt;0,LEN(INDEX(#REF!,A418-1))++LEN(INDEX(#REF!,A418-1))+LEN(INDEX(#REF!,A418-1))+LEN(INDEX(#REF!,A418-1))+LEN(INDEX(#REF!,A418-1))=0),$B$127,""),"")</f>
        <v/>
      </c>
      <c r="D418" s="195" t="str">
        <f>IFERROR(IF(AND(INDEX(#REF!,A418)="",OR(INDEX(#REF!,A418)&gt;0,INDEX(#REF!,A418)&gt;0,INDEX(#REF!,A418)&gt;0)),$B$154,""),"")</f>
        <v/>
      </c>
      <c r="E418" s="195" t="e">
        <f>SUBSTITUTE(IF(INDEX(#REF!,A418)&gt;IFERROR(INDEX(salaries_other_inst[Max hourly rate],MATCH(INDEX(#REF!,A418),salaries_other_inst[category],0),1),""),$B$153,""),"&lt;&lt;max_hourly_rate&gt;&gt;",TEXT(IFERROR(INDEX(salaries_other_inst[Max hourly rate],MATCH(INDEX(#REF!,A418),salaries_other_inst[category],0),1),""),"€ #"))</f>
        <v>#REF!</v>
      </c>
      <c r="F418" s="195" t="str">
        <f>IFERROR(IF(AND(INDEX(#REF!,A418)&lt;&gt;"",INDEX(#REF!,A418)=0),$B$155,""),"")</f>
        <v/>
      </c>
      <c r="G418" s="195" t="str">
        <f>IFERROR(IF(12*INDEX(#REF!,A418)/INDEX(#REF!,A418)&gt;pers_other_nrhours_year,checks!$A$156,""),"")</f>
        <v/>
      </c>
      <c r="H418" t="e">
        <f>IF(AND(organisation_type="yes",INDEX(#REF!,A314,1)&lt;&gt;"",ISBLANK(INDEX(#REF!,A314,1))),$B$146,"")</f>
        <v>#REF!</v>
      </c>
      <c r="I418" t="e">
        <f>IF(AND(organisation_name="yes",INDEX(#REF!,A418,1)&lt;&gt;"",ISBLANK(INDEX(#REF!,A418,1))),$B$147,"")</f>
        <v>#REF!</v>
      </c>
    </row>
    <row r="419" spans="1:9" hidden="1" outlineLevel="1" x14ac:dyDescent="0.35">
      <c r="A419" s="195">
        <v>4</v>
      </c>
      <c r="B419" s="195" t="str">
        <f t="array" ref="B419">IFERROR(INDEX(personnel_other_inst_21[[#This Row],[Empty lines]:[Name organisation]],1,MATCH(TRUE,LEN(personnel_other_inst_21[[#This Row],[Empty lines]:[Name organisation]])&gt;0,0)),"")</f>
        <v/>
      </c>
      <c r="C419" s="195" t="str">
        <f>IFERROR(IF(AND(LEN(INDEX(#REF!,A419))+LEN(INDEX(#REF!,A419))+LEN(INDEX(#REF!,A419))+LEN(INDEX(#REF!,A419))+LEN(INDEX(#REF!,A419))&gt;0,LEN(INDEX(#REF!,A419-1))++LEN(INDEX(#REF!,A419-1))+LEN(INDEX(#REF!,A419-1))+LEN(INDEX(#REF!,A419-1))+LEN(INDEX(#REF!,A419-1))=0),$B$127,""),"")</f>
        <v/>
      </c>
      <c r="D419" s="195" t="str">
        <f>IFERROR(IF(AND(INDEX(#REF!,A419)="",OR(INDEX(#REF!,A419)&gt;0,INDEX(#REF!,A419)&gt;0,INDEX(#REF!,A419)&gt;0)),$B$154,""),"")</f>
        <v/>
      </c>
      <c r="E419" s="195" t="e">
        <f>SUBSTITUTE(IF(INDEX(#REF!,A419)&gt;IFERROR(INDEX(salaries_other_inst[Max hourly rate],MATCH(INDEX(#REF!,A419),salaries_other_inst[category],0),1),""),$B$153,""),"&lt;&lt;max_hourly_rate&gt;&gt;",TEXT(IFERROR(INDEX(salaries_other_inst[Max hourly rate],MATCH(INDEX(#REF!,A419),salaries_other_inst[category],0),1),""),"€ #"))</f>
        <v>#REF!</v>
      </c>
      <c r="F419" s="195" t="str">
        <f>IFERROR(IF(AND(INDEX(#REF!,A419)&lt;&gt;"",INDEX(#REF!,A419)=0),$B$155,""),"")</f>
        <v/>
      </c>
      <c r="G419" s="195" t="str">
        <f>IFERROR(IF(12*INDEX(#REF!,A419)/INDEX(#REF!,A419)&gt;pers_other_nrhours_year,checks!$A$156,""),"")</f>
        <v/>
      </c>
      <c r="H419" t="e">
        <f>IF(AND(organisation_type="yes",INDEX(#REF!,A315,1)&lt;&gt;"",ISBLANK(INDEX(#REF!,A315,1))),$B$146,"")</f>
        <v>#REF!</v>
      </c>
      <c r="I419" t="e">
        <f>IF(AND(organisation_name="yes",INDEX(#REF!,A419,1)&lt;&gt;"",ISBLANK(INDEX(#REF!,A419,1))),$B$147,"")</f>
        <v>#REF!</v>
      </c>
    </row>
    <row r="420" spans="1:9" hidden="1" outlineLevel="1" x14ac:dyDescent="0.35">
      <c r="A420" s="195">
        <v>5</v>
      </c>
      <c r="B420" s="195" t="str">
        <f t="array" ref="B420">IFERROR(INDEX(personnel_other_inst_21[[#This Row],[Empty lines]:[Name organisation]],1,MATCH(TRUE,LEN(personnel_other_inst_21[[#This Row],[Empty lines]:[Name organisation]])&gt;0,0)),"")</f>
        <v/>
      </c>
      <c r="C420" s="195" t="str">
        <f>IFERROR(IF(AND(LEN(INDEX(#REF!,A420))+LEN(INDEX(#REF!,A420))+LEN(INDEX(#REF!,A420))+LEN(INDEX(#REF!,A420))+LEN(INDEX(#REF!,A420))&gt;0,LEN(INDEX(#REF!,A420-1))++LEN(INDEX(#REF!,A420-1))+LEN(INDEX(#REF!,A420-1))+LEN(INDEX(#REF!,A420-1))+LEN(INDEX(#REF!,A420-1))=0),$B$127,""),"")</f>
        <v/>
      </c>
      <c r="D420" s="195" t="str">
        <f>IFERROR(IF(AND(INDEX(#REF!,A420)="",OR(INDEX(#REF!,A420)&gt;0,INDEX(#REF!,A420)&gt;0,INDEX(#REF!,A420)&gt;0)),$B$154,""),"")</f>
        <v/>
      </c>
      <c r="E420" s="195" t="e">
        <f>SUBSTITUTE(IF(INDEX(#REF!,A420)&gt;IFERROR(INDEX(salaries_other_inst[Max hourly rate],MATCH(INDEX(#REF!,A420),salaries_other_inst[category],0),1),""),$B$153,""),"&lt;&lt;max_hourly_rate&gt;&gt;",TEXT(IFERROR(INDEX(salaries_other_inst[Max hourly rate],MATCH(INDEX(#REF!,A420),salaries_other_inst[category],0),1),""),"€ #"))</f>
        <v>#REF!</v>
      </c>
      <c r="F420" s="195" t="str">
        <f>IFERROR(IF(AND(INDEX(#REF!,A420)&lt;&gt;"",INDEX(#REF!,A420)=0),$B$155,""),"")</f>
        <v/>
      </c>
      <c r="G420" s="195" t="str">
        <f>IFERROR(IF(12*INDEX(#REF!,A420)/INDEX(#REF!,A420)&gt;pers_other_nrhours_year,checks!$A$156,""),"")</f>
        <v/>
      </c>
      <c r="H420" t="e">
        <f>IF(AND(organisation_type="yes",INDEX(#REF!,A316,1)&lt;&gt;"",ISBLANK(INDEX(#REF!,A316,1))),$B$146,"")</f>
        <v>#REF!</v>
      </c>
      <c r="I420" t="e">
        <f>IF(AND(organisation_name="yes",INDEX(#REF!,A420,1)&lt;&gt;"",ISBLANK(INDEX(#REF!,A420,1))),$B$147,"")</f>
        <v>#REF!</v>
      </c>
    </row>
    <row r="421" spans="1:9" hidden="1" outlineLevel="1" x14ac:dyDescent="0.35">
      <c r="A421" s="195">
        <v>6</v>
      </c>
      <c r="B421" s="195" t="str">
        <f t="array" ref="B421">IFERROR(INDEX(personnel_other_inst_21[[#This Row],[Empty lines]:[Name organisation]],1,MATCH(TRUE,LEN(personnel_other_inst_21[[#This Row],[Empty lines]:[Name organisation]])&gt;0,0)),"")</f>
        <v/>
      </c>
      <c r="C421" s="195" t="str">
        <f>IFERROR(IF(AND(LEN(INDEX(#REF!,A421))+LEN(INDEX(#REF!,A421))+LEN(INDEX(#REF!,A421))+LEN(INDEX(#REF!,A421))+LEN(INDEX(#REF!,A421))&gt;0,LEN(INDEX(#REF!,A421-1))++LEN(INDEX(#REF!,A421-1))+LEN(INDEX(#REF!,A421-1))+LEN(INDEX(#REF!,A421-1))+LEN(INDEX(#REF!,A421-1))=0),$B$127,""),"")</f>
        <v/>
      </c>
      <c r="D421" s="195" t="str">
        <f>IFERROR(IF(AND(INDEX(#REF!,A421)="",OR(INDEX(#REF!,A421)&gt;0,INDEX(#REF!,A421)&gt;0,INDEX(#REF!,A421)&gt;0)),$B$154,""),"")</f>
        <v/>
      </c>
      <c r="E421" s="195" t="e">
        <f>SUBSTITUTE(IF(INDEX(#REF!,A421)&gt;IFERROR(INDEX(salaries_other_inst[Max hourly rate],MATCH(INDEX(#REF!,A421),salaries_other_inst[category],0),1),""),$B$153,""),"&lt;&lt;max_hourly_rate&gt;&gt;",TEXT(IFERROR(INDEX(salaries_other_inst[Max hourly rate],MATCH(INDEX(#REF!,A421),salaries_other_inst[category],0),1),""),"€ #"))</f>
        <v>#REF!</v>
      </c>
      <c r="F421" s="195" t="str">
        <f>IFERROR(IF(AND(INDEX(#REF!,A421)&lt;&gt;"",INDEX(#REF!,A421)=0),$B$155,""),"")</f>
        <v/>
      </c>
      <c r="G421" s="195" t="str">
        <f>IFERROR(IF(12*INDEX(#REF!,A421)/INDEX(#REF!,A421)&gt;pers_other_nrhours_year,checks!$A$156,""),"")</f>
        <v/>
      </c>
      <c r="H421" t="e">
        <f>IF(AND(organisation_type="yes",INDEX(#REF!,A317,1)&lt;&gt;"",ISBLANK(INDEX(#REF!,A317,1))),$B$146,"")</f>
        <v>#REF!</v>
      </c>
      <c r="I421" t="e">
        <f>IF(AND(organisation_name="yes",INDEX(#REF!,A421,1)&lt;&gt;"",ISBLANK(INDEX(#REF!,A421,1))),$B$147,"")</f>
        <v>#REF!</v>
      </c>
    </row>
    <row r="422" spans="1:9" hidden="1" outlineLevel="1" x14ac:dyDescent="0.35">
      <c r="A422" s="195">
        <v>7</v>
      </c>
      <c r="B422" s="195" t="str">
        <f t="array" ref="B422">IFERROR(INDEX(personnel_other_inst_21[[#This Row],[Empty lines]:[Name organisation]],1,MATCH(TRUE,LEN(personnel_other_inst_21[[#This Row],[Empty lines]:[Name organisation]])&gt;0,0)),"")</f>
        <v/>
      </c>
      <c r="C422" s="195" t="str">
        <f>IFERROR(IF(AND(LEN(INDEX(#REF!,A422))+LEN(INDEX(#REF!,A422))+LEN(INDEX(#REF!,A422))+LEN(INDEX(#REF!,A422))+LEN(INDEX(#REF!,A422))&gt;0,LEN(INDEX(#REF!,A422-1))++LEN(INDEX(#REF!,A422-1))+LEN(INDEX(#REF!,A422-1))+LEN(INDEX(#REF!,A422-1))+LEN(INDEX(#REF!,A422-1))=0),$B$127,""),"")</f>
        <v/>
      </c>
      <c r="D422" s="195" t="str">
        <f>IFERROR(IF(AND(INDEX(#REF!,A422)="",OR(INDEX(#REF!,A422)&gt;0,INDEX(#REF!,A422)&gt;0,INDEX(#REF!,A422)&gt;0)),$B$154,""),"")</f>
        <v/>
      </c>
      <c r="E422" s="195" t="e">
        <f>SUBSTITUTE(IF(INDEX(#REF!,A422)&gt;IFERROR(INDEX(salaries_other_inst[Max hourly rate],MATCH(INDEX(#REF!,A422),salaries_other_inst[category],0),1),""),$B$153,""),"&lt;&lt;max_hourly_rate&gt;&gt;",TEXT(IFERROR(INDEX(salaries_other_inst[Max hourly rate],MATCH(INDEX(#REF!,A422),salaries_other_inst[category],0),1),""),"€ #"))</f>
        <v>#REF!</v>
      </c>
      <c r="F422" s="195" t="str">
        <f>IFERROR(IF(AND(INDEX(#REF!,A422)&lt;&gt;"",INDEX(#REF!,A422)=0),$B$155,""),"")</f>
        <v/>
      </c>
      <c r="G422" s="195" t="str">
        <f>IFERROR(IF(12*INDEX(#REF!,A422)/INDEX(#REF!,A422)&gt;pers_other_nrhours_year,checks!$A$156,""),"")</f>
        <v/>
      </c>
      <c r="H422" t="e">
        <f>IF(AND(organisation_type="yes",INDEX(#REF!,A318,1)&lt;&gt;"",ISBLANK(INDEX(#REF!,A318,1))),$B$146,"")</f>
        <v>#REF!</v>
      </c>
      <c r="I422" t="e">
        <f>IF(AND(organisation_name="yes",INDEX(#REF!,A422,1)&lt;&gt;"",ISBLANK(INDEX(#REF!,A422,1))),$B$147,"")</f>
        <v>#REF!</v>
      </c>
    </row>
    <row r="423" spans="1:9" hidden="1" outlineLevel="1" x14ac:dyDescent="0.35">
      <c r="A423" s="195">
        <v>8</v>
      </c>
      <c r="B423" s="195" t="str">
        <f t="array" ref="B423">IFERROR(INDEX(personnel_other_inst_21[[#This Row],[Empty lines]:[Name organisation]],1,MATCH(TRUE,LEN(personnel_other_inst_21[[#This Row],[Empty lines]:[Name organisation]])&gt;0,0)),"")</f>
        <v/>
      </c>
      <c r="C423" s="195" t="str">
        <f>IFERROR(IF(AND(LEN(INDEX(#REF!,A423))+LEN(INDEX(#REF!,A423))+LEN(INDEX(#REF!,A423))+LEN(INDEX(#REF!,A423))+LEN(INDEX(#REF!,A423))&gt;0,LEN(INDEX(#REF!,A423-1))++LEN(INDEX(#REF!,A423-1))+LEN(INDEX(#REF!,A423-1))+LEN(INDEX(#REF!,A423-1))+LEN(INDEX(#REF!,A423-1))=0),$B$127,""),"")</f>
        <v/>
      </c>
      <c r="D423" s="195" t="str">
        <f>IFERROR(IF(AND(INDEX(#REF!,A423)="",OR(INDEX(#REF!,A423)&gt;0,INDEX(#REF!,A423)&gt;0,INDEX(#REF!,A423)&gt;0)),$B$154,""),"")</f>
        <v/>
      </c>
      <c r="E423" s="195" t="e">
        <f>SUBSTITUTE(IF(INDEX(#REF!,A423)&gt;IFERROR(INDEX(salaries_other_inst[Max hourly rate],MATCH(INDEX(#REF!,A423),salaries_other_inst[category],0),1),""),$B$153,""),"&lt;&lt;max_hourly_rate&gt;&gt;",TEXT(IFERROR(INDEX(salaries_other_inst[Max hourly rate],MATCH(INDEX(#REF!,A423),salaries_other_inst[category],0),1),""),"€ #"))</f>
        <v>#REF!</v>
      </c>
      <c r="F423" s="195" t="str">
        <f>IFERROR(IF(AND(INDEX(#REF!,A423)&lt;&gt;"",INDEX(#REF!,A423)=0),$B$155,""),"")</f>
        <v/>
      </c>
      <c r="G423" s="195" t="str">
        <f>IFERROR(IF(12*INDEX(#REF!,A423)/INDEX(#REF!,A423)&gt;pers_other_nrhours_year,checks!$A$156,""),"")</f>
        <v/>
      </c>
      <c r="H423" t="e">
        <f>IF(AND(organisation_type="yes",INDEX(#REF!,A319,1)&lt;&gt;"",ISBLANK(INDEX(#REF!,A319,1))),$B$146,"")</f>
        <v>#REF!</v>
      </c>
      <c r="I423" t="e">
        <f>IF(AND(organisation_name="yes",INDEX(#REF!,A423,1)&lt;&gt;"",ISBLANK(INDEX(#REF!,A423,1))),$B$147,"")</f>
        <v>#REF!</v>
      </c>
    </row>
    <row r="424" spans="1:9" hidden="1" outlineLevel="1" x14ac:dyDescent="0.35">
      <c r="A424" s="195">
        <v>9</v>
      </c>
      <c r="B424" s="195" t="str">
        <f t="array" ref="B424">IFERROR(INDEX(personnel_other_inst_21[[#This Row],[Empty lines]:[Name organisation]],1,MATCH(TRUE,LEN(personnel_other_inst_21[[#This Row],[Empty lines]:[Name organisation]])&gt;0,0)),"")</f>
        <v/>
      </c>
      <c r="C424" s="195" t="str">
        <f>IFERROR(IF(AND(LEN(INDEX(#REF!,A424))+LEN(INDEX(#REF!,A424))+LEN(INDEX(#REF!,A424))+LEN(INDEX(#REF!,A424))+LEN(INDEX(#REF!,A424))&gt;0,LEN(INDEX(#REF!,A424-1))++LEN(INDEX(#REF!,A424-1))+LEN(INDEX(#REF!,A424-1))+LEN(INDEX(#REF!,A424-1))+LEN(INDEX(#REF!,A424-1))=0),$B$127,""),"")</f>
        <v/>
      </c>
      <c r="D424" s="195" t="str">
        <f>IFERROR(IF(AND(INDEX(#REF!,A424)="",OR(INDEX(#REF!,A424)&gt;0,INDEX(#REF!,A424)&gt;0,INDEX(#REF!,A424)&gt;0)),$B$154,""),"")</f>
        <v/>
      </c>
      <c r="E424" s="195" t="e">
        <f>SUBSTITUTE(IF(INDEX(#REF!,A424)&gt;IFERROR(INDEX(salaries_other_inst[Max hourly rate],MATCH(INDEX(#REF!,A424),salaries_other_inst[category],0),1),""),$B$153,""),"&lt;&lt;max_hourly_rate&gt;&gt;",TEXT(IFERROR(INDEX(salaries_other_inst[Max hourly rate],MATCH(INDEX(#REF!,A424),salaries_other_inst[category],0),1),""),"€ #"))</f>
        <v>#REF!</v>
      </c>
      <c r="F424" s="195" t="str">
        <f>IFERROR(IF(AND(INDEX(#REF!,A424)&lt;&gt;"",INDEX(#REF!,A424)=0),$B$155,""),"")</f>
        <v/>
      </c>
      <c r="G424" s="195" t="str">
        <f>IFERROR(IF(12*INDEX(#REF!,A424)/INDEX(#REF!,A424)&gt;pers_other_nrhours_year,checks!$A$156,""),"")</f>
        <v/>
      </c>
      <c r="H424" t="e">
        <f>IF(AND(organisation_type="yes",INDEX(#REF!,A320,1)&lt;&gt;"",ISBLANK(INDEX(#REF!,A320,1))),$B$146,"")</f>
        <v>#REF!</v>
      </c>
      <c r="I424" t="e">
        <f>IF(AND(organisation_name="yes",INDEX(#REF!,A424,1)&lt;&gt;"",ISBLANK(INDEX(#REF!,A424,1))),$B$147,"")</f>
        <v>#REF!</v>
      </c>
    </row>
    <row r="425" spans="1:9" hidden="1" outlineLevel="1" x14ac:dyDescent="0.35">
      <c r="A425" s="195">
        <v>10</v>
      </c>
      <c r="B425" s="195" t="str">
        <f t="array" ref="B425">IFERROR(INDEX(personnel_other_inst_21[[#This Row],[Empty lines]:[Name organisation]],1,MATCH(TRUE,LEN(personnel_other_inst_21[[#This Row],[Empty lines]:[Name organisation]])&gt;0,0)),"")</f>
        <v/>
      </c>
      <c r="C425" s="195" t="str">
        <f>IFERROR(IF(AND(LEN(INDEX(#REF!,A425))+LEN(INDEX(#REF!,A425))+LEN(INDEX(#REF!,A425))+LEN(INDEX(#REF!,A425))+LEN(INDEX(#REF!,A425))&gt;0,LEN(INDEX(#REF!,A425-1))++LEN(INDEX(#REF!,A425-1))+LEN(INDEX(#REF!,A425-1))+LEN(INDEX(#REF!,A425-1))+LEN(INDEX(#REF!,A425-1))=0),$B$127,""),"")</f>
        <v/>
      </c>
      <c r="D425" s="195" t="str">
        <f>IFERROR(IF(AND(INDEX(#REF!,A425)="",OR(INDEX(#REF!,A425)&gt;0,INDEX(#REF!,A425)&gt;0,INDEX(#REF!,A425)&gt;0)),$B$154,""),"")</f>
        <v/>
      </c>
      <c r="E425" s="195" t="e">
        <f>SUBSTITUTE(IF(INDEX(#REF!,A425)&gt;IFERROR(INDEX(salaries_other_inst[Max hourly rate],MATCH(INDEX(#REF!,A425),salaries_other_inst[category],0),1),""),$B$153,""),"&lt;&lt;max_hourly_rate&gt;&gt;",TEXT(IFERROR(INDEX(salaries_other_inst[Max hourly rate],MATCH(INDEX(#REF!,A425),salaries_other_inst[category],0),1),""),"€ #"))</f>
        <v>#REF!</v>
      </c>
      <c r="F425" s="195" t="str">
        <f>IFERROR(IF(AND(INDEX(#REF!,A425)&lt;&gt;"",INDEX(#REF!,A425)=0),$B$155,""),"")</f>
        <v/>
      </c>
      <c r="G425" s="195" t="str">
        <f>IFERROR(IF(12*INDEX(#REF!,A425)/INDEX(#REF!,A425)&gt;pers_other_nrhours_year,checks!$A$156,""),"")</f>
        <v/>
      </c>
      <c r="H425" t="e">
        <f>IF(AND(organisation_type="yes",INDEX(#REF!,A321,1)&lt;&gt;"",ISBLANK(INDEX(#REF!,A321,1))),$B$146,"")</f>
        <v>#REF!</v>
      </c>
      <c r="I425" t="e">
        <f>IF(AND(organisation_name="yes",INDEX(#REF!,A425,1)&lt;&gt;"",ISBLANK(INDEX(#REF!,A425,1))),$B$147,"")</f>
        <v>#REF!</v>
      </c>
    </row>
    <row r="426" spans="1:9" hidden="1" outlineLevel="1" x14ac:dyDescent="0.35">
      <c r="A426" s="195">
        <v>11</v>
      </c>
      <c r="B426" s="195" t="str">
        <f t="array" ref="B426">IFERROR(INDEX(personnel_other_inst_21[[#This Row],[Empty lines]:[Name organisation]],1,MATCH(TRUE,LEN(personnel_other_inst_21[[#This Row],[Empty lines]:[Name organisation]])&gt;0,0)),"")</f>
        <v/>
      </c>
      <c r="C426" s="195" t="str">
        <f>IFERROR(IF(AND(LEN(INDEX(#REF!,A426))+LEN(INDEX(#REF!,A426))+LEN(INDEX(#REF!,A426))+LEN(INDEX(#REF!,A426))+LEN(INDEX(#REF!,A426))&gt;0,LEN(INDEX(#REF!,A426-1))++LEN(INDEX(#REF!,A426-1))+LEN(INDEX(#REF!,A426-1))+LEN(INDEX(#REF!,A426-1))+LEN(INDEX(#REF!,A426-1))=0),$B$127,""),"")</f>
        <v/>
      </c>
      <c r="D426" s="195" t="str">
        <f>IFERROR(IF(AND(INDEX(#REF!,A426)="",OR(INDEX(#REF!,A426)&gt;0,INDEX(#REF!,A426)&gt;0,INDEX(#REF!,A426)&gt;0)),$B$154,""),"")</f>
        <v/>
      </c>
      <c r="E426" s="195" t="e">
        <f>SUBSTITUTE(IF(INDEX(#REF!,A426)&gt;IFERROR(INDEX(salaries_other_inst[Max hourly rate],MATCH(INDEX(#REF!,A426),salaries_other_inst[category],0),1),""),$B$153,""),"&lt;&lt;max_hourly_rate&gt;&gt;",TEXT(IFERROR(INDEX(salaries_other_inst[Max hourly rate],MATCH(INDEX(#REF!,A426),salaries_other_inst[category],0),1),""),"€ #"))</f>
        <v>#REF!</v>
      </c>
      <c r="F426" s="195" t="str">
        <f>IFERROR(IF(AND(INDEX(#REF!,A426)&lt;&gt;"",INDEX(#REF!,A426)=0),$B$155,""),"")</f>
        <v/>
      </c>
      <c r="G426" s="195" t="str">
        <f>IFERROR(IF(12*INDEX(#REF!,A426)/INDEX(#REF!,A426)&gt;pers_other_nrhours_year,checks!$A$156,""),"")</f>
        <v/>
      </c>
      <c r="H426" t="e">
        <f>IF(AND(organisation_type="yes",INDEX(#REF!,A322,1)&lt;&gt;"",ISBLANK(INDEX(#REF!,A322,1))),$B$146,"")</f>
        <v>#REF!</v>
      </c>
      <c r="I426" t="e">
        <f>IF(AND(organisation_name="yes",INDEX(#REF!,A426,1)&lt;&gt;"",ISBLANK(INDEX(#REF!,A426,1))),$B$147,"")</f>
        <v>#REF!</v>
      </c>
    </row>
    <row r="427" spans="1:9" hidden="1" outlineLevel="1" x14ac:dyDescent="0.35">
      <c r="A427" s="195">
        <v>12</v>
      </c>
      <c r="B427" s="195" t="str">
        <f t="array" ref="B427">IFERROR(INDEX(personnel_other_inst_21[[#This Row],[Empty lines]:[Name organisation]],1,MATCH(TRUE,LEN(personnel_other_inst_21[[#This Row],[Empty lines]:[Name organisation]])&gt;0,0)),"")</f>
        <v/>
      </c>
      <c r="C427" s="195" t="str">
        <f>IFERROR(IF(AND(LEN(INDEX(#REF!,A427))+LEN(INDEX(#REF!,A427))+LEN(INDEX(#REF!,A427))+LEN(INDEX(#REF!,A427))+LEN(INDEX(#REF!,A427))&gt;0,LEN(INDEX(#REF!,A427-1))++LEN(INDEX(#REF!,A427-1))+LEN(INDEX(#REF!,A427-1))+LEN(INDEX(#REF!,A427-1))+LEN(INDEX(#REF!,A427-1))=0),$B$127,""),"")</f>
        <v/>
      </c>
      <c r="D427" s="195" t="str">
        <f>IFERROR(IF(AND(INDEX(#REF!,A427)="",OR(INDEX(#REF!,A427)&gt;0,INDEX(#REF!,A427)&gt;0,INDEX(#REF!,A427)&gt;0)),$B$154,""),"")</f>
        <v/>
      </c>
      <c r="E427" s="195" t="e">
        <f>SUBSTITUTE(IF(INDEX(#REF!,A427)&gt;IFERROR(INDEX(salaries_other_inst[Max hourly rate],MATCH(INDEX(#REF!,A427),salaries_other_inst[category],0),1),""),$B$153,""),"&lt;&lt;max_hourly_rate&gt;&gt;",TEXT(IFERROR(INDEX(salaries_other_inst[Max hourly rate],MATCH(INDEX(#REF!,A427),salaries_other_inst[category],0),1),""),"€ #"))</f>
        <v>#REF!</v>
      </c>
      <c r="F427" s="195" t="str">
        <f>IFERROR(IF(AND(INDEX(#REF!,A427)&lt;&gt;"",INDEX(#REF!,A427)=0),$B$155,""),"")</f>
        <v/>
      </c>
      <c r="G427" s="195" t="str">
        <f>IFERROR(IF(12*INDEX(#REF!,A427)/INDEX(#REF!,A427)&gt;pers_other_nrhours_year,checks!$A$156,""),"")</f>
        <v/>
      </c>
      <c r="H427" t="e">
        <f>IF(AND(organisation_type="yes",INDEX(#REF!,A323,1)&lt;&gt;"",ISBLANK(INDEX(#REF!,A323,1))),$B$146,"")</f>
        <v>#REF!</v>
      </c>
      <c r="I427" t="e">
        <f>IF(AND(organisation_name="yes",INDEX(#REF!,A427,1)&lt;&gt;"",ISBLANK(INDEX(#REF!,A427,1))),$B$147,"")</f>
        <v>#REF!</v>
      </c>
    </row>
    <row r="428" spans="1:9" hidden="1" outlineLevel="1" x14ac:dyDescent="0.35">
      <c r="A428" s="195">
        <v>13</v>
      </c>
      <c r="B428" s="195" t="str">
        <f t="array" ref="B428">IFERROR(INDEX(personnel_other_inst_21[[#This Row],[Empty lines]:[Name organisation]],1,MATCH(TRUE,LEN(personnel_other_inst_21[[#This Row],[Empty lines]:[Name organisation]])&gt;0,0)),"")</f>
        <v/>
      </c>
      <c r="C428" s="195" t="str">
        <f>IFERROR(IF(AND(LEN(INDEX(#REF!,A428))+LEN(INDEX(#REF!,A428))+LEN(INDEX(#REF!,A428))+LEN(INDEX(#REF!,A428))+LEN(INDEX(#REF!,A428))&gt;0,LEN(INDEX(#REF!,A428-1))++LEN(INDEX(#REF!,A428-1))+LEN(INDEX(#REF!,A428-1))+LEN(INDEX(#REF!,A428-1))+LEN(INDEX(#REF!,A428-1))=0),$B$127,""),"")</f>
        <v/>
      </c>
      <c r="D428" s="195" t="str">
        <f>IFERROR(IF(AND(INDEX(#REF!,A428)="",OR(INDEX(#REF!,A428)&gt;0,INDEX(#REF!,A428)&gt;0,INDEX(#REF!,A428)&gt;0)),$B$154,""),"")</f>
        <v/>
      </c>
      <c r="E428" s="195" t="e">
        <f>SUBSTITUTE(IF(INDEX(#REF!,A428)&gt;IFERROR(INDEX(salaries_other_inst[Max hourly rate],MATCH(INDEX(#REF!,A428),salaries_other_inst[category],0),1),""),$B$153,""),"&lt;&lt;max_hourly_rate&gt;&gt;",TEXT(IFERROR(INDEX(salaries_other_inst[Max hourly rate],MATCH(INDEX(#REF!,A428),salaries_other_inst[category],0),1),""),"€ #"))</f>
        <v>#REF!</v>
      </c>
      <c r="F428" s="195" t="str">
        <f>IFERROR(IF(AND(INDEX(#REF!,A428)&lt;&gt;"",INDEX(#REF!,A428)=0),$B$155,""),"")</f>
        <v/>
      </c>
      <c r="G428" s="195" t="str">
        <f>IFERROR(IF(12*INDEX(#REF!,A428)/INDEX(#REF!,A428)&gt;pers_other_nrhours_year,checks!$A$156,""),"")</f>
        <v/>
      </c>
      <c r="H428" t="e">
        <f>IF(AND(organisation_type="yes",INDEX(#REF!,A324,1)&lt;&gt;"",ISBLANK(INDEX(#REF!,A324,1))),$B$146,"")</f>
        <v>#REF!</v>
      </c>
      <c r="I428" t="e">
        <f>IF(AND(organisation_name="yes",INDEX(#REF!,A428,1)&lt;&gt;"",ISBLANK(INDEX(#REF!,A428,1))),$B$147,"")</f>
        <v>#REF!</v>
      </c>
    </row>
    <row r="429" spans="1:9" hidden="1" outlineLevel="1" x14ac:dyDescent="0.35">
      <c r="A429" s="195">
        <v>14</v>
      </c>
      <c r="B429" s="195" t="str">
        <f t="array" ref="B429">IFERROR(INDEX(personnel_other_inst_21[[#This Row],[Empty lines]:[Name organisation]],1,MATCH(TRUE,LEN(personnel_other_inst_21[[#This Row],[Empty lines]:[Name organisation]])&gt;0,0)),"")</f>
        <v/>
      </c>
      <c r="C429" s="195" t="str">
        <f>IFERROR(IF(AND(LEN(INDEX(#REF!,A429))+LEN(INDEX(#REF!,A429))+LEN(INDEX(#REF!,A429))+LEN(INDEX(#REF!,A429))+LEN(INDEX(#REF!,A429))&gt;0,LEN(INDEX(#REF!,A429-1))++LEN(INDEX(#REF!,A429-1))+LEN(INDEX(#REF!,A429-1))+LEN(INDEX(#REF!,A429-1))+LEN(INDEX(#REF!,A429-1))=0),$B$127,""),"")</f>
        <v/>
      </c>
      <c r="D429" s="195" t="str">
        <f>IFERROR(IF(AND(INDEX(#REF!,A429)="",OR(INDEX(#REF!,A429)&gt;0,INDEX(#REF!,A429)&gt;0,INDEX(#REF!,A429)&gt;0)),$B$154,""),"")</f>
        <v/>
      </c>
      <c r="E429" s="195" t="e">
        <f>SUBSTITUTE(IF(INDEX(#REF!,A429)&gt;IFERROR(INDEX(salaries_other_inst[Max hourly rate],MATCH(INDEX(#REF!,A429),salaries_other_inst[category],0),1),""),$B$153,""),"&lt;&lt;max_hourly_rate&gt;&gt;",TEXT(IFERROR(INDEX(salaries_other_inst[Max hourly rate],MATCH(INDEX(#REF!,A429),salaries_other_inst[category],0),1),""),"€ #"))</f>
        <v>#REF!</v>
      </c>
      <c r="F429" s="195" t="str">
        <f>IFERROR(IF(AND(INDEX(#REF!,A429)&lt;&gt;"",INDEX(#REF!,A429)=0),$B$155,""),"")</f>
        <v/>
      </c>
      <c r="G429" s="195" t="str">
        <f>IFERROR(IF(12*INDEX(#REF!,A429)/INDEX(#REF!,A429)&gt;pers_other_nrhours_year,checks!$A$156,""),"")</f>
        <v/>
      </c>
      <c r="H429" t="e">
        <f>IF(AND(organisation_type="yes",INDEX(#REF!,A325,1)&lt;&gt;"",ISBLANK(INDEX(#REF!,A325,1))),$B$146,"")</f>
        <v>#REF!</v>
      </c>
      <c r="I429" t="e">
        <f>IF(AND(organisation_name="yes",INDEX(#REF!,A429,1)&lt;&gt;"",ISBLANK(INDEX(#REF!,A429,1))),$B$147,"")</f>
        <v>#REF!</v>
      </c>
    </row>
    <row r="430" spans="1:9" hidden="1" outlineLevel="1" x14ac:dyDescent="0.35">
      <c r="A430" s="195">
        <v>15</v>
      </c>
      <c r="B430" s="195" t="str">
        <f t="array" ref="B430">IFERROR(INDEX(personnel_other_inst_21[[#This Row],[Empty lines]:[Name organisation]],1,MATCH(TRUE,LEN(personnel_other_inst_21[[#This Row],[Empty lines]:[Name organisation]])&gt;0,0)),"")</f>
        <v/>
      </c>
      <c r="C430" s="195" t="str">
        <f>IFERROR(IF(AND(LEN(INDEX(#REF!,A430))+LEN(INDEX(#REF!,A430))+LEN(INDEX(#REF!,A430))+LEN(INDEX(#REF!,A430))+LEN(INDEX(#REF!,A430))&gt;0,LEN(INDEX(#REF!,A430-1))++LEN(INDEX(#REF!,A430-1))+LEN(INDEX(#REF!,A430-1))+LEN(INDEX(#REF!,A430-1))+LEN(INDEX(#REF!,A430-1))=0),$B$127,""),"")</f>
        <v/>
      </c>
      <c r="D430" s="195" t="str">
        <f>IFERROR(IF(AND(INDEX(#REF!,A430)="",OR(INDEX(#REF!,A430)&gt;0,INDEX(#REF!,A430)&gt;0,INDEX(#REF!,A430)&gt;0)),$B$154,""),"")</f>
        <v/>
      </c>
      <c r="E430" s="195" t="e">
        <f>SUBSTITUTE(IF(INDEX(#REF!,A430)&gt;IFERROR(INDEX(salaries_other_inst[Max hourly rate],MATCH(INDEX(#REF!,A430),salaries_other_inst[category],0),1),""),$B$153,""),"&lt;&lt;max_hourly_rate&gt;&gt;",TEXT(IFERROR(INDEX(salaries_other_inst[Max hourly rate],MATCH(INDEX(#REF!,A430),salaries_other_inst[category],0),1),""),"€ #"))</f>
        <v>#REF!</v>
      </c>
      <c r="F430" s="195" t="str">
        <f>IFERROR(IF(AND(INDEX(#REF!,A430)&lt;&gt;"",INDEX(#REF!,A430)=0),$B$155,""),"")</f>
        <v/>
      </c>
      <c r="G430" s="195" t="str">
        <f>IFERROR(IF(12*INDEX(#REF!,A430)/INDEX(#REF!,A430)&gt;pers_other_nrhours_year,checks!$A$156,""),"")</f>
        <v/>
      </c>
      <c r="H430" t="e">
        <f>IF(AND(organisation_type="yes",INDEX(#REF!,A326,1)&lt;&gt;"",ISBLANK(INDEX(#REF!,A326,1))),$B$146,"")</f>
        <v>#REF!</v>
      </c>
      <c r="I430" t="e">
        <f>IF(AND(organisation_name="yes",INDEX(#REF!,A430,1)&lt;&gt;"",ISBLANK(INDEX(#REF!,A430,1))),$B$147,"")</f>
        <v>#REF!</v>
      </c>
    </row>
    <row r="431" spans="1:9" hidden="1" outlineLevel="1" x14ac:dyDescent="0.35">
      <c r="A431" s="195">
        <v>16</v>
      </c>
      <c r="B431" s="195" t="str">
        <f t="array" ref="B431">IFERROR(INDEX(personnel_other_inst_21[[#This Row],[Empty lines]:[Name organisation]],1,MATCH(TRUE,LEN(personnel_other_inst_21[[#This Row],[Empty lines]:[Name organisation]])&gt;0,0)),"")</f>
        <v/>
      </c>
      <c r="C431" s="195" t="str">
        <f>IFERROR(IF(AND(LEN(INDEX(#REF!,A431))+LEN(INDEX(#REF!,A431))+LEN(INDEX(#REF!,A431))+LEN(INDEX(#REF!,A431))+LEN(INDEX(#REF!,A431))&gt;0,LEN(INDEX(#REF!,A431-1))++LEN(INDEX(#REF!,A431-1))+LEN(INDEX(#REF!,A431-1))+LEN(INDEX(#REF!,A431-1))+LEN(INDEX(#REF!,A431-1))=0),$B$127,""),"")</f>
        <v/>
      </c>
      <c r="D431" s="195" t="str">
        <f>IFERROR(IF(AND(INDEX(#REF!,A431)="",OR(INDEX(#REF!,A431)&gt;0,INDEX(#REF!,A431)&gt;0,INDEX(#REF!,A431)&gt;0)),$B$154,""),"")</f>
        <v/>
      </c>
      <c r="E431" s="195" t="e">
        <f>SUBSTITUTE(IF(INDEX(#REF!,A431)&gt;IFERROR(INDEX(salaries_other_inst[Max hourly rate],MATCH(INDEX(#REF!,A431),salaries_other_inst[category],0),1),""),$B$153,""),"&lt;&lt;max_hourly_rate&gt;&gt;",TEXT(IFERROR(INDEX(salaries_other_inst[Max hourly rate],MATCH(INDEX(#REF!,A431),salaries_other_inst[category],0),1),""),"€ #"))</f>
        <v>#REF!</v>
      </c>
      <c r="F431" s="195" t="str">
        <f>IFERROR(IF(AND(INDEX(#REF!,A431)&lt;&gt;"",INDEX(#REF!,A431)=0),$B$155,""),"")</f>
        <v/>
      </c>
      <c r="G431" s="195" t="str">
        <f>IFERROR(IF(12*INDEX(#REF!,A431)/INDEX(#REF!,A431)&gt;pers_other_nrhours_year,checks!$A$156,""),"")</f>
        <v/>
      </c>
      <c r="H431" t="e">
        <f>IF(AND(organisation_type="yes",INDEX(#REF!,A327,1)&lt;&gt;"",ISBLANK(INDEX(#REF!,A327,1))),$B$146,"")</f>
        <v>#REF!</v>
      </c>
      <c r="I431" t="e">
        <f>IF(AND(organisation_name="yes",INDEX(#REF!,A431,1)&lt;&gt;"",ISBLANK(INDEX(#REF!,A431,1))),$B$147,"")</f>
        <v>#REF!</v>
      </c>
    </row>
    <row r="432" spans="1:9" hidden="1" outlineLevel="1" x14ac:dyDescent="0.35">
      <c r="A432" s="195">
        <v>17</v>
      </c>
      <c r="B432" s="195" t="str">
        <f t="array" ref="B432">IFERROR(INDEX(personnel_other_inst_21[[#This Row],[Empty lines]:[Name organisation]],1,MATCH(TRUE,LEN(personnel_other_inst_21[[#This Row],[Empty lines]:[Name organisation]])&gt;0,0)),"")</f>
        <v/>
      </c>
      <c r="C432" s="195" t="str">
        <f>IFERROR(IF(AND(LEN(INDEX(#REF!,A432))+LEN(INDEX(#REF!,A432))+LEN(INDEX(#REF!,A432))+LEN(INDEX(#REF!,A432))+LEN(INDEX(#REF!,A432))&gt;0,LEN(INDEX(#REF!,A432-1))++LEN(INDEX(#REF!,A432-1))+LEN(INDEX(#REF!,A432-1))+LEN(INDEX(#REF!,A432-1))+LEN(INDEX(#REF!,A432-1))=0),$B$127,""),"")</f>
        <v/>
      </c>
      <c r="D432" s="195" t="str">
        <f>IFERROR(IF(AND(INDEX(#REF!,A432)="",OR(INDEX(#REF!,A432)&gt;0,INDEX(#REF!,A432)&gt;0,INDEX(#REF!,A432)&gt;0)),$B$154,""),"")</f>
        <v/>
      </c>
      <c r="E432" s="195" t="e">
        <f>SUBSTITUTE(IF(INDEX(#REF!,A432)&gt;IFERROR(INDEX(salaries_other_inst[Max hourly rate],MATCH(INDEX(#REF!,A432),salaries_other_inst[category],0),1),""),$B$153,""),"&lt;&lt;max_hourly_rate&gt;&gt;",TEXT(IFERROR(INDEX(salaries_other_inst[Max hourly rate],MATCH(INDEX(#REF!,A432),salaries_other_inst[category],0),1),""),"€ #"))</f>
        <v>#REF!</v>
      </c>
      <c r="F432" s="195" t="str">
        <f>IFERROR(IF(AND(INDEX(#REF!,A432)&lt;&gt;"",INDEX(#REF!,A432)=0),$B$155,""),"")</f>
        <v/>
      </c>
      <c r="G432" s="195" t="str">
        <f>IFERROR(IF(12*INDEX(#REF!,A432)/INDEX(#REF!,A432)&gt;pers_other_nrhours_year,checks!$A$156,""),"")</f>
        <v/>
      </c>
      <c r="H432" t="e">
        <f>IF(AND(organisation_type="yes",INDEX(#REF!,A328,1)&lt;&gt;"",ISBLANK(INDEX(#REF!,A328,1))),$B$146,"")</f>
        <v>#REF!</v>
      </c>
      <c r="I432" t="e">
        <f>IF(AND(organisation_name="yes",INDEX(#REF!,A432,1)&lt;&gt;"",ISBLANK(INDEX(#REF!,A432,1))),$B$147,"")</f>
        <v>#REF!</v>
      </c>
    </row>
    <row r="433" spans="1:9" hidden="1" outlineLevel="1" x14ac:dyDescent="0.35">
      <c r="A433" s="195">
        <v>18</v>
      </c>
      <c r="B433" s="195" t="str">
        <f t="array" ref="B433">IFERROR(INDEX(personnel_other_inst_21[[#This Row],[Empty lines]:[Name organisation]],1,MATCH(TRUE,LEN(personnel_other_inst_21[[#This Row],[Empty lines]:[Name organisation]])&gt;0,0)),"")</f>
        <v/>
      </c>
      <c r="C433" s="195" t="str">
        <f>IFERROR(IF(AND(LEN(INDEX(#REF!,A433))+LEN(INDEX(#REF!,A433))+LEN(INDEX(#REF!,A433))+LEN(INDEX(#REF!,A433))+LEN(INDEX(#REF!,A433))&gt;0,LEN(INDEX(#REF!,A433-1))++LEN(INDEX(#REF!,A433-1))+LEN(INDEX(#REF!,A433-1))+LEN(INDEX(#REF!,A433-1))+LEN(INDEX(#REF!,A433-1))=0),$B$127,""),"")</f>
        <v/>
      </c>
      <c r="D433" s="195" t="str">
        <f>IFERROR(IF(AND(INDEX(#REF!,A433)="",OR(INDEX(#REF!,A433)&gt;0,INDEX(#REF!,A433)&gt;0,INDEX(#REF!,A433)&gt;0)),$B$154,""),"")</f>
        <v/>
      </c>
      <c r="E433" s="195" t="e">
        <f>SUBSTITUTE(IF(INDEX(#REF!,A433)&gt;IFERROR(INDEX(salaries_other_inst[Max hourly rate],MATCH(INDEX(#REF!,A433),salaries_other_inst[category],0),1),""),$B$153,""),"&lt;&lt;max_hourly_rate&gt;&gt;",TEXT(IFERROR(INDEX(salaries_other_inst[Max hourly rate],MATCH(INDEX(#REF!,A433),salaries_other_inst[category],0),1),""),"€ #"))</f>
        <v>#REF!</v>
      </c>
      <c r="F433" s="195" t="str">
        <f>IFERROR(IF(AND(INDEX(#REF!,A433)&lt;&gt;"",INDEX(#REF!,A433)=0),$B$155,""),"")</f>
        <v/>
      </c>
      <c r="G433" s="195" t="str">
        <f>IFERROR(IF(12*INDEX(#REF!,A433)/INDEX(#REF!,A433)&gt;pers_other_nrhours_year,checks!$A$156,""),"")</f>
        <v/>
      </c>
      <c r="H433" t="e">
        <f>IF(AND(organisation_type="yes",INDEX(#REF!,A329,1)&lt;&gt;"",ISBLANK(INDEX(#REF!,A329,1))),$B$146,"")</f>
        <v>#REF!</v>
      </c>
      <c r="I433" t="e">
        <f>IF(AND(organisation_name="yes",INDEX(#REF!,A433,1)&lt;&gt;"",ISBLANK(INDEX(#REF!,A433,1))),$B$147,"")</f>
        <v>#REF!</v>
      </c>
    </row>
    <row r="434" spans="1:9" hidden="1" outlineLevel="1" x14ac:dyDescent="0.35">
      <c r="A434" s="195">
        <v>19</v>
      </c>
      <c r="B434" s="195" t="str">
        <f t="array" ref="B434">IFERROR(INDEX(personnel_other_inst_21[[#This Row],[Empty lines]:[Name organisation]],1,MATCH(TRUE,LEN(personnel_other_inst_21[[#This Row],[Empty lines]:[Name organisation]])&gt;0,0)),"")</f>
        <v/>
      </c>
      <c r="C434" s="195" t="str">
        <f>IFERROR(IF(AND(LEN(INDEX(#REF!,A434))+LEN(INDEX(#REF!,A434))+LEN(INDEX(#REF!,A434))+LEN(INDEX(#REF!,A434))+LEN(INDEX(#REF!,A434))&gt;0,LEN(INDEX(#REF!,A434-1))++LEN(INDEX(#REF!,A434-1))+LEN(INDEX(#REF!,A434-1))+LEN(INDEX(#REF!,A434-1))+LEN(INDEX(#REF!,A434-1))=0),$B$127,""),"")</f>
        <v/>
      </c>
      <c r="D434" s="195" t="str">
        <f>IFERROR(IF(AND(INDEX(#REF!,A434)="",OR(INDEX(#REF!,A434)&gt;0,INDEX(#REF!,A434)&gt;0,INDEX(#REF!,A434)&gt;0)),$B$154,""),"")</f>
        <v/>
      </c>
      <c r="E434" s="195" t="e">
        <f>SUBSTITUTE(IF(INDEX(#REF!,A434)&gt;IFERROR(INDEX(salaries_other_inst[Max hourly rate],MATCH(INDEX(#REF!,A434),salaries_other_inst[category],0),1),""),$B$153,""),"&lt;&lt;max_hourly_rate&gt;&gt;",TEXT(IFERROR(INDEX(salaries_other_inst[Max hourly rate],MATCH(INDEX(#REF!,A434),salaries_other_inst[category],0),1),""),"€ #"))</f>
        <v>#REF!</v>
      </c>
      <c r="F434" s="195" t="str">
        <f>IFERROR(IF(AND(INDEX(#REF!,A434)&lt;&gt;"",INDEX(#REF!,A434)=0),$B$155,""),"")</f>
        <v/>
      </c>
      <c r="G434" s="195" t="str">
        <f>IFERROR(IF(12*INDEX(#REF!,A434)/INDEX(#REF!,A434)&gt;pers_other_nrhours_year,checks!$A$156,""),"")</f>
        <v/>
      </c>
      <c r="H434" t="e">
        <f>IF(AND(organisation_type="yes",INDEX(#REF!,A330,1)&lt;&gt;"",ISBLANK(INDEX(#REF!,A330,1))),$B$146,"")</f>
        <v>#REF!</v>
      </c>
      <c r="I434" t="e">
        <f>IF(AND(organisation_name="yes",INDEX(#REF!,A434,1)&lt;&gt;"",ISBLANK(INDEX(#REF!,A434,1))),$B$147,"")</f>
        <v>#REF!</v>
      </c>
    </row>
    <row r="435" spans="1:9" hidden="1" outlineLevel="1" x14ac:dyDescent="0.35">
      <c r="A435" s="195">
        <v>20</v>
      </c>
      <c r="B435" s="195" t="str">
        <f t="array" ref="B435">IFERROR(INDEX(personnel_other_inst_21[[#This Row],[Empty lines]:[Name organisation]],1,MATCH(TRUE,LEN(personnel_other_inst_21[[#This Row],[Empty lines]:[Name organisation]])&gt;0,0)),"")</f>
        <v/>
      </c>
      <c r="C435" s="195" t="str">
        <f>IFERROR(IF(AND(LEN(INDEX(#REF!,A435))+LEN(INDEX(#REF!,A435))+LEN(INDEX(#REF!,A435))+LEN(INDEX(#REF!,A435))+LEN(INDEX(#REF!,A435))&gt;0,LEN(INDEX(#REF!,A435-1))++LEN(INDEX(#REF!,A435-1))+LEN(INDEX(#REF!,A435-1))+LEN(INDEX(#REF!,A435-1))+LEN(INDEX(#REF!,A435-1))=0),$B$127,""),"")</f>
        <v/>
      </c>
      <c r="D435" s="195" t="str">
        <f>IFERROR(IF(AND(INDEX(#REF!,A435)="",OR(INDEX(#REF!,A435)&gt;0,INDEX(#REF!,A435)&gt;0,INDEX(#REF!,A435)&gt;0)),$B$154,""),"")</f>
        <v/>
      </c>
      <c r="E435" s="195" t="e">
        <f>SUBSTITUTE(IF(INDEX(#REF!,A435)&gt;IFERROR(INDEX(salaries_other_inst[Max hourly rate],MATCH(INDEX(#REF!,A435),salaries_other_inst[category],0),1),""),$B$153,""),"&lt;&lt;max_hourly_rate&gt;&gt;",TEXT(IFERROR(INDEX(salaries_other_inst[Max hourly rate],MATCH(INDEX(#REF!,A435),salaries_other_inst[category],0),1),""),"€ #"))</f>
        <v>#REF!</v>
      </c>
      <c r="F435" s="195" t="str">
        <f>IFERROR(IF(AND(INDEX(#REF!,A435)&lt;&gt;"",INDEX(#REF!,A435)=0),$B$155,""),"")</f>
        <v/>
      </c>
      <c r="G435" s="195" t="str">
        <f>IFERROR(IF(12*INDEX(#REF!,A435)/INDEX(#REF!,A435)&gt;pers_other_nrhours_year,checks!$A$156,""),"")</f>
        <v/>
      </c>
      <c r="H435" t="e">
        <f>IF(AND(organisation_type="yes",INDEX(#REF!,A331,1)&lt;&gt;"",ISBLANK(INDEX(#REF!,A331,1))),$B$146,"")</f>
        <v>#REF!</v>
      </c>
      <c r="I435" t="e">
        <f>IF(AND(organisation_name="yes",INDEX(#REF!,A435,1)&lt;&gt;"",ISBLANK(INDEX(#REF!,A435,1))),$B$147,"")</f>
        <v>#REF!</v>
      </c>
    </row>
    <row r="436" spans="1:9" hidden="1" outlineLevel="1" x14ac:dyDescent="0.35">
      <c r="A436" s="195">
        <v>21</v>
      </c>
      <c r="B436" s="195" t="str">
        <f t="array" ref="B436">IFERROR(INDEX(personnel_other_inst_21[[#This Row],[Empty lines]:[Name organisation]],1,MATCH(TRUE,LEN(personnel_other_inst_21[[#This Row],[Empty lines]:[Name organisation]])&gt;0,0)),"")</f>
        <v/>
      </c>
      <c r="C436" s="195" t="str">
        <f>IFERROR(IF(AND(LEN(INDEX(#REF!,A436))+LEN(INDEX(#REF!,A436))+LEN(INDEX(#REF!,A436))+LEN(INDEX(#REF!,A436))+LEN(INDEX(#REF!,A436))&gt;0,LEN(INDEX(#REF!,A436-1))++LEN(INDEX(#REF!,A436-1))+LEN(INDEX(#REF!,A436-1))+LEN(INDEX(#REF!,A436-1))+LEN(INDEX(#REF!,A436-1))=0),$B$127,""),"")</f>
        <v/>
      </c>
      <c r="D436" s="195" t="str">
        <f>IFERROR(IF(AND(INDEX(#REF!,A436)="",OR(INDEX(#REF!,A436)&gt;0,INDEX(#REF!,A436)&gt;0,INDEX(#REF!,A436)&gt;0)),$B$154,""),"")</f>
        <v/>
      </c>
      <c r="E436" s="195" t="e">
        <f>SUBSTITUTE(IF(INDEX(#REF!,A436)&gt;IFERROR(INDEX(salaries_other_inst[Max hourly rate],MATCH(INDEX(#REF!,A436),salaries_other_inst[category],0),1),""),$B$153,""),"&lt;&lt;max_hourly_rate&gt;&gt;",TEXT(IFERROR(INDEX(salaries_other_inst[Max hourly rate],MATCH(INDEX(#REF!,A436),salaries_other_inst[category],0),1),""),"€ #"))</f>
        <v>#REF!</v>
      </c>
      <c r="F436" s="195" t="str">
        <f>IFERROR(IF(AND(INDEX(#REF!,A436)&lt;&gt;"",INDEX(#REF!,A436)=0),$B$155,""),"")</f>
        <v/>
      </c>
      <c r="G436" s="195" t="str">
        <f>IFERROR(IF(12*INDEX(#REF!,A436)/INDEX(#REF!,A436)&gt;pers_other_nrhours_year,checks!$A$156,""),"")</f>
        <v/>
      </c>
      <c r="H436" t="e">
        <f>IF(AND(organisation_type="yes",INDEX(#REF!,A332,1)&lt;&gt;"",ISBLANK(INDEX(#REF!,A332,1))),$B$146,"")</f>
        <v>#REF!</v>
      </c>
      <c r="I436" t="e">
        <f>IF(AND(organisation_name="yes",INDEX(#REF!,A436,1)&lt;&gt;"",ISBLANK(INDEX(#REF!,A436,1))),$B$147,"")</f>
        <v>#REF!</v>
      </c>
    </row>
    <row r="437" spans="1:9" hidden="1" outlineLevel="1" x14ac:dyDescent="0.35">
      <c r="A437" s="195">
        <v>22</v>
      </c>
      <c r="B437" s="195" t="str">
        <f t="array" ref="B437">IFERROR(INDEX(personnel_other_inst_21[[#This Row],[Empty lines]:[Name organisation]],1,MATCH(TRUE,LEN(personnel_other_inst_21[[#This Row],[Empty lines]:[Name organisation]])&gt;0,0)),"")</f>
        <v/>
      </c>
      <c r="C437" s="195" t="str">
        <f>IFERROR(IF(AND(LEN(INDEX(#REF!,A437))+LEN(INDEX(#REF!,A437))+LEN(INDEX(#REF!,A437))+LEN(INDEX(#REF!,A437))+LEN(INDEX(#REF!,A437))&gt;0,LEN(INDEX(#REF!,A437-1))++LEN(INDEX(#REF!,A437-1))+LEN(INDEX(#REF!,A437-1))+LEN(INDEX(#REF!,A437-1))+LEN(INDEX(#REF!,A437-1))=0),$B$127,""),"")</f>
        <v/>
      </c>
      <c r="D437" s="195" t="str">
        <f>IFERROR(IF(AND(INDEX(#REF!,A437)="",OR(INDEX(#REF!,A437)&gt;0,INDEX(#REF!,A437)&gt;0,INDEX(#REF!,A437)&gt;0)),$B$154,""),"")</f>
        <v/>
      </c>
      <c r="E437" s="195" t="e">
        <f>SUBSTITUTE(IF(INDEX(#REF!,A437)&gt;IFERROR(INDEX(salaries_other_inst[Max hourly rate],MATCH(INDEX(#REF!,A437),salaries_other_inst[category],0),1),""),$B$153,""),"&lt;&lt;max_hourly_rate&gt;&gt;",TEXT(IFERROR(INDEX(salaries_other_inst[Max hourly rate],MATCH(INDEX(#REF!,A437),salaries_other_inst[category],0),1),""),"€ #"))</f>
        <v>#REF!</v>
      </c>
      <c r="F437" s="195" t="str">
        <f>IFERROR(IF(AND(INDEX(#REF!,A437)&lt;&gt;"",INDEX(#REF!,A437)=0),$B$155,""),"")</f>
        <v/>
      </c>
      <c r="G437" s="195" t="str">
        <f>IFERROR(IF(12*INDEX(#REF!,A437)/INDEX(#REF!,A437)&gt;pers_other_nrhours_year,checks!$A$156,""),"")</f>
        <v/>
      </c>
      <c r="H437" t="e">
        <f>IF(AND(organisation_type="yes",INDEX(#REF!,A333,1)&lt;&gt;"",ISBLANK(INDEX(#REF!,A333,1))),$B$146,"")</f>
        <v>#REF!</v>
      </c>
      <c r="I437" t="e">
        <f>IF(AND(organisation_name="yes",INDEX(#REF!,A437,1)&lt;&gt;"",ISBLANK(INDEX(#REF!,A437,1))),$B$147,"")</f>
        <v>#REF!</v>
      </c>
    </row>
    <row r="438" spans="1:9" hidden="1" outlineLevel="1" x14ac:dyDescent="0.35">
      <c r="A438" s="195">
        <v>23</v>
      </c>
      <c r="B438" s="195" t="str">
        <f t="array" ref="B438">IFERROR(INDEX(personnel_other_inst_21[[#This Row],[Empty lines]:[Name organisation]],1,MATCH(TRUE,LEN(personnel_other_inst_21[[#This Row],[Empty lines]:[Name organisation]])&gt;0,0)),"")</f>
        <v/>
      </c>
      <c r="C438" s="195" t="str">
        <f>IFERROR(IF(AND(LEN(INDEX(#REF!,A438))+LEN(INDEX(#REF!,A438))+LEN(INDEX(#REF!,A438))+LEN(INDEX(#REF!,A438))+LEN(INDEX(#REF!,A438))&gt;0,LEN(INDEX(#REF!,A438-1))++LEN(INDEX(#REF!,A438-1))+LEN(INDEX(#REF!,A438-1))+LEN(INDEX(#REF!,A438-1))+LEN(INDEX(#REF!,A438-1))=0),$B$127,""),"")</f>
        <v/>
      </c>
      <c r="D438" s="195" t="str">
        <f>IFERROR(IF(AND(INDEX(#REF!,A438)="",OR(INDEX(#REF!,A438)&gt;0,INDEX(#REF!,A438)&gt;0,INDEX(#REF!,A438)&gt;0)),$B$154,""),"")</f>
        <v/>
      </c>
      <c r="E438" s="195" t="e">
        <f>SUBSTITUTE(IF(INDEX(#REF!,A438)&gt;IFERROR(INDEX(salaries_other_inst[Max hourly rate],MATCH(INDEX(#REF!,A438),salaries_other_inst[category],0),1),""),$B$153,""),"&lt;&lt;max_hourly_rate&gt;&gt;",TEXT(IFERROR(INDEX(salaries_other_inst[Max hourly rate],MATCH(INDEX(#REF!,A438),salaries_other_inst[category],0),1),""),"€ #"))</f>
        <v>#REF!</v>
      </c>
      <c r="F438" s="195" t="str">
        <f>IFERROR(IF(AND(INDEX(#REF!,A438)&lt;&gt;"",INDEX(#REF!,A438)=0),$B$155,""),"")</f>
        <v/>
      </c>
      <c r="G438" s="195" t="str">
        <f>IFERROR(IF(12*INDEX(#REF!,A438)/INDEX(#REF!,A438)&gt;pers_other_nrhours_year,checks!$A$156,""),"")</f>
        <v/>
      </c>
      <c r="H438" t="e">
        <f>IF(AND(organisation_type="yes",INDEX(#REF!,A334,1)&lt;&gt;"",ISBLANK(INDEX(#REF!,A334,1))),$B$146,"")</f>
        <v>#REF!</v>
      </c>
      <c r="I438" t="e">
        <f>IF(AND(organisation_name="yes",INDEX(#REF!,A438,1)&lt;&gt;"",ISBLANK(INDEX(#REF!,A438,1))),$B$147,"")</f>
        <v>#REF!</v>
      </c>
    </row>
    <row r="439" spans="1:9" hidden="1" outlineLevel="1" x14ac:dyDescent="0.35">
      <c r="A439" s="195">
        <v>24</v>
      </c>
      <c r="B439" s="195" t="str">
        <f t="array" ref="B439">IFERROR(INDEX(personnel_other_inst_21[[#This Row],[Empty lines]:[Name organisation]],1,MATCH(TRUE,LEN(personnel_other_inst_21[[#This Row],[Empty lines]:[Name organisation]])&gt;0,0)),"")</f>
        <v/>
      </c>
      <c r="C439" s="195" t="str">
        <f>IFERROR(IF(AND(LEN(INDEX(#REF!,A439))+LEN(INDEX(#REF!,A439))+LEN(INDEX(#REF!,A439))+LEN(INDEX(#REF!,A439))+LEN(INDEX(#REF!,A439))&gt;0,LEN(INDEX(#REF!,A439-1))++LEN(INDEX(#REF!,A439-1))+LEN(INDEX(#REF!,A439-1))+LEN(INDEX(#REF!,A439-1))+LEN(INDEX(#REF!,A439-1))=0),$B$127,""),"")</f>
        <v/>
      </c>
      <c r="D439" s="195" t="str">
        <f>IFERROR(IF(AND(INDEX(#REF!,A439)="",OR(INDEX(#REF!,A439)&gt;0,INDEX(#REF!,A439)&gt;0,INDEX(#REF!,A439)&gt;0)),$B$154,""),"")</f>
        <v/>
      </c>
      <c r="E439" s="195" t="e">
        <f>SUBSTITUTE(IF(INDEX(#REF!,A439)&gt;IFERROR(INDEX(salaries_other_inst[Max hourly rate],MATCH(INDEX(#REF!,A439),salaries_other_inst[category],0),1),""),$B$153,""),"&lt;&lt;max_hourly_rate&gt;&gt;",TEXT(IFERROR(INDEX(salaries_other_inst[Max hourly rate],MATCH(INDEX(#REF!,A439),salaries_other_inst[category],0),1),""),"€ #"))</f>
        <v>#REF!</v>
      </c>
      <c r="F439" s="195" t="str">
        <f>IFERROR(IF(AND(INDEX(#REF!,A439)&lt;&gt;"",INDEX(#REF!,A439)=0),$B$155,""),"")</f>
        <v/>
      </c>
      <c r="G439" s="195" t="str">
        <f>IFERROR(IF(12*INDEX(#REF!,A439)/INDEX(#REF!,A439)&gt;pers_other_nrhours_year,checks!$A$156,""),"")</f>
        <v/>
      </c>
      <c r="H439" t="e">
        <f>IF(AND(organisation_type="yes",INDEX(#REF!,A335,1)&lt;&gt;"",ISBLANK(INDEX(#REF!,A335,1))),$B$146,"")</f>
        <v>#REF!</v>
      </c>
      <c r="I439" t="e">
        <f>IF(AND(organisation_name="yes",INDEX(#REF!,A439,1)&lt;&gt;"",ISBLANK(INDEX(#REF!,A439,1))),$B$147,"")</f>
        <v>#REF!</v>
      </c>
    </row>
    <row r="440" spans="1:9" hidden="1" outlineLevel="1" x14ac:dyDescent="0.35">
      <c r="A440" s="195">
        <v>25</v>
      </c>
      <c r="B440" s="195" t="str">
        <f t="array" ref="B440">IFERROR(INDEX(personnel_other_inst_21[[#This Row],[Empty lines]:[Name organisation]],1,MATCH(TRUE,LEN(personnel_other_inst_21[[#This Row],[Empty lines]:[Name organisation]])&gt;0,0)),"")</f>
        <v/>
      </c>
      <c r="C440" s="195" t="str">
        <f>IFERROR(IF(AND(LEN(INDEX(#REF!,A440))+LEN(INDEX(#REF!,A440))+LEN(INDEX(#REF!,A440))+LEN(INDEX(#REF!,A440))+LEN(INDEX(#REF!,A440))&gt;0,LEN(INDEX(#REF!,A440-1))++LEN(INDEX(#REF!,A440-1))+LEN(INDEX(#REF!,A440-1))+LEN(INDEX(#REF!,A440-1))+LEN(INDEX(#REF!,A440-1))=0),$B$127,""),"")</f>
        <v/>
      </c>
      <c r="D440" s="195" t="str">
        <f>IFERROR(IF(AND(INDEX(#REF!,A440)="",OR(INDEX(#REF!,A440)&gt;0,INDEX(#REF!,A440)&gt;0,INDEX(#REF!,A440)&gt;0)),$B$154,""),"")</f>
        <v/>
      </c>
      <c r="E440" s="195" t="e">
        <f>SUBSTITUTE(IF(INDEX(#REF!,A440)&gt;IFERROR(INDEX(salaries_other_inst[Max hourly rate],MATCH(INDEX(#REF!,A440),salaries_other_inst[category],0),1),""),$B$153,""),"&lt;&lt;max_hourly_rate&gt;&gt;",TEXT(IFERROR(INDEX(salaries_other_inst[Max hourly rate],MATCH(INDEX(#REF!,A440),salaries_other_inst[category],0),1),""),"€ #"))</f>
        <v>#REF!</v>
      </c>
      <c r="F440" s="195" t="str">
        <f>IFERROR(IF(AND(INDEX(#REF!,A440)&lt;&gt;"",INDEX(#REF!,A440)=0),$B$155,""),"")</f>
        <v/>
      </c>
      <c r="G440" s="195" t="str">
        <f>IFERROR(IF(12*INDEX(#REF!,A440)/INDEX(#REF!,A440)&gt;pers_other_nrhours_year,checks!$A$156,""),"")</f>
        <v/>
      </c>
      <c r="H440" t="e">
        <f>IF(AND(organisation_type="yes",INDEX(#REF!,A336,1)&lt;&gt;"",ISBLANK(INDEX(#REF!,A336,1))),$B$146,"")</f>
        <v>#REF!</v>
      </c>
      <c r="I440" t="e">
        <f>IF(AND(organisation_name="yes",INDEX(#REF!,A440,1)&lt;&gt;"",ISBLANK(INDEX(#REF!,A440,1))),$B$147,"")</f>
        <v>#REF!</v>
      </c>
    </row>
    <row r="441" spans="1:9" hidden="1" outlineLevel="1" x14ac:dyDescent="0.35">
      <c r="A441" s="195">
        <v>26</v>
      </c>
      <c r="B441" s="195" t="str">
        <f t="array" ref="B441">IFERROR(INDEX(personnel_other_inst_21[[#This Row],[Empty lines]:[Name organisation]],1,MATCH(TRUE,LEN(personnel_other_inst_21[[#This Row],[Empty lines]:[Name organisation]])&gt;0,0)),"")</f>
        <v/>
      </c>
      <c r="C441" s="195" t="str">
        <f>IFERROR(IF(AND(LEN(INDEX(#REF!,A441))+LEN(INDEX(#REF!,A441))+LEN(INDEX(#REF!,A441))+LEN(INDEX(#REF!,A441))+LEN(INDEX(#REF!,A441))&gt;0,LEN(INDEX(#REF!,A441-1))++LEN(INDEX(#REF!,A441-1))+LEN(INDEX(#REF!,A441-1))+LEN(INDEX(#REF!,A441-1))+LEN(INDEX(#REF!,A441-1))=0),$B$127,""),"")</f>
        <v/>
      </c>
      <c r="D441" s="195" t="str">
        <f>IFERROR(IF(AND(INDEX(#REF!,A441)="",OR(INDEX(#REF!,A441)&gt;0,INDEX(#REF!,A441)&gt;0,INDEX(#REF!,A441)&gt;0)),$B$154,""),"")</f>
        <v/>
      </c>
      <c r="E441" s="195" t="e">
        <f>SUBSTITUTE(IF(INDEX(#REF!,A441)&gt;IFERROR(INDEX(salaries_other_inst[Max hourly rate],MATCH(INDEX(#REF!,A441),salaries_other_inst[category],0),1),""),$B$153,""),"&lt;&lt;max_hourly_rate&gt;&gt;",TEXT(IFERROR(INDEX(salaries_other_inst[Max hourly rate],MATCH(INDEX(#REF!,A441),salaries_other_inst[category],0),1),""),"€ #"))</f>
        <v>#REF!</v>
      </c>
      <c r="F441" s="195" t="str">
        <f>IFERROR(IF(AND(INDEX(#REF!,A441)&lt;&gt;"",INDEX(#REF!,A441)=0),$B$155,""),"")</f>
        <v/>
      </c>
      <c r="G441" s="195" t="str">
        <f>IFERROR(IF(12*INDEX(#REF!,A441)/INDEX(#REF!,A441)&gt;pers_other_nrhours_year,checks!$A$156,""),"")</f>
        <v/>
      </c>
      <c r="H441" t="e">
        <f>IF(AND(organisation_type="yes",INDEX(#REF!,A337,1)&lt;&gt;"",ISBLANK(INDEX(#REF!,A337,1))),$B$146,"")</f>
        <v>#REF!</v>
      </c>
      <c r="I441" t="e">
        <f>IF(AND(organisation_name="yes",INDEX(#REF!,A441,1)&lt;&gt;"",ISBLANK(INDEX(#REF!,A441,1))),$B$147,"")</f>
        <v>#REF!</v>
      </c>
    </row>
    <row r="442" spans="1:9" hidden="1" outlineLevel="1" x14ac:dyDescent="0.35">
      <c r="A442" s="195">
        <v>27</v>
      </c>
      <c r="B442" s="195" t="str">
        <f t="array" ref="B442">IFERROR(INDEX(personnel_other_inst_21[[#This Row],[Empty lines]:[Name organisation]],1,MATCH(TRUE,LEN(personnel_other_inst_21[[#This Row],[Empty lines]:[Name organisation]])&gt;0,0)),"")</f>
        <v/>
      </c>
      <c r="C442" s="195" t="str">
        <f>IFERROR(IF(AND(LEN(INDEX(#REF!,A442))+LEN(INDEX(#REF!,A442))+LEN(INDEX(#REF!,A442))+LEN(INDEX(#REF!,A442))+LEN(INDEX(#REF!,A442))&gt;0,LEN(INDEX(#REF!,A442-1))++LEN(INDEX(#REF!,A442-1))+LEN(INDEX(#REF!,A442-1))+LEN(INDEX(#REF!,A442-1))+LEN(INDEX(#REF!,A442-1))=0),$B$127,""),"")</f>
        <v/>
      </c>
      <c r="D442" s="195" t="str">
        <f>IFERROR(IF(AND(INDEX(#REF!,A442)="",OR(INDEX(#REF!,A442)&gt;0,INDEX(#REF!,A442)&gt;0,INDEX(#REF!,A442)&gt;0)),$B$154,""),"")</f>
        <v/>
      </c>
      <c r="E442" s="195" t="e">
        <f>SUBSTITUTE(IF(INDEX(#REF!,A442)&gt;IFERROR(INDEX(salaries_other_inst[Max hourly rate],MATCH(INDEX(#REF!,A442),salaries_other_inst[category],0),1),""),$B$153,""),"&lt;&lt;max_hourly_rate&gt;&gt;",TEXT(IFERROR(INDEX(salaries_other_inst[Max hourly rate],MATCH(INDEX(#REF!,A442),salaries_other_inst[category],0),1),""),"€ #"))</f>
        <v>#REF!</v>
      </c>
      <c r="F442" s="195" t="str">
        <f>IFERROR(IF(AND(INDEX(#REF!,A442)&lt;&gt;"",INDEX(#REF!,A442)=0),$B$155,""),"")</f>
        <v/>
      </c>
      <c r="G442" s="195" t="str">
        <f>IFERROR(IF(12*INDEX(#REF!,A442)/INDEX(#REF!,A442)&gt;pers_other_nrhours_year,checks!$A$156,""),"")</f>
        <v/>
      </c>
      <c r="H442" t="e">
        <f>IF(AND(organisation_type="yes",INDEX(#REF!,A338,1)&lt;&gt;"",ISBLANK(INDEX(#REF!,A338,1))),$B$146,"")</f>
        <v>#REF!</v>
      </c>
      <c r="I442" t="e">
        <f>IF(AND(organisation_name="yes",INDEX(#REF!,A442,1)&lt;&gt;"",ISBLANK(INDEX(#REF!,A442,1))),$B$147,"")</f>
        <v>#REF!</v>
      </c>
    </row>
    <row r="443" spans="1:9" hidden="1" outlineLevel="1" x14ac:dyDescent="0.35">
      <c r="A443" s="195">
        <v>28</v>
      </c>
      <c r="B443" s="195" t="str">
        <f t="array" ref="B443">IFERROR(INDEX(personnel_other_inst_21[[#This Row],[Empty lines]:[Name organisation]],1,MATCH(TRUE,LEN(personnel_other_inst_21[[#This Row],[Empty lines]:[Name organisation]])&gt;0,0)),"")</f>
        <v/>
      </c>
      <c r="C443" s="195" t="str">
        <f>IFERROR(IF(AND(LEN(INDEX(#REF!,A443))+LEN(INDEX(#REF!,A443))+LEN(INDEX(#REF!,A443))+LEN(INDEX(#REF!,A443))+LEN(INDEX(#REF!,A443))&gt;0,LEN(INDEX(#REF!,A443-1))++LEN(INDEX(#REF!,A443-1))+LEN(INDEX(#REF!,A443-1))+LEN(INDEX(#REF!,A443-1))+LEN(INDEX(#REF!,A443-1))=0),$B$127,""),"")</f>
        <v/>
      </c>
      <c r="D443" s="195" t="str">
        <f>IFERROR(IF(AND(INDEX(#REF!,A443)="",OR(INDEX(#REF!,A443)&gt;0,INDEX(#REF!,A443)&gt;0,INDEX(#REF!,A443)&gt;0)),$B$154,""),"")</f>
        <v/>
      </c>
      <c r="E443" s="195" t="e">
        <f>SUBSTITUTE(IF(INDEX(#REF!,A443)&gt;IFERROR(INDEX(salaries_other_inst[Max hourly rate],MATCH(INDEX(#REF!,A443),salaries_other_inst[category],0),1),""),$B$153,""),"&lt;&lt;max_hourly_rate&gt;&gt;",TEXT(IFERROR(INDEX(salaries_other_inst[Max hourly rate],MATCH(INDEX(#REF!,A443),salaries_other_inst[category],0),1),""),"€ #"))</f>
        <v>#REF!</v>
      </c>
      <c r="F443" s="195" t="str">
        <f>IFERROR(IF(AND(INDEX(#REF!,A443)&lt;&gt;"",INDEX(#REF!,A443)=0),$B$155,""),"")</f>
        <v/>
      </c>
      <c r="G443" s="195" t="str">
        <f>IFERROR(IF(12*INDEX(#REF!,A443)/INDEX(#REF!,A443)&gt;pers_other_nrhours_year,checks!$A$156,""),"")</f>
        <v/>
      </c>
      <c r="H443" t="e">
        <f>IF(AND(organisation_type="yes",INDEX(#REF!,A339,1)&lt;&gt;"",ISBLANK(INDEX(#REF!,A339,1))),$B$146,"")</f>
        <v>#REF!</v>
      </c>
      <c r="I443" t="e">
        <f>IF(AND(organisation_name="yes",INDEX(#REF!,A443,1)&lt;&gt;"",ISBLANK(INDEX(#REF!,A443,1))),$B$147,"")</f>
        <v>#REF!</v>
      </c>
    </row>
    <row r="444" spans="1:9" hidden="1" outlineLevel="1" x14ac:dyDescent="0.35">
      <c r="A444" s="195">
        <v>29</v>
      </c>
      <c r="B444" s="195" t="str">
        <f t="array" ref="B444">IFERROR(INDEX(personnel_other_inst_21[[#This Row],[Empty lines]:[Name organisation]],1,MATCH(TRUE,LEN(personnel_other_inst_21[[#This Row],[Empty lines]:[Name organisation]])&gt;0,0)),"")</f>
        <v/>
      </c>
      <c r="C444" s="195" t="str">
        <f>IFERROR(IF(AND(LEN(INDEX(#REF!,A444))+LEN(INDEX(#REF!,A444))+LEN(INDEX(#REF!,A444))+LEN(INDEX(#REF!,A444))+LEN(INDEX(#REF!,A444))&gt;0,LEN(INDEX(#REF!,A444-1))++LEN(INDEX(#REF!,A444-1))+LEN(INDEX(#REF!,A444-1))+LEN(INDEX(#REF!,A444-1))+LEN(INDEX(#REF!,A444-1))=0),$B$127,""),"")</f>
        <v/>
      </c>
      <c r="D444" s="195" t="str">
        <f>IFERROR(IF(AND(INDEX(#REF!,A444)="",OR(INDEX(#REF!,A444)&gt;0,INDEX(#REF!,A444)&gt;0,INDEX(#REF!,A444)&gt;0)),$B$154,""),"")</f>
        <v/>
      </c>
      <c r="E444" s="195" t="e">
        <f>SUBSTITUTE(IF(INDEX(#REF!,A444)&gt;IFERROR(INDEX(salaries_other_inst[Max hourly rate],MATCH(INDEX(#REF!,A444),salaries_other_inst[category],0),1),""),$B$153,""),"&lt;&lt;max_hourly_rate&gt;&gt;",TEXT(IFERROR(INDEX(salaries_other_inst[Max hourly rate],MATCH(INDEX(#REF!,A444),salaries_other_inst[category],0),1),""),"€ #"))</f>
        <v>#REF!</v>
      </c>
      <c r="F444" s="195" t="str">
        <f>IFERROR(IF(AND(INDEX(#REF!,A444)&lt;&gt;"",INDEX(#REF!,A444)=0),$B$155,""),"")</f>
        <v/>
      </c>
      <c r="G444" s="195" t="str">
        <f>IFERROR(IF(12*INDEX(#REF!,A444)/INDEX(#REF!,A444)&gt;pers_other_nrhours_year,checks!$A$156,""),"")</f>
        <v/>
      </c>
      <c r="H444" t="e">
        <f>IF(AND(organisation_type="yes",INDEX(#REF!,A340,1)&lt;&gt;"",ISBLANK(INDEX(#REF!,A340,1))),$B$146,"")</f>
        <v>#REF!</v>
      </c>
      <c r="I444" t="e">
        <f>IF(AND(organisation_name="yes",INDEX(#REF!,A444,1)&lt;&gt;"",ISBLANK(INDEX(#REF!,A444,1))),$B$147,"")</f>
        <v>#REF!</v>
      </c>
    </row>
    <row r="445" spans="1:9" hidden="1" outlineLevel="1" x14ac:dyDescent="0.35">
      <c r="A445" s="195">
        <v>30</v>
      </c>
      <c r="B445" s="195" t="str">
        <f t="array" ref="B445">IFERROR(INDEX(personnel_other_inst_21[[#This Row],[Empty lines]:[Name organisation]],1,MATCH(TRUE,LEN(personnel_other_inst_21[[#This Row],[Empty lines]:[Name organisation]])&gt;0,0)),"")</f>
        <v/>
      </c>
      <c r="C445" s="195" t="str">
        <f>IFERROR(IF(AND(LEN(INDEX(#REF!,A445))+LEN(INDEX(#REF!,A445))+LEN(INDEX(#REF!,A445))+LEN(INDEX(#REF!,A445))+LEN(INDEX(#REF!,A445))&gt;0,LEN(INDEX(#REF!,A445-1))++LEN(INDEX(#REF!,A445-1))+LEN(INDEX(#REF!,A445-1))+LEN(INDEX(#REF!,A445-1))+LEN(INDEX(#REF!,A445-1))=0),$B$127,""),"")</f>
        <v/>
      </c>
      <c r="D445" s="195" t="str">
        <f>IFERROR(IF(AND(INDEX(#REF!,A445)="",OR(INDEX(#REF!,A445)&gt;0,INDEX(#REF!,A445)&gt;0,INDEX(#REF!,A445)&gt;0)),$B$154,""),"")</f>
        <v/>
      </c>
      <c r="E445" s="195" t="e">
        <f>SUBSTITUTE(IF(INDEX(#REF!,A445)&gt;IFERROR(INDEX(salaries_other_inst[Max hourly rate],MATCH(INDEX(#REF!,A445),salaries_other_inst[category],0),1),""),$B$153,""),"&lt;&lt;max_hourly_rate&gt;&gt;",TEXT(IFERROR(INDEX(salaries_other_inst[Max hourly rate],MATCH(INDEX(#REF!,A445),salaries_other_inst[category],0),1),""),"€ #"))</f>
        <v>#REF!</v>
      </c>
      <c r="F445" s="195" t="str">
        <f>IFERROR(IF(AND(INDEX(#REF!,A445)&lt;&gt;"",INDEX(#REF!,A445)=0),$B$155,""),"")</f>
        <v/>
      </c>
      <c r="G445" s="195" t="str">
        <f>IFERROR(IF(12*INDEX(#REF!,A445)/INDEX(#REF!,A445)&gt;pers_other_nrhours_year,checks!$A$156,""),"")</f>
        <v/>
      </c>
      <c r="H445" t="e">
        <f>IF(AND(organisation_type="yes",INDEX(#REF!,A341,1)&lt;&gt;"",ISBLANK(INDEX(#REF!,A341,1))),$B$146,"")</f>
        <v>#REF!</v>
      </c>
      <c r="I445" t="e">
        <f>IF(AND(organisation_name="yes",INDEX(#REF!,A445,1)&lt;&gt;"",ISBLANK(INDEX(#REF!,A445,1))),$B$147,"")</f>
        <v>#REF!</v>
      </c>
    </row>
    <row r="446" spans="1:9" hidden="1" outlineLevel="1" x14ac:dyDescent="0.35">
      <c r="A446" s="195">
        <v>31</v>
      </c>
      <c r="B446" s="195" t="str">
        <f t="array" ref="B446">IFERROR(INDEX(personnel_other_inst_21[[#This Row],[Empty lines]:[Name organisation]],1,MATCH(TRUE,LEN(personnel_other_inst_21[[#This Row],[Empty lines]:[Name organisation]])&gt;0,0)),"")</f>
        <v/>
      </c>
      <c r="C446" s="195" t="str">
        <f>IFERROR(IF(AND(LEN(INDEX(#REF!,A446))+LEN(INDEX(#REF!,A446))+LEN(INDEX(#REF!,A446))+LEN(INDEX(#REF!,A446))+LEN(INDEX(#REF!,A446))&gt;0,LEN(INDEX(#REF!,A446-1))++LEN(INDEX(#REF!,A446-1))+LEN(INDEX(#REF!,A446-1))+LEN(INDEX(#REF!,A446-1))+LEN(INDEX(#REF!,A446-1))=0),$B$127,""),"")</f>
        <v/>
      </c>
      <c r="D446" s="195" t="str">
        <f>IFERROR(IF(AND(INDEX(#REF!,A446)="",OR(INDEX(#REF!,A446)&gt;0,INDEX(#REF!,A446)&gt;0,INDEX(#REF!,A446)&gt;0)),$B$154,""),"")</f>
        <v/>
      </c>
      <c r="E446" s="195" t="e">
        <f>SUBSTITUTE(IF(INDEX(#REF!,A446)&gt;IFERROR(INDEX(salaries_other_inst[Max hourly rate],MATCH(INDEX(#REF!,A446),salaries_other_inst[category],0),1),""),$B$153,""),"&lt;&lt;max_hourly_rate&gt;&gt;",TEXT(IFERROR(INDEX(salaries_other_inst[Max hourly rate],MATCH(INDEX(#REF!,A446),salaries_other_inst[category],0),1),""),"€ #"))</f>
        <v>#REF!</v>
      </c>
      <c r="F446" s="195" t="str">
        <f>IFERROR(IF(AND(INDEX(#REF!,A446)&lt;&gt;"",INDEX(#REF!,A446)=0),$B$155,""),"")</f>
        <v/>
      </c>
      <c r="G446" s="195" t="str">
        <f>IFERROR(IF(12*INDEX(#REF!,A446)/INDEX(#REF!,A446)&gt;pers_other_nrhours_year,checks!$A$156,""),"")</f>
        <v/>
      </c>
      <c r="H446" t="e">
        <f>IF(AND(organisation_type="yes",INDEX(#REF!,A342,1)&lt;&gt;"",ISBLANK(INDEX(#REF!,A342,1))),$B$146,"")</f>
        <v>#REF!</v>
      </c>
      <c r="I446" t="e">
        <f>IF(AND(organisation_name="yes",INDEX(#REF!,A446,1)&lt;&gt;"",ISBLANK(INDEX(#REF!,A446,1))),$B$147,"")</f>
        <v>#REF!</v>
      </c>
    </row>
    <row r="447" spans="1:9" hidden="1" outlineLevel="1" x14ac:dyDescent="0.35">
      <c r="A447" s="195">
        <v>32</v>
      </c>
      <c r="B447" s="195" t="str">
        <f t="array" ref="B447">IFERROR(INDEX(personnel_other_inst_21[[#This Row],[Empty lines]:[Name organisation]],1,MATCH(TRUE,LEN(personnel_other_inst_21[[#This Row],[Empty lines]:[Name organisation]])&gt;0,0)),"")</f>
        <v/>
      </c>
      <c r="C447" s="195" t="str">
        <f>IFERROR(IF(AND(LEN(INDEX(#REF!,A447))+LEN(INDEX(#REF!,A447))+LEN(INDEX(#REF!,A447))+LEN(INDEX(#REF!,A447))+LEN(INDEX(#REF!,A447))&gt;0,LEN(INDEX(#REF!,A447-1))++LEN(INDEX(#REF!,A447-1))+LEN(INDEX(#REF!,A447-1))+LEN(INDEX(#REF!,A447-1))+LEN(INDEX(#REF!,A447-1))=0),$B$127,""),"")</f>
        <v/>
      </c>
      <c r="D447" s="195" t="str">
        <f>IFERROR(IF(AND(INDEX(#REF!,A447)="",OR(INDEX(#REF!,A447)&gt;0,INDEX(#REF!,A447)&gt;0,INDEX(#REF!,A447)&gt;0)),$B$154,""),"")</f>
        <v/>
      </c>
      <c r="E447" s="195" t="e">
        <f>SUBSTITUTE(IF(INDEX(#REF!,A447)&gt;IFERROR(INDEX(salaries_other_inst[Max hourly rate],MATCH(INDEX(#REF!,A447),salaries_other_inst[category],0),1),""),$B$153,""),"&lt;&lt;max_hourly_rate&gt;&gt;",TEXT(IFERROR(INDEX(salaries_other_inst[Max hourly rate],MATCH(INDEX(#REF!,A447),salaries_other_inst[category],0),1),""),"€ #"))</f>
        <v>#REF!</v>
      </c>
      <c r="F447" s="195" t="str">
        <f>IFERROR(IF(AND(INDEX(#REF!,A447)&lt;&gt;"",INDEX(#REF!,A447)=0),$B$155,""),"")</f>
        <v/>
      </c>
      <c r="G447" s="195" t="str">
        <f>IFERROR(IF(12*INDEX(#REF!,A447)/INDEX(#REF!,A447)&gt;pers_other_nrhours_year,checks!$A$156,""),"")</f>
        <v/>
      </c>
      <c r="H447" t="e">
        <f>IF(AND(organisation_type="yes",INDEX(#REF!,A343,1)&lt;&gt;"",ISBLANK(INDEX(#REF!,A343,1))),$B$146,"")</f>
        <v>#REF!</v>
      </c>
      <c r="I447" t="e">
        <f>IF(AND(organisation_name="yes",INDEX(#REF!,A447,1)&lt;&gt;"",ISBLANK(INDEX(#REF!,A447,1))),$B$147,"")</f>
        <v>#REF!</v>
      </c>
    </row>
    <row r="448" spans="1:9" hidden="1" outlineLevel="1" x14ac:dyDescent="0.35">
      <c r="A448" s="195">
        <v>33</v>
      </c>
      <c r="B448" s="195" t="str">
        <f t="array" ref="B448">IFERROR(INDEX(personnel_other_inst_21[[#This Row],[Empty lines]:[Name organisation]],1,MATCH(TRUE,LEN(personnel_other_inst_21[[#This Row],[Empty lines]:[Name organisation]])&gt;0,0)),"")</f>
        <v/>
      </c>
      <c r="C448" s="195" t="str">
        <f>IFERROR(IF(AND(LEN(INDEX(#REF!,A448))+LEN(INDEX(#REF!,A448))+LEN(INDEX(#REF!,A448))+LEN(INDEX(#REF!,A448))+LEN(INDEX(#REF!,A448))&gt;0,LEN(INDEX(#REF!,A448-1))++LEN(INDEX(#REF!,A448-1))+LEN(INDEX(#REF!,A448-1))+LEN(INDEX(#REF!,A448-1))+LEN(INDEX(#REF!,A448-1))=0),$B$127,""),"")</f>
        <v/>
      </c>
      <c r="D448" s="195" t="str">
        <f>IFERROR(IF(AND(INDEX(#REF!,A448)="",OR(INDEX(#REF!,A448)&gt;0,INDEX(#REF!,A448)&gt;0,INDEX(#REF!,A448)&gt;0)),$B$154,""),"")</f>
        <v/>
      </c>
      <c r="E448" s="195" t="e">
        <f>SUBSTITUTE(IF(INDEX(#REF!,A448)&gt;IFERROR(INDEX(salaries_other_inst[Max hourly rate],MATCH(INDEX(#REF!,A448),salaries_other_inst[category],0),1),""),$B$153,""),"&lt;&lt;max_hourly_rate&gt;&gt;",TEXT(IFERROR(INDEX(salaries_other_inst[Max hourly rate],MATCH(INDEX(#REF!,A448),salaries_other_inst[category],0),1),""),"€ #"))</f>
        <v>#REF!</v>
      </c>
      <c r="F448" s="195" t="str">
        <f>IFERROR(IF(AND(INDEX(#REF!,A448)&lt;&gt;"",INDEX(#REF!,A448)=0),$B$155,""),"")</f>
        <v/>
      </c>
      <c r="G448" s="195" t="str">
        <f>IFERROR(IF(12*INDEX(#REF!,A448)/INDEX(#REF!,A448)&gt;pers_other_nrhours_year,checks!$A$156,""),"")</f>
        <v/>
      </c>
      <c r="H448" t="e">
        <f>IF(AND(organisation_type="yes",INDEX(#REF!,A344,1)&lt;&gt;"",ISBLANK(INDEX(#REF!,A344,1))),$B$146,"")</f>
        <v>#REF!</v>
      </c>
      <c r="I448" t="e">
        <f>IF(AND(organisation_name="yes",INDEX(#REF!,A448,1)&lt;&gt;"",ISBLANK(INDEX(#REF!,A448,1))),$B$147,"")</f>
        <v>#REF!</v>
      </c>
    </row>
    <row r="449" spans="1:9" hidden="1" outlineLevel="1" x14ac:dyDescent="0.35">
      <c r="A449" s="195">
        <v>34</v>
      </c>
      <c r="B449" s="195" t="str">
        <f t="array" ref="B449">IFERROR(INDEX(personnel_other_inst_21[[#This Row],[Empty lines]:[Name organisation]],1,MATCH(TRUE,LEN(personnel_other_inst_21[[#This Row],[Empty lines]:[Name organisation]])&gt;0,0)),"")</f>
        <v/>
      </c>
      <c r="C449" s="195" t="str">
        <f>IFERROR(IF(AND(LEN(INDEX(#REF!,A449))+LEN(INDEX(#REF!,A449))+LEN(INDEX(#REF!,A449))+LEN(INDEX(#REF!,A449))+LEN(INDEX(#REF!,A449))&gt;0,LEN(INDEX(#REF!,A449-1))++LEN(INDEX(#REF!,A449-1))+LEN(INDEX(#REF!,A449-1))+LEN(INDEX(#REF!,A449-1))+LEN(INDEX(#REF!,A449-1))=0),$B$127,""),"")</f>
        <v/>
      </c>
      <c r="D449" s="195" t="str">
        <f>IFERROR(IF(AND(INDEX(#REF!,A449)="",OR(INDEX(#REF!,A449)&gt;0,INDEX(#REF!,A449)&gt;0,INDEX(#REF!,A449)&gt;0)),$B$154,""),"")</f>
        <v/>
      </c>
      <c r="E449" s="195" t="e">
        <f>SUBSTITUTE(IF(INDEX(#REF!,A449)&gt;IFERROR(INDEX(salaries_other_inst[Max hourly rate],MATCH(INDEX(#REF!,A449),salaries_other_inst[category],0),1),""),$B$153,""),"&lt;&lt;max_hourly_rate&gt;&gt;",TEXT(IFERROR(INDEX(salaries_other_inst[Max hourly rate],MATCH(INDEX(#REF!,A449),salaries_other_inst[category],0),1),""),"€ #"))</f>
        <v>#REF!</v>
      </c>
      <c r="F449" s="195" t="str">
        <f>IFERROR(IF(AND(INDEX(#REF!,A449)&lt;&gt;"",INDEX(#REF!,A449)=0),$B$155,""),"")</f>
        <v/>
      </c>
      <c r="G449" s="195" t="str">
        <f>IFERROR(IF(12*INDEX(#REF!,A449)/INDEX(#REF!,A449)&gt;pers_other_nrhours_year,checks!$A$156,""),"")</f>
        <v/>
      </c>
      <c r="H449" t="e">
        <f>IF(AND(organisation_type="yes",INDEX(#REF!,A345,1)&lt;&gt;"",ISBLANK(INDEX(#REF!,A345,1))),$B$146,"")</f>
        <v>#REF!</v>
      </c>
      <c r="I449" t="e">
        <f>IF(AND(organisation_name="yes",INDEX(#REF!,A449,1)&lt;&gt;"",ISBLANK(INDEX(#REF!,A449,1))),$B$147,"")</f>
        <v>#REF!</v>
      </c>
    </row>
    <row r="450" spans="1:9" hidden="1" outlineLevel="1" x14ac:dyDescent="0.35">
      <c r="A450" s="195">
        <v>35</v>
      </c>
      <c r="B450" s="195" t="str">
        <f t="array" ref="B450">IFERROR(INDEX(personnel_other_inst_21[[#This Row],[Empty lines]:[Name organisation]],1,MATCH(TRUE,LEN(personnel_other_inst_21[[#This Row],[Empty lines]:[Name organisation]])&gt;0,0)),"")</f>
        <v/>
      </c>
      <c r="C450" s="195" t="str">
        <f>IFERROR(IF(AND(LEN(INDEX(#REF!,A450))+LEN(INDEX(#REF!,A450))+LEN(INDEX(#REF!,A450))+LEN(INDEX(#REF!,A450))+LEN(INDEX(#REF!,A450))&gt;0,LEN(INDEX(#REF!,A450-1))++LEN(INDEX(#REF!,A450-1))+LEN(INDEX(#REF!,A450-1))+LEN(INDEX(#REF!,A450-1))+LEN(INDEX(#REF!,A450-1))=0),$B$127,""),"")</f>
        <v/>
      </c>
      <c r="D450" s="195" t="str">
        <f>IFERROR(IF(AND(INDEX(#REF!,A450)="",OR(INDEX(#REF!,A450)&gt;0,INDEX(#REF!,A450)&gt;0,INDEX(#REF!,A450)&gt;0)),$B$154,""),"")</f>
        <v/>
      </c>
      <c r="E450" s="195" t="e">
        <f>SUBSTITUTE(IF(INDEX(#REF!,A450)&gt;IFERROR(INDEX(salaries_other_inst[Max hourly rate],MATCH(INDEX(#REF!,A450),salaries_other_inst[category],0),1),""),$B$153,""),"&lt;&lt;max_hourly_rate&gt;&gt;",TEXT(IFERROR(INDEX(salaries_other_inst[Max hourly rate],MATCH(INDEX(#REF!,A450),salaries_other_inst[category],0),1),""),"€ #"))</f>
        <v>#REF!</v>
      </c>
      <c r="F450" s="195" t="str">
        <f>IFERROR(IF(AND(INDEX(#REF!,A450)&lt;&gt;"",INDEX(#REF!,A450)=0),$B$155,""),"")</f>
        <v/>
      </c>
      <c r="G450" s="195" t="str">
        <f>IFERROR(IF(12*INDEX(#REF!,A450)/INDEX(#REF!,A450)&gt;pers_other_nrhours_year,checks!$A$156,""),"")</f>
        <v/>
      </c>
      <c r="H450" t="e">
        <f>IF(AND(organisation_type="yes",INDEX(#REF!,A346,1)&lt;&gt;"",ISBLANK(INDEX(#REF!,A346,1))),$B$146,"")</f>
        <v>#REF!</v>
      </c>
      <c r="I450" t="e">
        <f>IF(AND(organisation_name="yes",INDEX(#REF!,A450,1)&lt;&gt;"",ISBLANK(INDEX(#REF!,A450,1))),$B$147,"")</f>
        <v>#REF!</v>
      </c>
    </row>
    <row r="451" spans="1:9" hidden="1" outlineLevel="1" x14ac:dyDescent="0.35">
      <c r="A451" s="195">
        <v>36</v>
      </c>
      <c r="B451" s="195" t="str">
        <f t="array" ref="B451">IFERROR(INDEX(personnel_other_inst_21[[#This Row],[Empty lines]:[Name organisation]],1,MATCH(TRUE,LEN(personnel_other_inst_21[[#This Row],[Empty lines]:[Name organisation]])&gt;0,0)),"")</f>
        <v/>
      </c>
      <c r="C451" s="195" t="str">
        <f>IFERROR(IF(AND(LEN(INDEX(#REF!,A451))+LEN(INDEX(#REF!,A451))+LEN(INDEX(#REF!,A451))+LEN(INDEX(#REF!,A451))+LEN(INDEX(#REF!,A451))&gt;0,LEN(INDEX(#REF!,A451-1))++LEN(INDEX(#REF!,A451-1))+LEN(INDEX(#REF!,A451-1))+LEN(INDEX(#REF!,A451-1))+LEN(INDEX(#REF!,A451-1))=0),$B$127,""),"")</f>
        <v/>
      </c>
      <c r="D451" s="195" t="str">
        <f>IFERROR(IF(AND(INDEX(#REF!,A451)="",OR(INDEX(#REF!,A451)&gt;0,INDEX(#REF!,A451)&gt;0,INDEX(#REF!,A451)&gt;0)),$B$154,""),"")</f>
        <v/>
      </c>
      <c r="E451" s="195" t="e">
        <f>SUBSTITUTE(IF(INDEX(#REF!,A451)&gt;IFERROR(INDEX(salaries_other_inst[Max hourly rate],MATCH(INDEX(#REF!,A451),salaries_other_inst[category],0),1),""),$B$153,""),"&lt;&lt;max_hourly_rate&gt;&gt;",TEXT(IFERROR(INDEX(salaries_other_inst[Max hourly rate],MATCH(INDEX(#REF!,A451),salaries_other_inst[category],0),1),""),"€ #"))</f>
        <v>#REF!</v>
      </c>
      <c r="F451" s="195" t="str">
        <f>IFERROR(IF(AND(INDEX(#REF!,A451)&lt;&gt;"",INDEX(#REF!,A451)=0),$B$155,""),"")</f>
        <v/>
      </c>
      <c r="G451" s="195" t="str">
        <f>IFERROR(IF(12*INDEX(#REF!,A451)/INDEX(#REF!,A451)&gt;pers_other_nrhours_year,checks!$A$156,""),"")</f>
        <v/>
      </c>
      <c r="H451" t="e">
        <f>IF(AND(organisation_type="yes",INDEX(#REF!,A347,1)&lt;&gt;"",ISBLANK(INDEX(#REF!,A347,1))),$B$146,"")</f>
        <v>#REF!</v>
      </c>
      <c r="I451" t="e">
        <f>IF(AND(organisation_name="yes",INDEX(#REF!,A451,1)&lt;&gt;"",ISBLANK(INDEX(#REF!,A451,1))),$B$147,"")</f>
        <v>#REF!</v>
      </c>
    </row>
    <row r="452" spans="1:9" hidden="1" outlineLevel="1" x14ac:dyDescent="0.35">
      <c r="A452" s="195">
        <v>37</v>
      </c>
      <c r="B452" s="195" t="str">
        <f t="array" ref="B452">IFERROR(INDEX(personnel_other_inst_21[[#This Row],[Empty lines]:[Name organisation]],1,MATCH(TRUE,LEN(personnel_other_inst_21[[#This Row],[Empty lines]:[Name organisation]])&gt;0,0)),"")</f>
        <v/>
      </c>
      <c r="C452" s="195" t="str">
        <f>IFERROR(IF(AND(LEN(INDEX(#REF!,A452))+LEN(INDEX(#REF!,A452))+LEN(INDEX(#REF!,A452))+LEN(INDEX(#REF!,A452))+LEN(INDEX(#REF!,A452))&gt;0,LEN(INDEX(#REF!,A452-1))++LEN(INDEX(#REF!,A452-1))+LEN(INDEX(#REF!,A452-1))+LEN(INDEX(#REF!,A452-1))+LEN(INDEX(#REF!,A452-1))=0),$B$127,""),"")</f>
        <v/>
      </c>
      <c r="D452" s="195" t="str">
        <f>IFERROR(IF(AND(INDEX(#REF!,A452)="",OR(INDEX(#REF!,A452)&gt;0,INDEX(#REF!,A452)&gt;0,INDEX(#REF!,A452)&gt;0)),$B$154,""),"")</f>
        <v/>
      </c>
      <c r="E452" s="195" t="e">
        <f>SUBSTITUTE(IF(INDEX(#REF!,A452)&gt;IFERROR(INDEX(salaries_other_inst[Max hourly rate],MATCH(INDEX(#REF!,A452),salaries_other_inst[category],0),1),""),$B$153,""),"&lt;&lt;max_hourly_rate&gt;&gt;",TEXT(IFERROR(INDEX(salaries_other_inst[Max hourly rate],MATCH(INDEX(#REF!,A452),salaries_other_inst[category],0),1),""),"€ #"))</f>
        <v>#REF!</v>
      </c>
      <c r="F452" s="195" t="str">
        <f>IFERROR(IF(AND(INDEX(#REF!,A452)&lt;&gt;"",INDEX(#REF!,A452)=0),$B$155,""),"")</f>
        <v/>
      </c>
      <c r="G452" s="195" t="str">
        <f>IFERROR(IF(12*INDEX(#REF!,A452)/INDEX(#REF!,A452)&gt;pers_other_nrhours_year,checks!$A$156,""),"")</f>
        <v/>
      </c>
      <c r="H452" t="e">
        <f>IF(AND(organisation_type="yes",INDEX(#REF!,A348,1)&lt;&gt;"",ISBLANK(INDEX(#REF!,A348,1))),$B$146,"")</f>
        <v>#REF!</v>
      </c>
      <c r="I452" t="e">
        <f>IF(AND(organisation_name="yes",INDEX(#REF!,A452,1)&lt;&gt;"",ISBLANK(INDEX(#REF!,A452,1))),$B$147,"")</f>
        <v>#REF!</v>
      </c>
    </row>
    <row r="453" spans="1:9" hidden="1" outlineLevel="1" x14ac:dyDescent="0.35">
      <c r="A453" s="195">
        <v>38</v>
      </c>
      <c r="B453" s="195" t="str">
        <f t="array" ref="B453">IFERROR(INDEX(personnel_other_inst_21[[#This Row],[Empty lines]:[Name organisation]],1,MATCH(TRUE,LEN(personnel_other_inst_21[[#This Row],[Empty lines]:[Name organisation]])&gt;0,0)),"")</f>
        <v/>
      </c>
      <c r="C453" s="195" t="str">
        <f>IFERROR(IF(AND(LEN(INDEX(#REF!,A453))+LEN(INDEX(#REF!,A453))+LEN(INDEX(#REF!,A453))+LEN(INDEX(#REF!,A453))+LEN(INDEX(#REF!,A453))&gt;0,LEN(INDEX(#REF!,A453-1))++LEN(INDEX(#REF!,A453-1))+LEN(INDEX(#REF!,A453-1))+LEN(INDEX(#REF!,A453-1))+LEN(INDEX(#REF!,A453-1))=0),$B$127,""),"")</f>
        <v/>
      </c>
      <c r="D453" s="195" t="str">
        <f>IFERROR(IF(AND(INDEX(#REF!,A453)="",OR(INDEX(#REF!,A453)&gt;0,INDEX(#REF!,A453)&gt;0,INDEX(#REF!,A453)&gt;0)),$B$154,""),"")</f>
        <v/>
      </c>
      <c r="E453" s="195" t="e">
        <f>SUBSTITUTE(IF(INDEX(#REF!,A453)&gt;IFERROR(INDEX(salaries_other_inst[Max hourly rate],MATCH(INDEX(#REF!,A453),salaries_other_inst[category],0),1),""),$B$153,""),"&lt;&lt;max_hourly_rate&gt;&gt;",TEXT(IFERROR(INDEX(salaries_other_inst[Max hourly rate],MATCH(INDEX(#REF!,A453),salaries_other_inst[category],0),1),""),"€ #"))</f>
        <v>#REF!</v>
      </c>
      <c r="F453" s="195" t="str">
        <f>IFERROR(IF(AND(INDEX(#REF!,A453)&lt;&gt;"",INDEX(#REF!,A453)=0),$B$155,""),"")</f>
        <v/>
      </c>
      <c r="G453" s="195" t="str">
        <f>IFERROR(IF(12*INDEX(#REF!,A453)/INDEX(#REF!,A453)&gt;pers_other_nrhours_year,checks!$A$156,""),"")</f>
        <v/>
      </c>
      <c r="H453" t="e">
        <f>IF(AND(organisation_type="yes",INDEX(#REF!,A349,1)&lt;&gt;"",ISBLANK(INDEX(#REF!,A349,1))),$B$146,"")</f>
        <v>#REF!</v>
      </c>
      <c r="I453" t="e">
        <f>IF(AND(organisation_name="yes",INDEX(#REF!,A453,1)&lt;&gt;"",ISBLANK(INDEX(#REF!,A453,1))),$B$147,"")</f>
        <v>#REF!</v>
      </c>
    </row>
    <row r="454" spans="1:9" hidden="1" outlineLevel="1" x14ac:dyDescent="0.35">
      <c r="A454" s="195">
        <v>39</v>
      </c>
      <c r="B454" s="195" t="str">
        <f t="array" ref="B454">IFERROR(INDEX(personnel_other_inst_21[[#This Row],[Empty lines]:[Name organisation]],1,MATCH(TRUE,LEN(personnel_other_inst_21[[#This Row],[Empty lines]:[Name organisation]])&gt;0,0)),"")</f>
        <v/>
      </c>
      <c r="C454" s="195" t="str">
        <f>IFERROR(IF(AND(LEN(INDEX(#REF!,A454))+LEN(INDEX(#REF!,A454))+LEN(INDEX(#REF!,A454))+LEN(INDEX(#REF!,A454))+LEN(INDEX(#REF!,A454))&gt;0,LEN(INDEX(#REF!,A454-1))++LEN(INDEX(#REF!,A454-1))+LEN(INDEX(#REF!,A454-1))+LEN(INDEX(#REF!,A454-1))+LEN(INDEX(#REF!,A454-1))=0),$B$127,""),"")</f>
        <v/>
      </c>
      <c r="D454" s="195" t="str">
        <f>IFERROR(IF(AND(INDEX(#REF!,A454)="",OR(INDEX(#REF!,A454)&gt;0,INDEX(#REF!,A454)&gt;0,INDEX(#REF!,A454)&gt;0)),$B$154,""),"")</f>
        <v/>
      </c>
      <c r="E454" s="195" t="e">
        <f>SUBSTITUTE(IF(INDEX(#REF!,A454)&gt;IFERROR(INDEX(salaries_other_inst[Max hourly rate],MATCH(INDEX(#REF!,A454),salaries_other_inst[category],0),1),""),$B$153,""),"&lt;&lt;max_hourly_rate&gt;&gt;",TEXT(IFERROR(INDEX(salaries_other_inst[Max hourly rate],MATCH(INDEX(#REF!,A454),salaries_other_inst[category],0),1),""),"€ #"))</f>
        <v>#REF!</v>
      </c>
      <c r="F454" s="195" t="str">
        <f>IFERROR(IF(AND(INDEX(#REF!,A454)&lt;&gt;"",INDEX(#REF!,A454)=0),$B$155,""),"")</f>
        <v/>
      </c>
      <c r="G454" s="195" t="str">
        <f>IFERROR(IF(12*INDEX(#REF!,A454)/INDEX(#REF!,A454)&gt;pers_other_nrhours_year,checks!$A$156,""),"")</f>
        <v/>
      </c>
      <c r="H454" t="e">
        <f>IF(AND(organisation_type="yes",INDEX(#REF!,A350,1)&lt;&gt;"",ISBLANK(INDEX(#REF!,A350,1))),$B$146,"")</f>
        <v>#REF!</v>
      </c>
      <c r="I454" t="e">
        <f>IF(AND(organisation_name="yes",INDEX(#REF!,A454,1)&lt;&gt;"",ISBLANK(INDEX(#REF!,A454,1))),$B$147,"")</f>
        <v>#REF!</v>
      </c>
    </row>
    <row r="455" spans="1:9" hidden="1" outlineLevel="1" x14ac:dyDescent="0.35">
      <c r="A455" s="195">
        <v>40</v>
      </c>
      <c r="B455" s="195" t="str">
        <f t="array" ref="B455">IFERROR(INDEX(personnel_other_inst_21[[#This Row],[Empty lines]:[Name organisation]],1,MATCH(TRUE,LEN(personnel_other_inst_21[[#This Row],[Empty lines]:[Name organisation]])&gt;0,0)),"")</f>
        <v/>
      </c>
      <c r="C455" s="195" t="str">
        <f>IFERROR(IF(AND(LEN(INDEX(#REF!,A455))+LEN(INDEX(#REF!,A455))+LEN(INDEX(#REF!,A455))+LEN(INDEX(#REF!,A455))+LEN(INDEX(#REF!,A455))&gt;0,LEN(INDEX(#REF!,A455-1))++LEN(INDEX(#REF!,A455-1))+LEN(INDEX(#REF!,A455-1))+LEN(INDEX(#REF!,A455-1))+LEN(INDEX(#REF!,A455-1))=0),$B$127,""),"")</f>
        <v/>
      </c>
      <c r="D455" s="195" t="str">
        <f>IFERROR(IF(AND(INDEX(#REF!,A455)="",OR(INDEX(#REF!,A455)&gt;0,INDEX(#REF!,A455)&gt;0,INDEX(#REF!,A455)&gt;0)),$B$154,""),"")</f>
        <v/>
      </c>
      <c r="E455" s="195" t="e">
        <f>SUBSTITUTE(IF(INDEX(#REF!,A455)&gt;IFERROR(INDEX(salaries_other_inst[Max hourly rate],MATCH(INDEX(#REF!,A455),salaries_other_inst[category],0),1),""),$B$153,""),"&lt;&lt;max_hourly_rate&gt;&gt;",TEXT(IFERROR(INDEX(salaries_other_inst[Max hourly rate],MATCH(INDEX(#REF!,A455),salaries_other_inst[category],0),1),""),"€ #"))</f>
        <v>#REF!</v>
      </c>
      <c r="F455" s="195" t="str">
        <f>IFERROR(IF(AND(INDEX(#REF!,A455)&lt;&gt;"",INDEX(#REF!,A455)=0),$B$155,""),"")</f>
        <v/>
      </c>
      <c r="G455" s="195" t="str">
        <f>IFERROR(IF(12*INDEX(#REF!,A455)/INDEX(#REF!,A455)&gt;pers_other_nrhours_year,checks!$A$156,""),"")</f>
        <v/>
      </c>
      <c r="H455" t="e">
        <f>IF(AND(organisation_type="yes",INDEX(#REF!,A351,1)&lt;&gt;"",ISBLANK(INDEX(#REF!,A351,1))),$B$146,"")</f>
        <v>#REF!</v>
      </c>
      <c r="I455" t="e">
        <f>IF(AND(organisation_name="yes",INDEX(#REF!,A455,1)&lt;&gt;"",ISBLANK(INDEX(#REF!,A455,1))),$B$147,"")</f>
        <v>#REF!</v>
      </c>
    </row>
    <row r="456" spans="1:9" hidden="1" outlineLevel="1" x14ac:dyDescent="0.35">
      <c r="A456" s="195">
        <v>41</v>
      </c>
      <c r="B456" s="195" t="str">
        <f t="array" ref="B456">IFERROR(INDEX(personnel_other_inst_21[[#This Row],[Empty lines]:[Name organisation]],1,MATCH(TRUE,LEN(personnel_other_inst_21[[#This Row],[Empty lines]:[Name organisation]])&gt;0,0)),"")</f>
        <v/>
      </c>
      <c r="C456" s="195" t="str">
        <f>IFERROR(IF(AND(LEN(INDEX(#REF!,A456))+LEN(INDEX(#REF!,A456))+LEN(INDEX(#REF!,A456))+LEN(INDEX(#REF!,A456))+LEN(INDEX(#REF!,A456))&gt;0,LEN(INDEX(#REF!,A456-1))++LEN(INDEX(#REF!,A456-1))+LEN(INDEX(#REF!,A456-1))+LEN(INDEX(#REF!,A456-1))+LEN(INDEX(#REF!,A456-1))=0),$B$127,""),"")</f>
        <v/>
      </c>
      <c r="D456" s="195" t="str">
        <f>IFERROR(IF(AND(INDEX(#REF!,A456)="",OR(INDEX(#REF!,A456)&gt;0,INDEX(#REF!,A456)&gt;0,INDEX(#REF!,A456)&gt;0)),$B$154,""),"")</f>
        <v/>
      </c>
      <c r="E456" s="195" t="e">
        <f>SUBSTITUTE(IF(INDEX(#REF!,A456)&gt;IFERROR(INDEX(salaries_other_inst[Max hourly rate],MATCH(INDEX(#REF!,A456),salaries_other_inst[category],0),1),""),$B$153,""),"&lt;&lt;max_hourly_rate&gt;&gt;",TEXT(IFERROR(INDEX(salaries_other_inst[Max hourly rate],MATCH(INDEX(#REF!,A456),salaries_other_inst[category],0),1),""),"€ #"))</f>
        <v>#REF!</v>
      </c>
      <c r="F456" s="195" t="str">
        <f>IFERROR(IF(AND(INDEX(#REF!,A456)&lt;&gt;"",INDEX(#REF!,A456)=0),$B$155,""),"")</f>
        <v/>
      </c>
      <c r="G456" s="195" t="str">
        <f>IFERROR(IF(12*INDEX(#REF!,A456)/INDEX(#REF!,A456)&gt;pers_other_nrhours_year,checks!$A$156,""),"")</f>
        <v/>
      </c>
      <c r="H456" t="e">
        <f>IF(AND(organisation_type="yes",INDEX(#REF!,A352,1)&lt;&gt;"",ISBLANK(INDEX(#REF!,A352,1))),$B$146,"")</f>
        <v>#REF!</v>
      </c>
      <c r="I456" t="e">
        <f>IF(AND(organisation_name="yes",INDEX(#REF!,A456,1)&lt;&gt;"",ISBLANK(INDEX(#REF!,A456,1))),$B$147,"")</f>
        <v>#REF!</v>
      </c>
    </row>
    <row r="457" spans="1:9" hidden="1" outlineLevel="1" x14ac:dyDescent="0.35">
      <c r="A457" s="195">
        <v>42</v>
      </c>
      <c r="B457" s="195" t="str">
        <f t="array" ref="B457">IFERROR(INDEX(personnel_other_inst_21[[#This Row],[Empty lines]:[Name organisation]],1,MATCH(TRUE,LEN(personnel_other_inst_21[[#This Row],[Empty lines]:[Name organisation]])&gt;0,0)),"")</f>
        <v/>
      </c>
      <c r="C457" s="195" t="str">
        <f>IFERROR(IF(AND(LEN(INDEX(#REF!,A457))+LEN(INDEX(#REF!,A457))+LEN(INDEX(#REF!,A457))+LEN(INDEX(#REF!,A457))+LEN(INDEX(#REF!,A457))&gt;0,LEN(INDEX(#REF!,A457-1))++LEN(INDEX(#REF!,A457-1))+LEN(INDEX(#REF!,A457-1))+LEN(INDEX(#REF!,A457-1))+LEN(INDEX(#REF!,A457-1))=0),$B$127,""),"")</f>
        <v/>
      </c>
      <c r="D457" s="195" t="str">
        <f>IFERROR(IF(AND(INDEX(#REF!,A457)="",OR(INDEX(#REF!,A457)&gt;0,INDEX(#REF!,A457)&gt;0,INDEX(#REF!,A457)&gt;0)),$B$154,""),"")</f>
        <v/>
      </c>
      <c r="E457" s="195" t="e">
        <f>SUBSTITUTE(IF(INDEX(#REF!,A457)&gt;IFERROR(INDEX(salaries_other_inst[Max hourly rate],MATCH(INDEX(#REF!,A457),salaries_other_inst[category],0),1),""),$B$153,""),"&lt;&lt;max_hourly_rate&gt;&gt;",TEXT(IFERROR(INDEX(salaries_other_inst[Max hourly rate],MATCH(INDEX(#REF!,A457),salaries_other_inst[category],0),1),""),"€ #"))</f>
        <v>#REF!</v>
      </c>
      <c r="F457" s="195" t="str">
        <f>IFERROR(IF(AND(INDEX(#REF!,A457)&lt;&gt;"",INDEX(#REF!,A457)=0),$B$155,""),"")</f>
        <v/>
      </c>
      <c r="G457" s="195" t="str">
        <f>IFERROR(IF(12*INDEX(#REF!,A457)/INDEX(#REF!,A457)&gt;pers_other_nrhours_year,checks!$A$156,""),"")</f>
        <v/>
      </c>
      <c r="H457" t="e">
        <f>IF(AND(organisation_type="yes",INDEX(#REF!,A353,1)&lt;&gt;"",ISBLANK(INDEX(#REF!,A353,1))),$B$146,"")</f>
        <v>#REF!</v>
      </c>
      <c r="I457" t="e">
        <f>IF(AND(organisation_name="yes",INDEX(#REF!,A457,1)&lt;&gt;"",ISBLANK(INDEX(#REF!,A457,1))),$B$147,"")</f>
        <v>#REF!</v>
      </c>
    </row>
    <row r="458" spans="1:9" hidden="1" outlineLevel="1" x14ac:dyDescent="0.35">
      <c r="A458" s="195">
        <v>43</v>
      </c>
      <c r="B458" s="195" t="str">
        <f t="array" ref="B458">IFERROR(INDEX(personnel_other_inst_21[[#This Row],[Empty lines]:[Name organisation]],1,MATCH(TRUE,LEN(personnel_other_inst_21[[#This Row],[Empty lines]:[Name organisation]])&gt;0,0)),"")</f>
        <v/>
      </c>
      <c r="C458" s="195" t="str">
        <f>IFERROR(IF(AND(LEN(INDEX(#REF!,A458))+LEN(INDEX(#REF!,A458))+LEN(INDEX(#REF!,A458))+LEN(INDEX(#REF!,A458))+LEN(INDEX(#REF!,A458))&gt;0,LEN(INDEX(#REF!,A458-1))++LEN(INDEX(#REF!,A458-1))+LEN(INDEX(#REF!,A458-1))+LEN(INDEX(#REF!,A458-1))+LEN(INDEX(#REF!,A458-1))=0),$B$127,""),"")</f>
        <v/>
      </c>
      <c r="D458" s="195" t="str">
        <f>IFERROR(IF(AND(INDEX(#REF!,A458)="",OR(INDEX(#REF!,A458)&gt;0,INDEX(#REF!,A458)&gt;0,INDEX(#REF!,A458)&gt;0)),$B$154,""),"")</f>
        <v/>
      </c>
      <c r="E458" s="195" t="e">
        <f>SUBSTITUTE(IF(INDEX(#REF!,A458)&gt;IFERROR(INDEX(salaries_other_inst[Max hourly rate],MATCH(INDEX(#REF!,A458),salaries_other_inst[category],0),1),""),$B$153,""),"&lt;&lt;max_hourly_rate&gt;&gt;",TEXT(IFERROR(INDEX(salaries_other_inst[Max hourly rate],MATCH(INDEX(#REF!,A458),salaries_other_inst[category],0),1),""),"€ #"))</f>
        <v>#REF!</v>
      </c>
      <c r="F458" s="195" t="str">
        <f>IFERROR(IF(AND(INDEX(#REF!,A458)&lt;&gt;"",INDEX(#REF!,A458)=0),$B$155,""),"")</f>
        <v/>
      </c>
      <c r="G458" s="195" t="str">
        <f>IFERROR(IF(12*INDEX(#REF!,A458)/INDEX(#REF!,A458)&gt;pers_other_nrhours_year,checks!$A$156,""),"")</f>
        <v/>
      </c>
      <c r="H458" t="e">
        <f>IF(AND(organisation_type="yes",INDEX(#REF!,A354,1)&lt;&gt;"",ISBLANK(INDEX(#REF!,A354,1))),$B$146,"")</f>
        <v>#REF!</v>
      </c>
      <c r="I458" t="e">
        <f>IF(AND(organisation_name="yes",INDEX(#REF!,A458,1)&lt;&gt;"",ISBLANK(INDEX(#REF!,A458,1))),$B$147,"")</f>
        <v>#REF!</v>
      </c>
    </row>
    <row r="459" spans="1:9" hidden="1" outlineLevel="1" x14ac:dyDescent="0.35">
      <c r="A459" s="195">
        <v>44</v>
      </c>
      <c r="B459" s="195" t="str">
        <f t="array" ref="B459">IFERROR(INDEX(personnel_other_inst_21[[#This Row],[Empty lines]:[Name organisation]],1,MATCH(TRUE,LEN(personnel_other_inst_21[[#This Row],[Empty lines]:[Name organisation]])&gt;0,0)),"")</f>
        <v/>
      </c>
      <c r="C459" s="195" t="str">
        <f>IFERROR(IF(AND(LEN(INDEX(#REF!,A459))+LEN(INDEX(#REF!,A459))+LEN(INDEX(#REF!,A459))+LEN(INDEX(#REF!,A459))+LEN(INDEX(#REF!,A459))&gt;0,LEN(INDEX(#REF!,A459-1))++LEN(INDEX(#REF!,A459-1))+LEN(INDEX(#REF!,A459-1))+LEN(INDEX(#REF!,A459-1))+LEN(INDEX(#REF!,A459-1))=0),$B$127,""),"")</f>
        <v/>
      </c>
      <c r="D459" s="195" t="str">
        <f>IFERROR(IF(AND(INDEX(#REF!,A459)="",OR(INDEX(#REF!,A459)&gt;0,INDEX(#REF!,A459)&gt;0,INDEX(#REF!,A459)&gt;0)),$B$154,""),"")</f>
        <v/>
      </c>
      <c r="E459" s="195" t="e">
        <f>SUBSTITUTE(IF(INDEX(#REF!,A459)&gt;IFERROR(INDEX(salaries_other_inst[Max hourly rate],MATCH(INDEX(#REF!,A459),salaries_other_inst[category],0),1),""),$B$153,""),"&lt;&lt;max_hourly_rate&gt;&gt;",TEXT(IFERROR(INDEX(salaries_other_inst[Max hourly rate],MATCH(INDEX(#REF!,A459),salaries_other_inst[category],0),1),""),"€ #"))</f>
        <v>#REF!</v>
      </c>
      <c r="F459" s="195" t="str">
        <f>IFERROR(IF(AND(INDEX(#REF!,A459)&lt;&gt;"",INDEX(#REF!,A459)=0),$B$155,""),"")</f>
        <v/>
      </c>
      <c r="G459" s="195" t="str">
        <f>IFERROR(IF(12*INDEX(#REF!,A459)/INDEX(#REF!,A459)&gt;pers_other_nrhours_year,checks!$A$156,""),"")</f>
        <v/>
      </c>
      <c r="H459" t="e">
        <f>IF(AND(organisation_type="yes",INDEX(#REF!,A355,1)&lt;&gt;"",ISBLANK(INDEX(#REF!,A355,1))),$B$146,"")</f>
        <v>#REF!</v>
      </c>
      <c r="I459" t="e">
        <f>IF(AND(organisation_name="yes",INDEX(#REF!,A459,1)&lt;&gt;"",ISBLANK(INDEX(#REF!,A459,1))),$B$147,"")</f>
        <v>#REF!</v>
      </c>
    </row>
    <row r="460" spans="1:9" hidden="1" outlineLevel="1" x14ac:dyDescent="0.35">
      <c r="A460" s="195">
        <v>45</v>
      </c>
      <c r="B460" s="195" t="str">
        <f t="array" ref="B460">IFERROR(INDEX(personnel_other_inst_21[[#This Row],[Empty lines]:[Name organisation]],1,MATCH(TRUE,LEN(personnel_other_inst_21[[#This Row],[Empty lines]:[Name organisation]])&gt;0,0)),"")</f>
        <v/>
      </c>
      <c r="C460" s="195" t="str">
        <f>IFERROR(IF(AND(LEN(INDEX(#REF!,A460))+LEN(INDEX(#REF!,A460))+LEN(INDEX(#REF!,A460))+LEN(INDEX(#REF!,A460))+LEN(INDEX(#REF!,A460))&gt;0,LEN(INDEX(#REF!,A460-1))++LEN(INDEX(#REF!,A460-1))+LEN(INDEX(#REF!,A460-1))+LEN(INDEX(#REF!,A460-1))+LEN(INDEX(#REF!,A460-1))=0),$B$127,""),"")</f>
        <v/>
      </c>
      <c r="D460" s="195" t="str">
        <f>IFERROR(IF(AND(INDEX(#REF!,A460)="",OR(INDEX(#REF!,A460)&gt;0,INDEX(#REF!,A460)&gt;0,INDEX(#REF!,A460)&gt;0)),$B$154,""),"")</f>
        <v/>
      </c>
      <c r="E460" s="195" t="e">
        <f>SUBSTITUTE(IF(INDEX(#REF!,A460)&gt;IFERROR(INDEX(salaries_other_inst[Max hourly rate],MATCH(INDEX(#REF!,A460),salaries_other_inst[category],0),1),""),$B$153,""),"&lt;&lt;max_hourly_rate&gt;&gt;",TEXT(IFERROR(INDEX(salaries_other_inst[Max hourly rate],MATCH(INDEX(#REF!,A460),salaries_other_inst[category],0),1),""),"€ #"))</f>
        <v>#REF!</v>
      </c>
      <c r="F460" s="195" t="str">
        <f>IFERROR(IF(AND(INDEX(#REF!,A460)&lt;&gt;"",INDEX(#REF!,A460)=0),$B$155,""),"")</f>
        <v/>
      </c>
      <c r="G460" s="195" t="str">
        <f>IFERROR(IF(12*INDEX(#REF!,A460)/INDEX(#REF!,A460)&gt;pers_other_nrhours_year,checks!$A$156,""),"")</f>
        <v/>
      </c>
      <c r="H460" t="e">
        <f>IF(AND(organisation_type="yes",INDEX(#REF!,A356,1)&lt;&gt;"",ISBLANK(INDEX(#REF!,A356,1))),$B$146,"")</f>
        <v>#REF!</v>
      </c>
      <c r="I460" t="e">
        <f>IF(AND(organisation_name="yes",INDEX(#REF!,A460,1)&lt;&gt;"",ISBLANK(INDEX(#REF!,A460,1))),$B$147,"")</f>
        <v>#REF!</v>
      </c>
    </row>
    <row r="461" spans="1:9" hidden="1" outlineLevel="1" x14ac:dyDescent="0.35">
      <c r="A461" s="195">
        <v>46</v>
      </c>
      <c r="B461" s="195" t="str">
        <f t="array" ref="B461">IFERROR(INDEX(personnel_other_inst_21[[#This Row],[Empty lines]:[Name organisation]],1,MATCH(TRUE,LEN(personnel_other_inst_21[[#This Row],[Empty lines]:[Name organisation]])&gt;0,0)),"")</f>
        <v/>
      </c>
      <c r="C461" s="195" t="str">
        <f>IFERROR(IF(AND(LEN(INDEX(#REF!,A461))+LEN(INDEX(#REF!,A461))+LEN(INDEX(#REF!,A461))+LEN(INDEX(#REF!,A461))+LEN(INDEX(#REF!,A461))&gt;0,LEN(INDEX(#REF!,A461-1))++LEN(INDEX(#REF!,A461-1))+LEN(INDEX(#REF!,A461-1))+LEN(INDEX(#REF!,A461-1))+LEN(INDEX(#REF!,A461-1))=0),$B$127,""),"")</f>
        <v/>
      </c>
      <c r="D461" s="195" t="str">
        <f>IFERROR(IF(AND(INDEX(#REF!,A461)="",OR(INDEX(#REF!,A461)&gt;0,INDEX(#REF!,A461)&gt;0,INDEX(#REF!,A461)&gt;0)),$B$154,""),"")</f>
        <v/>
      </c>
      <c r="E461" s="195" t="e">
        <f>SUBSTITUTE(IF(INDEX(#REF!,A461)&gt;IFERROR(INDEX(salaries_other_inst[Max hourly rate],MATCH(INDEX(#REF!,A461),salaries_other_inst[category],0),1),""),$B$153,""),"&lt;&lt;max_hourly_rate&gt;&gt;",TEXT(IFERROR(INDEX(salaries_other_inst[Max hourly rate],MATCH(INDEX(#REF!,A461),salaries_other_inst[category],0),1),""),"€ #"))</f>
        <v>#REF!</v>
      </c>
      <c r="F461" s="195" t="str">
        <f>IFERROR(IF(AND(INDEX(#REF!,A461)&lt;&gt;"",INDEX(#REF!,A461)=0),$B$155,""),"")</f>
        <v/>
      </c>
      <c r="G461" s="195" t="str">
        <f>IFERROR(IF(12*INDEX(#REF!,A461)/INDEX(#REF!,A461)&gt;pers_other_nrhours_year,checks!$A$156,""),"")</f>
        <v/>
      </c>
      <c r="H461" t="e">
        <f>IF(AND(organisation_type="yes",INDEX(#REF!,A357,1)&lt;&gt;"",ISBLANK(INDEX(#REF!,A357,1))),$B$146,"")</f>
        <v>#REF!</v>
      </c>
      <c r="I461" t="e">
        <f>IF(AND(organisation_name="yes",INDEX(#REF!,A461,1)&lt;&gt;"",ISBLANK(INDEX(#REF!,A461,1))),$B$147,"")</f>
        <v>#REF!</v>
      </c>
    </row>
    <row r="462" spans="1:9" hidden="1" outlineLevel="1" x14ac:dyDescent="0.35">
      <c r="A462" s="195">
        <v>47</v>
      </c>
      <c r="B462" s="195" t="str">
        <f t="array" ref="B462">IFERROR(INDEX(personnel_other_inst_21[[#This Row],[Empty lines]:[Name organisation]],1,MATCH(TRUE,LEN(personnel_other_inst_21[[#This Row],[Empty lines]:[Name organisation]])&gt;0,0)),"")</f>
        <v/>
      </c>
      <c r="C462" s="195" t="str">
        <f>IFERROR(IF(AND(LEN(INDEX(#REF!,A462))+LEN(INDEX(#REF!,A462))+LEN(INDEX(#REF!,A462))+LEN(INDEX(#REF!,A462))+LEN(INDEX(#REF!,A462))&gt;0,LEN(INDEX(#REF!,A462-1))++LEN(INDEX(#REF!,A462-1))+LEN(INDEX(#REF!,A462-1))+LEN(INDEX(#REF!,A462-1))+LEN(INDEX(#REF!,A462-1))=0),$B$127,""),"")</f>
        <v/>
      </c>
      <c r="D462" s="195" t="str">
        <f>IFERROR(IF(AND(INDEX(#REF!,A462)="",OR(INDEX(#REF!,A462)&gt;0,INDEX(#REF!,A462)&gt;0,INDEX(#REF!,A462)&gt;0)),$B$154,""),"")</f>
        <v/>
      </c>
      <c r="E462" s="195" t="e">
        <f>SUBSTITUTE(IF(INDEX(#REF!,A462)&gt;IFERROR(INDEX(salaries_other_inst[Max hourly rate],MATCH(INDEX(#REF!,A462),salaries_other_inst[category],0),1),""),$B$153,""),"&lt;&lt;max_hourly_rate&gt;&gt;",TEXT(IFERROR(INDEX(salaries_other_inst[Max hourly rate],MATCH(INDEX(#REF!,A462),salaries_other_inst[category],0),1),""),"€ #"))</f>
        <v>#REF!</v>
      </c>
      <c r="F462" s="195" t="str">
        <f>IFERROR(IF(AND(INDEX(#REF!,A462)&lt;&gt;"",INDEX(#REF!,A462)=0),$B$155,""),"")</f>
        <v/>
      </c>
      <c r="G462" s="195" t="str">
        <f>IFERROR(IF(12*INDEX(#REF!,A462)/INDEX(#REF!,A462)&gt;pers_other_nrhours_year,checks!$A$156,""),"")</f>
        <v/>
      </c>
      <c r="H462" t="e">
        <f>IF(AND(organisation_type="yes",INDEX(#REF!,A358,1)&lt;&gt;"",ISBLANK(INDEX(#REF!,A358,1))),$B$146,"")</f>
        <v>#REF!</v>
      </c>
      <c r="I462" t="e">
        <f>IF(AND(organisation_name="yes",INDEX(#REF!,A462,1)&lt;&gt;"",ISBLANK(INDEX(#REF!,A462,1))),$B$147,"")</f>
        <v>#REF!</v>
      </c>
    </row>
    <row r="463" spans="1:9" hidden="1" outlineLevel="1" x14ac:dyDescent="0.35">
      <c r="A463" s="195">
        <v>48</v>
      </c>
      <c r="B463" s="195" t="str">
        <f t="array" ref="B463">IFERROR(INDEX(personnel_other_inst_21[[#This Row],[Empty lines]:[Name organisation]],1,MATCH(TRUE,LEN(personnel_other_inst_21[[#This Row],[Empty lines]:[Name organisation]])&gt;0,0)),"")</f>
        <v/>
      </c>
      <c r="C463" s="195" t="str">
        <f>IFERROR(IF(AND(LEN(INDEX(#REF!,A463))+LEN(INDEX(#REF!,A463))+LEN(INDEX(#REF!,A463))+LEN(INDEX(#REF!,A463))+LEN(INDEX(#REF!,A463))&gt;0,LEN(INDEX(#REF!,A463-1))++LEN(INDEX(#REF!,A463-1))+LEN(INDEX(#REF!,A463-1))+LEN(INDEX(#REF!,A463-1))+LEN(INDEX(#REF!,A463-1))=0),$B$127,""),"")</f>
        <v/>
      </c>
      <c r="D463" s="195" t="str">
        <f>IFERROR(IF(AND(INDEX(#REF!,A463)="",OR(INDEX(#REF!,A463)&gt;0,INDEX(#REF!,A463)&gt;0,INDEX(#REF!,A463)&gt;0)),$B$154,""),"")</f>
        <v/>
      </c>
      <c r="E463" s="195" t="e">
        <f>SUBSTITUTE(IF(INDEX(#REF!,A463)&gt;IFERROR(INDEX(salaries_other_inst[Max hourly rate],MATCH(INDEX(#REF!,A463),salaries_other_inst[category],0),1),""),$B$153,""),"&lt;&lt;max_hourly_rate&gt;&gt;",TEXT(IFERROR(INDEX(salaries_other_inst[Max hourly rate],MATCH(INDEX(#REF!,A463),salaries_other_inst[category],0),1),""),"€ #"))</f>
        <v>#REF!</v>
      </c>
      <c r="F463" s="195" t="str">
        <f>IFERROR(IF(AND(INDEX(#REF!,A463)&lt;&gt;"",INDEX(#REF!,A463)=0),$B$155,""),"")</f>
        <v/>
      </c>
      <c r="G463" s="195" t="str">
        <f>IFERROR(IF(12*INDEX(#REF!,A463)/INDEX(#REF!,A463)&gt;pers_other_nrhours_year,checks!$A$156,""),"")</f>
        <v/>
      </c>
      <c r="H463" t="e">
        <f>IF(AND(organisation_type="yes",INDEX(#REF!,A359,1)&lt;&gt;"",ISBLANK(INDEX(#REF!,A359,1))),$B$146,"")</f>
        <v>#REF!</v>
      </c>
      <c r="I463" t="e">
        <f>IF(AND(organisation_name="yes",INDEX(#REF!,A463,1)&lt;&gt;"",ISBLANK(INDEX(#REF!,A463,1))),$B$147,"")</f>
        <v>#REF!</v>
      </c>
    </row>
    <row r="464" spans="1:9" hidden="1" outlineLevel="1" x14ac:dyDescent="0.35">
      <c r="A464" s="195">
        <v>49</v>
      </c>
      <c r="B464" s="195" t="str">
        <f t="array" ref="B464">IFERROR(INDEX(personnel_other_inst_21[[#This Row],[Empty lines]:[Name organisation]],1,MATCH(TRUE,LEN(personnel_other_inst_21[[#This Row],[Empty lines]:[Name organisation]])&gt;0,0)),"")</f>
        <v/>
      </c>
      <c r="C464" s="195" t="str">
        <f>IFERROR(IF(AND(LEN(INDEX(#REF!,A464))+LEN(INDEX(#REF!,A464))+LEN(INDEX(#REF!,A464))+LEN(INDEX(#REF!,A464))+LEN(INDEX(#REF!,A464))&gt;0,LEN(INDEX(#REF!,A464-1))++LEN(INDEX(#REF!,A464-1))+LEN(INDEX(#REF!,A464-1))+LEN(INDEX(#REF!,A464-1))+LEN(INDEX(#REF!,A464-1))=0),$B$127,""),"")</f>
        <v/>
      </c>
      <c r="D464" s="195" t="str">
        <f>IFERROR(IF(AND(INDEX(#REF!,A464)="",OR(INDEX(#REF!,A464)&gt;0,INDEX(#REF!,A464)&gt;0,INDEX(#REF!,A464)&gt;0)),$B$154,""),"")</f>
        <v/>
      </c>
      <c r="E464" s="195" t="e">
        <f>SUBSTITUTE(IF(INDEX(#REF!,A464)&gt;IFERROR(INDEX(salaries_other_inst[Max hourly rate],MATCH(INDEX(#REF!,A464),salaries_other_inst[category],0),1),""),$B$153,""),"&lt;&lt;max_hourly_rate&gt;&gt;",TEXT(IFERROR(INDEX(salaries_other_inst[Max hourly rate],MATCH(INDEX(#REF!,A464),salaries_other_inst[category],0),1),""),"€ #"))</f>
        <v>#REF!</v>
      </c>
      <c r="F464" s="195" t="str">
        <f>IFERROR(IF(AND(INDEX(#REF!,A464)&lt;&gt;"",INDEX(#REF!,A464)=0),$B$155,""),"")</f>
        <v/>
      </c>
      <c r="G464" s="195" t="str">
        <f>IFERROR(IF(12*INDEX(#REF!,A464)/INDEX(#REF!,A464)&gt;pers_other_nrhours_year,checks!$A$156,""),"")</f>
        <v/>
      </c>
      <c r="H464" t="e">
        <f>IF(AND(organisation_type="yes",INDEX(#REF!,A360,1)&lt;&gt;"",ISBLANK(INDEX(#REF!,A360,1))),$B$146,"")</f>
        <v>#REF!</v>
      </c>
      <c r="I464" t="e">
        <f>IF(AND(organisation_name="yes",INDEX(#REF!,A464,1)&lt;&gt;"",ISBLANK(INDEX(#REF!,A464,1))),$B$147,"")</f>
        <v>#REF!</v>
      </c>
    </row>
    <row r="465" spans="1:9" hidden="1" outlineLevel="1" x14ac:dyDescent="0.35">
      <c r="A465" s="195">
        <v>50</v>
      </c>
      <c r="B465" s="195" t="str">
        <f t="array" ref="B465">IFERROR(INDEX(personnel_other_inst_21[[#This Row],[Empty lines]:[Name organisation]],1,MATCH(TRUE,LEN(personnel_other_inst_21[[#This Row],[Empty lines]:[Name organisation]])&gt;0,0)),"")</f>
        <v/>
      </c>
      <c r="C465" s="195" t="str">
        <f>IFERROR(IF(AND(LEN(INDEX(#REF!,A465))+LEN(INDEX(#REF!,A465))+LEN(INDEX(#REF!,A465))+LEN(INDEX(#REF!,A465))+LEN(INDEX(#REF!,A465))&gt;0,LEN(INDEX(#REF!,A465-1))++LEN(INDEX(#REF!,A465-1))+LEN(INDEX(#REF!,A465-1))+LEN(INDEX(#REF!,A465-1))+LEN(INDEX(#REF!,A465-1))=0),$B$127,""),"")</f>
        <v/>
      </c>
      <c r="D465" s="195" t="str">
        <f>IFERROR(IF(AND(INDEX(#REF!,A465)="",OR(INDEX(#REF!,A465)&gt;0,INDEX(#REF!,A465)&gt;0,INDEX(#REF!,A465)&gt;0)),$B$154,""),"")</f>
        <v/>
      </c>
      <c r="E465" s="195" t="e">
        <f>SUBSTITUTE(IF(INDEX(#REF!,A465)&gt;IFERROR(INDEX(salaries_other_inst[Max hourly rate],MATCH(INDEX(#REF!,A465),salaries_other_inst[category],0),1),""),$B$153,""),"&lt;&lt;max_hourly_rate&gt;&gt;",TEXT(IFERROR(INDEX(salaries_other_inst[Max hourly rate],MATCH(INDEX(#REF!,A465),salaries_other_inst[category],0),1),""),"€ #"))</f>
        <v>#REF!</v>
      </c>
      <c r="F465" s="195" t="str">
        <f>IFERROR(IF(AND(INDEX(#REF!,A465)&lt;&gt;"",INDEX(#REF!,A465)=0),$B$155,""),"")</f>
        <v/>
      </c>
      <c r="G465" s="195" t="str">
        <f>IFERROR(IF(12*INDEX(#REF!,A465)/INDEX(#REF!,A465)&gt;pers_other_nrhours_year,checks!$A$156,""),"")</f>
        <v/>
      </c>
      <c r="H465" t="e">
        <f>IF(AND(organisation_type="yes",INDEX(#REF!,A361,1)&lt;&gt;"",ISBLANK(INDEX(#REF!,A361,1))),$B$146,"")</f>
        <v>#REF!</v>
      </c>
      <c r="I465" t="e">
        <f>IF(AND(organisation_name="yes",INDEX(#REF!,A465,1)&lt;&gt;"",ISBLANK(INDEX(#REF!,A465,1))),$B$147,"")</f>
        <v>#REF!</v>
      </c>
    </row>
    <row r="466" spans="1:9" hidden="1" outlineLevel="1" x14ac:dyDescent="0.35">
      <c r="A466" s="195">
        <v>51</v>
      </c>
      <c r="B466" s="195" t="str">
        <f t="array" ref="B466">IFERROR(INDEX(personnel_other_inst_21[[#This Row],[Empty lines]:[Name organisation]],1,MATCH(TRUE,LEN(personnel_other_inst_21[[#This Row],[Empty lines]:[Name organisation]])&gt;0,0)),"")</f>
        <v/>
      </c>
      <c r="C466" s="195" t="str">
        <f>IFERROR(IF(AND(LEN(INDEX(#REF!,A466))+LEN(INDEX(#REF!,A466))+LEN(INDEX(#REF!,A466))+LEN(INDEX(#REF!,A466))+LEN(INDEX(#REF!,A466))&gt;0,LEN(INDEX(#REF!,A466-1))++LEN(INDEX(#REF!,A466-1))+LEN(INDEX(#REF!,A466-1))+LEN(INDEX(#REF!,A466-1))+LEN(INDEX(#REF!,A466-1))=0),$B$127,""),"")</f>
        <v/>
      </c>
      <c r="D466" s="195" t="str">
        <f>IFERROR(IF(AND(INDEX(#REF!,A466)="",OR(INDEX(#REF!,A466)&gt;0,INDEX(#REF!,A466)&gt;0,INDEX(#REF!,A466)&gt;0)),$B$154,""),"")</f>
        <v/>
      </c>
      <c r="E466" s="195" t="e">
        <f>SUBSTITUTE(IF(INDEX(#REF!,A466)&gt;IFERROR(INDEX(salaries_other_inst[Max hourly rate],MATCH(INDEX(#REF!,A466),salaries_other_inst[category],0),1),""),$B$153,""),"&lt;&lt;max_hourly_rate&gt;&gt;",TEXT(IFERROR(INDEX(salaries_other_inst[Max hourly rate],MATCH(INDEX(#REF!,A466),salaries_other_inst[category],0),1),""),"€ #"))</f>
        <v>#REF!</v>
      </c>
      <c r="F466" s="195" t="str">
        <f>IFERROR(IF(AND(INDEX(#REF!,A466)&lt;&gt;"",INDEX(#REF!,A466)=0),$B$155,""),"")</f>
        <v/>
      </c>
      <c r="G466" s="195" t="str">
        <f>IFERROR(IF(12*INDEX(#REF!,A466)/INDEX(#REF!,A466)&gt;pers_other_nrhours_year,checks!$A$156,""),"")</f>
        <v/>
      </c>
      <c r="H466" t="e">
        <f>IF(AND(organisation_type="yes",INDEX(#REF!,A362,1)&lt;&gt;"",ISBLANK(INDEX(#REF!,A362,1))),$B$146,"")</f>
        <v>#REF!</v>
      </c>
      <c r="I466" t="e">
        <f>IF(AND(organisation_name="yes",INDEX(#REF!,A466,1)&lt;&gt;"",ISBLANK(INDEX(#REF!,A466,1))),$B$147,"")</f>
        <v>#REF!</v>
      </c>
    </row>
    <row r="467" spans="1:9" hidden="1" outlineLevel="1" x14ac:dyDescent="0.35">
      <c r="A467" s="195">
        <v>52</v>
      </c>
      <c r="B467" s="195" t="str">
        <f t="array" ref="B467">IFERROR(INDEX(personnel_other_inst_21[[#This Row],[Empty lines]:[Name organisation]],1,MATCH(TRUE,LEN(personnel_other_inst_21[[#This Row],[Empty lines]:[Name organisation]])&gt;0,0)),"")</f>
        <v/>
      </c>
      <c r="C467" s="195" t="str">
        <f>IFERROR(IF(AND(LEN(INDEX(#REF!,A467))+LEN(INDEX(#REF!,A467))+LEN(INDEX(#REF!,A467))+LEN(INDEX(#REF!,A467))+LEN(INDEX(#REF!,A467))&gt;0,LEN(INDEX(#REF!,A467-1))++LEN(INDEX(#REF!,A467-1))+LEN(INDEX(#REF!,A467-1))+LEN(INDEX(#REF!,A467-1))+LEN(INDEX(#REF!,A467-1))=0),$B$127,""),"")</f>
        <v/>
      </c>
      <c r="D467" s="195" t="str">
        <f>IFERROR(IF(AND(INDEX(#REF!,A467)="",OR(INDEX(#REF!,A467)&gt;0,INDEX(#REF!,A467)&gt;0,INDEX(#REF!,A467)&gt;0)),$B$154,""),"")</f>
        <v/>
      </c>
      <c r="E467" s="195" t="e">
        <f>SUBSTITUTE(IF(INDEX(#REF!,A467)&gt;IFERROR(INDEX(salaries_other_inst[Max hourly rate],MATCH(INDEX(#REF!,A467),salaries_other_inst[category],0),1),""),$B$153,""),"&lt;&lt;max_hourly_rate&gt;&gt;",TEXT(IFERROR(INDEX(salaries_other_inst[Max hourly rate],MATCH(INDEX(#REF!,A467),salaries_other_inst[category],0),1),""),"€ #"))</f>
        <v>#REF!</v>
      </c>
      <c r="F467" s="195" t="str">
        <f>IFERROR(IF(AND(INDEX(#REF!,A467)&lt;&gt;"",INDEX(#REF!,A467)=0),$B$155,""),"")</f>
        <v/>
      </c>
      <c r="G467" s="195" t="str">
        <f>IFERROR(IF(12*INDEX(#REF!,A467)/INDEX(#REF!,A467)&gt;pers_other_nrhours_year,checks!$A$156,""),"")</f>
        <v/>
      </c>
      <c r="H467" t="e">
        <f>IF(AND(organisation_type="yes",INDEX(#REF!,A363,1)&lt;&gt;"",ISBLANK(INDEX(#REF!,A363,1))),$B$146,"")</f>
        <v>#REF!</v>
      </c>
      <c r="I467" t="e">
        <f>IF(AND(organisation_name="yes",INDEX(#REF!,A467,1)&lt;&gt;"",ISBLANK(INDEX(#REF!,A467,1))),$B$147,"")</f>
        <v>#REF!</v>
      </c>
    </row>
    <row r="468" spans="1:9" hidden="1" outlineLevel="1" x14ac:dyDescent="0.35">
      <c r="A468" s="195">
        <v>53</v>
      </c>
      <c r="B468" s="195" t="str">
        <f t="array" ref="B468">IFERROR(INDEX(personnel_other_inst_21[[#This Row],[Empty lines]:[Name organisation]],1,MATCH(TRUE,LEN(personnel_other_inst_21[[#This Row],[Empty lines]:[Name organisation]])&gt;0,0)),"")</f>
        <v/>
      </c>
      <c r="C468" s="195" t="str">
        <f>IFERROR(IF(AND(LEN(INDEX(#REF!,A468))+LEN(INDEX(#REF!,A468))+LEN(INDEX(#REF!,A468))+LEN(INDEX(#REF!,A468))+LEN(INDEX(#REF!,A468))&gt;0,LEN(INDEX(#REF!,A468-1))++LEN(INDEX(#REF!,A468-1))+LEN(INDEX(#REF!,A468-1))+LEN(INDEX(#REF!,A468-1))+LEN(INDEX(#REF!,A468-1))=0),$B$127,""),"")</f>
        <v/>
      </c>
      <c r="D468" s="195" t="str">
        <f>IFERROR(IF(AND(INDEX(#REF!,A468)="",OR(INDEX(#REF!,A468)&gt;0,INDEX(#REF!,A468)&gt;0,INDEX(#REF!,A468)&gt;0)),$B$154,""),"")</f>
        <v/>
      </c>
      <c r="E468" s="195" t="e">
        <f>SUBSTITUTE(IF(INDEX(#REF!,A468)&gt;IFERROR(INDEX(salaries_other_inst[Max hourly rate],MATCH(INDEX(#REF!,A468),salaries_other_inst[category],0),1),""),$B$153,""),"&lt;&lt;max_hourly_rate&gt;&gt;",TEXT(IFERROR(INDEX(salaries_other_inst[Max hourly rate],MATCH(INDEX(#REF!,A468),salaries_other_inst[category],0),1),""),"€ #"))</f>
        <v>#REF!</v>
      </c>
      <c r="F468" s="195" t="str">
        <f>IFERROR(IF(AND(INDEX(#REF!,A468)&lt;&gt;"",INDEX(#REF!,A468)=0),$B$155,""),"")</f>
        <v/>
      </c>
      <c r="G468" s="195" t="str">
        <f>IFERROR(IF(12*INDEX(#REF!,A468)/INDEX(#REF!,A468)&gt;pers_other_nrhours_year,checks!$A$156,""),"")</f>
        <v/>
      </c>
      <c r="H468" t="e">
        <f>IF(AND(organisation_type="yes",INDEX(#REF!,A364,1)&lt;&gt;"",ISBLANK(INDEX(#REF!,A364,1))),$B$146,"")</f>
        <v>#REF!</v>
      </c>
      <c r="I468" t="e">
        <f>IF(AND(organisation_name="yes",INDEX(#REF!,A468,1)&lt;&gt;"",ISBLANK(INDEX(#REF!,A468,1))),$B$147,"")</f>
        <v>#REF!</v>
      </c>
    </row>
    <row r="469" spans="1:9" hidden="1" outlineLevel="1" x14ac:dyDescent="0.35">
      <c r="A469" s="195">
        <v>54</v>
      </c>
      <c r="B469" s="195" t="str">
        <f t="array" ref="B469">IFERROR(INDEX(personnel_other_inst_21[[#This Row],[Empty lines]:[Name organisation]],1,MATCH(TRUE,LEN(personnel_other_inst_21[[#This Row],[Empty lines]:[Name organisation]])&gt;0,0)),"")</f>
        <v/>
      </c>
      <c r="C469" s="195" t="str">
        <f>IFERROR(IF(AND(LEN(INDEX(#REF!,A469))+LEN(INDEX(#REF!,A469))+LEN(INDEX(#REF!,A469))+LEN(INDEX(#REF!,A469))+LEN(INDEX(#REF!,A469))&gt;0,LEN(INDEX(#REF!,A469-1))++LEN(INDEX(#REF!,A469-1))+LEN(INDEX(#REF!,A469-1))+LEN(INDEX(#REF!,A469-1))+LEN(INDEX(#REF!,A469-1))=0),$B$127,""),"")</f>
        <v/>
      </c>
      <c r="D469" s="195" t="str">
        <f>IFERROR(IF(AND(INDEX(#REF!,A469)="",OR(INDEX(#REF!,A469)&gt;0,INDEX(#REF!,A469)&gt;0,INDEX(#REF!,A469)&gt;0)),$B$154,""),"")</f>
        <v/>
      </c>
      <c r="E469" s="195" t="e">
        <f>SUBSTITUTE(IF(INDEX(#REF!,A469)&gt;IFERROR(INDEX(salaries_other_inst[Max hourly rate],MATCH(INDEX(#REF!,A469),salaries_other_inst[category],0),1),""),$B$153,""),"&lt;&lt;max_hourly_rate&gt;&gt;",TEXT(IFERROR(INDEX(salaries_other_inst[Max hourly rate],MATCH(INDEX(#REF!,A469),salaries_other_inst[category],0),1),""),"€ #"))</f>
        <v>#REF!</v>
      </c>
      <c r="F469" s="195" t="str">
        <f>IFERROR(IF(AND(INDEX(#REF!,A469)&lt;&gt;"",INDEX(#REF!,A469)=0),$B$155,""),"")</f>
        <v/>
      </c>
      <c r="G469" s="195" t="str">
        <f>IFERROR(IF(12*INDEX(#REF!,A469)/INDEX(#REF!,A469)&gt;pers_other_nrhours_year,checks!$A$156,""),"")</f>
        <v/>
      </c>
      <c r="H469" t="e">
        <f>IF(AND(organisation_type="yes",INDEX(#REF!,A365,1)&lt;&gt;"",ISBLANK(INDEX(#REF!,A365,1))),$B$146,"")</f>
        <v>#REF!</v>
      </c>
      <c r="I469" t="e">
        <f>IF(AND(organisation_name="yes",INDEX(#REF!,A469,1)&lt;&gt;"",ISBLANK(INDEX(#REF!,A469,1))),$B$147,"")</f>
        <v>#REF!</v>
      </c>
    </row>
    <row r="470" spans="1:9" hidden="1" outlineLevel="1" x14ac:dyDescent="0.35">
      <c r="A470" s="195">
        <v>55</v>
      </c>
      <c r="B470" s="195" t="str">
        <f t="array" ref="B470">IFERROR(INDEX(personnel_other_inst_21[[#This Row],[Empty lines]:[Name organisation]],1,MATCH(TRUE,LEN(personnel_other_inst_21[[#This Row],[Empty lines]:[Name organisation]])&gt;0,0)),"")</f>
        <v/>
      </c>
      <c r="C470" s="195" t="str">
        <f>IFERROR(IF(AND(LEN(INDEX(#REF!,A470))+LEN(INDEX(#REF!,A470))+LEN(INDEX(#REF!,A470))+LEN(INDEX(#REF!,A470))+LEN(INDEX(#REF!,A470))&gt;0,LEN(INDEX(#REF!,A470-1))++LEN(INDEX(#REF!,A470-1))+LEN(INDEX(#REF!,A470-1))+LEN(INDEX(#REF!,A470-1))+LEN(INDEX(#REF!,A470-1))=0),$B$127,""),"")</f>
        <v/>
      </c>
      <c r="D470" s="195" t="str">
        <f>IFERROR(IF(AND(INDEX(#REF!,A470)="",OR(INDEX(#REF!,A470)&gt;0,INDEX(#REF!,A470)&gt;0,INDEX(#REF!,A470)&gt;0)),$B$154,""),"")</f>
        <v/>
      </c>
      <c r="E470" s="195" t="e">
        <f>SUBSTITUTE(IF(INDEX(#REF!,A470)&gt;IFERROR(INDEX(salaries_other_inst[Max hourly rate],MATCH(INDEX(#REF!,A470),salaries_other_inst[category],0),1),""),$B$153,""),"&lt;&lt;max_hourly_rate&gt;&gt;",TEXT(IFERROR(INDEX(salaries_other_inst[Max hourly rate],MATCH(INDEX(#REF!,A470),salaries_other_inst[category],0),1),""),"€ #"))</f>
        <v>#REF!</v>
      </c>
      <c r="F470" s="195" t="str">
        <f>IFERROR(IF(AND(INDEX(#REF!,A470)&lt;&gt;"",INDEX(#REF!,A470)=0),$B$155,""),"")</f>
        <v/>
      </c>
      <c r="G470" s="195" t="str">
        <f>IFERROR(IF(12*INDEX(#REF!,A470)/INDEX(#REF!,A470)&gt;pers_other_nrhours_year,checks!$A$156,""),"")</f>
        <v/>
      </c>
      <c r="H470" t="e">
        <f>IF(AND(organisation_type="yes",INDEX(#REF!,A366,1)&lt;&gt;"",ISBLANK(INDEX(#REF!,A366,1))),$B$146,"")</f>
        <v>#REF!</v>
      </c>
      <c r="I470" t="e">
        <f>IF(AND(organisation_name="yes",INDEX(#REF!,A470,1)&lt;&gt;"",ISBLANK(INDEX(#REF!,A470,1))),$B$147,"")</f>
        <v>#REF!</v>
      </c>
    </row>
    <row r="471" spans="1:9" hidden="1" outlineLevel="1" x14ac:dyDescent="0.35">
      <c r="A471" s="195">
        <v>56</v>
      </c>
      <c r="B471" s="195" t="str">
        <f t="array" ref="B471">IFERROR(INDEX(personnel_other_inst_21[[#This Row],[Empty lines]:[Name organisation]],1,MATCH(TRUE,LEN(personnel_other_inst_21[[#This Row],[Empty lines]:[Name organisation]])&gt;0,0)),"")</f>
        <v/>
      </c>
      <c r="C471" s="195" t="str">
        <f>IFERROR(IF(AND(LEN(INDEX(#REF!,A471))+LEN(INDEX(#REF!,A471))+LEN(INDEX(#REF!,A471))+LEN(INDEX(#REF!,A471))+LEN(INDEX(#REF!,A471))&gt;0,LEN(INDEX(#REF!,A471-1))++LEN(INDEX(#REF!,A471-1))+LEN(INDEX(#REF!,A471-1))+LEN(INDEX(#REF!,A471-1))+LEN(INDEX(#REF!,A471-1))=0),$B$127,""),"")</f>
        <v/>
      </c>
      <c r="D471" s="195" t="str">
        <f>IFERROR(IF(AND(INDEX(#REF!,A471)="",OR(INDEX(#REF!,A471)&gt;0,INDEX(#REF!,A471)&gt;0,INDEX(#REF!,A471)&gt;0)),$B$154,""),"")</f>
        <v/>
      </c>
      <c r="E471" s="195" t="e">
        <f>SUBSTITUTE(IF(INDEX(#REF!,A471)&gt;IFERROR(INDEX(salaries_other_inst[Max hourly rate],MATCH(INDEX(#REF!,A471),salaries_other_inst[category],0),1),""),$B$153,""),"&lt;&lt;max_hourly_rate&gt;&gt;",TEXT(IFERROR(INDEX(salaries_other_inst[Max hourly rate],MATCH(INDEX(#REF!,A471),salaries_other_inst[category],0),1),""),"€ #"))</f>
        <v>#REF!</v>
      </c>
      <c r="F471" s="195" t="str">
        <f>IFERROR(IF(AND(INDEX(#REF!,A471)&lt;&gt;"",INDEX(#REF!,A471)=0),$B$155,""),"")</f>
        <v/>
      </c>
      <c r="G471" s="195" t="str">
        <f>IFERROR(IF(12*INDEX(#REF!,A471)/INDEX(#REF!,A471)&gt;pers_other_nrhours_year,checks!$A$156,""),"")</f>
        <v/>
      </c>
      <c r="H471" t="e">
        <f>IF(AND(organisation_type="yes",INDEX(#REF!,A367,1)&lt;&gt;"",ISBLANK(INDEX(#REF!,A367,1))),$B$146,"")</f>
        <v>#REF!</v>
      </c>
      <c r="I471" t="e">
        <f>IF(AND(organisation_name="yes",INDEX(#REF!,A471,1)&lt;&gt;"",ISBLANK(INDEX(#REF!,A471,1))),$B$147,"")</f>
        <v>#REF!</v>
      </c>
    </row>
    <row r="472" spans="1:9" hidden="1" outlineLevel="1" x14ac:dyDescent="0.35">
      <c r="A472" s="195">
        <v>57</v>
      </c>
      <c r="B472" s="195" t="str">
        <f t="array" ref="B472">IFERROR(INDEX(personnel_other_inst_21[[#This Row],[Empty lines]:[Name organisation]],1,MATCH(TRUE,LEN(personnel_other_inst_21[[#This Row],[Empty lines]:[Name organisation]])&gt;0,0)),"")</f>
        <v/>
      </c>
      <c r="C472" s="195" t="str">
        <f>IFERROR(IF(AND(LEN(INDEX(#REF!,A472))+LEN(INDEX(#REF!,A472))+LEN(INDEX(#REF!,A472))+LEN(INDEX(#REF!,A472))+LEN(INDEX(#REF!,A472))&gt;0,LEN(INDEX(#REF!,A472-1))++LEN(INDEX(#REF!,A472-1))+LEN(INDEX(#REF!,A472-1))+LEN(INDEX(#REF!,A472-1))+LEN(INDEX(#REF!,A472-1))=0),$B$127,""),"")</f>
        <v/>
      </c>
      <c r="D472" s="195" t="str">
        <f>IFERROR(IF(AND(INDEX(#REF!,A472)="",OR(INDEX(#REF!,A472)&gt;0,INDEX(#REF!,A472)&gt;0,INDEX(#REF!,A472)&gt;0)),$B$154,""),"")</f>
        <v/>
      </c>
      <c r="E472" s="195" t="e">
        <f>SUBSTITUTE(IF(INDEX(#REF!,A472)&gt;IFERROR(INDEX(salaries_other_inst[Max hourly rate],MATCH(INDEX(#REF!,A472),salaries_other_inst[category],0),1),""),$B$153,""),"&lt;&lt;max_hourly_rate&gt;&gt;",TEXT(IFERROR(INDEX(salaries_other_inst[Max hourly rate],MATCH(INDEX(#REF!,A472),salaries_other_inst[category],0),1),""),"€ #"))</f>
        <v>#REF!</v>
      </c>
      <c r="F472" s="195" t="str">
        <f>IFERROR(IF(AND(INDEX(#REF!,A472)&lt;&gt;"",INDEX(#REF!,A472)=0),$B$155,""),"")</f>
        <v/>
      </c>
      <c r="G472" s="195" t="str">
        <f>IFERROR(IF(12*INDEX(#REF!,A472)/INDEX(#REF!,A472)&gt;pers_other_nrhours_year,checks!$A$156,""),"")</f>
        <v/>
      </c>
      <c r="H472" t="e">
        <f>IF(AND(organisation_type="yes",INDEX(#REF!,A368,1)&lt;&gt;"",ISBLANK(INDEX(#REF!,A368,1))),$B$146,"")</f>
        <v>#REF!</v>
      </c>
      <c r="I472" t="e">
        <f>IF(AND(organisation_name="yes",INDEX(#REF!,A472,1)&lt;&gt;"",ISBLANK(INDEX(#REF!,A472,1))),$B$147,"")</f>
        <v>#REF!</v>
      </c>
    </row>
    <row r="473" spans="1:9" hidden="1" outlineLevel="1" x14ac:dyDescent="0.35">
      <c r="A473" s="195">
        <v>58</v>
      </c>
      <c r="B473" s="195" t="str">
        <f t="array" ref="B473">IFERROR(INDEX(personnel_other_inst_21[[#This Row],[Empty lines]:[Name organisation]],1,MATCH(TRUE,LEN(personnel_other_inst_21[[#This Row],[Empty lines]:[Name organisation]])&gt;0,0)),"")</f>
        <v/>
      </c>
      <c r="C473" s="195" t="str">
        <f>IFERROR(IF(AND(LEN(INDEX(#REF!,A473))+LEN(INDEX(#REF!,A473))+LEN(INDEX(#REF!,A473))+LEN(INDEX(#REF!,A473))+LEN(INDEX(#REF!,A473))&gt;0,LEN(INDEX(#REF!,A473-1))++LEN(INDEX(#REF!,A473-1))+LEN(INDEX(#REF!,A473-1))+LEN(INDEX(#REF!,A473-1))+LEN(INDEX(#REF!,A473-1))=0),$B$127,""),"")</f>
        <v/>
      </c>
      <c r="D473" s="195" t="str">
        <f>IFERROR(IF(AND(INDEX(#REF!,A473)="",OR(INDEX(#REF!,A473)&gt;0,INDEX(#REF!,A473)&gt;0,INDEX(#REF!,A473)&gt;0)),$B$154,""),"")</f>
        <v/>
      </c>
      <c r="E473" s="195" t="e">
        <f>SUBSTITUTE(IF(INDEX(#REF!,A473)&gt;IFERROR(INDEX(salaries_other_inst[Max hourly rate],MATCH(INDEX(#REF!,A473),salaries_other_inst[category],0),1),""),$B$153,""),"&lt;&lt;max_hourly_rate&gt;&gt;",TEXT(IFERROR(INDEX(salaries_other_inst[Max hourly rate],MATCH(INDEX(#REF!,A473),salaries_other_inst[category],0),1),""),"€ #"))</f>
        <v>#REF!</v>
      </c>
      <c r="F473" s="195" t="str">
        <f>IFERROR(IF(AND(INDEX(#REF!,A473)&lt;&gt;"",INDEX(#REF!,A473)=0),$B$155,""),"")</f>
        <v/>
      </c>
      <c r="G473" s="195" t="str">
        <f>IFERROR(IF(12*INDEX(#REF!,A473)/INDEX(#REF!,A473)&gt;pers_other_nrhours_year,checks!$A$156,""),"")</f>
        <v/>
      </c>
      <c r="H473" t="e">
        <f>IF(AND(organisation_type="yes",INDEX(#REF!,A369,1)&lt;&gt;"",ISBLANK(INDEX(#REF!,A369,1))),$B$146,"")</f>
        <v>#REF!</v>
      </c>
      <c r="I473" t="e">
        <f>IF(AND(organisation_name="yes",INDEX(#REF!,A473,1)&lt;&gt;"",ISBLANK(INDEX(#REF!,A473,1))),$B$147,"")</f>
        <v>#REF!</v>
      </c>
    </row>
    <row r="474" spans="1:9" hidden="1" outlineLevel="1" x14ac:dyDescent="0.35">
      <c r="A474" s="195">
        <v>59</v>
      </c>
      <c r="B474" s="195" t="str">
        <f t="array" ref="B474">IFERROR(INDEX(personnel_other_inst_21[[#This Row],[Empty lines]:[Name organisation]],1,MATCH(TRUE,LEN(personnel_other_inst_21[[#This Row],[Empty lines]:[Name organisation]])&gt;0,0)),"")</f>
        <v/>
      </c>
      <c r="C474" s="195" t="str">
        <f>IFERROR(IF(AND(LEN(INDEX(#REF!,A474))+LEN(INDEX(#REF!,A474))+LEN(INDEX(#REF!,A474))+LEN(INDEX(#REF!,A474))+LEN(INDEX(#REF!,A474))&gt;0,LEN(INDEX(#REF!,A474-1))++LEN(INDEX(#REF!,A474-1))+LEN(INDEX(#REF!,A474-1))+LEN(INDEX(#REF!,A474-1))+LEN(INDEX(#REF!,A474-1))=0),$B$127,""),"")</f>
        <v/>
      </c>
      <c r="D474" s="195" t="str">
        <f>IFERROR(IF(AND(INDEX(#REF!,A474)="",OR(INDEX(#REF!,A474)&gt;0,INDEX(#REF!,A474)&gt;0,INDEX(#REF!,A474)&gt;0)),$B$154,""),"")</f>
        <v/>
      </c>
      <c r="E474" s="195" t="e">
        <f>SUBSTITUTE(IF(INDEX(#REF!,A474)&gt;IFERROR(INDEX(salaries_other_inst[Max hourly rate],MATCH(INDEX(#REF!,A474),salaries_other_inst[category],0),1),""),$B$153,""),"&lt;&lt;max_hourly_rate&gt;&gt;",TEXT(IFERROR(INDEX(salaries_other_inst[Max hourly rate],MATCH(INDEX(#REF!,A474),salaries_other_inst[category],0),1),""),"€ #"))</f>
        <v>#REF!</v>
      </c>
      <c r="F474" s="195" t="str">
        <f>IFERROR(IF(AND(INDEX(#REF!,A474)&lt;&gt;"",INDEX(#REF!,A474)=0),$B$155,""),"")</f>
        <v/>
      </c>
      <c r="G474" s="195" t="str">
        <f>IFERROR(IF(12*INDEX(#REF!,A474)/INDEX(#REF!,A474)&gt;pers_other_nrhours_year,checks!$A$156,""),"")</f>
        <v/>
      </c>
      <c r="H474" t="e">
        <f>IF(AND(organisation_type="yes",INDEX(#REF!,A370,1)&lt;&gt;"",ISBLANK(INDEX(#REF!,A370,1))),$B$146,"")</f>
        <v>#REF!</v>
      </c>
      <c r="I474" t="e">
        <f>IF(AND(organisation_name="yes",INDEX(#REF!,A474,1)&lt;&gt;"",ISBLANK(INDEX(#REF!,A474,1))),$B$147,"")</f>
        <v>#REF!</v>
      </c>
    </row>
    <row r="475" spans="1:9" hidden="1" outlineLevel="1" x14ac:dyDescent="0.35">
      <c r="A475" s="195">
        <v>60</v>
      </c>
      <c r="B475" s="195" t="str">
        <f t="array" ref="B475">IFERROR(INDEX(personnel_other_inst_21[[#This Row],[Empty lines]:[Name organisation]],1,MATCH(TRUE,LEN(personnel_other_inst_21[[#This Row],[Empty lines]:[Name organisation]])&gt;0,0)),"")</f>
        <v/>
      </c>
      <c r="C475" s="195" t="str">
        <f>IFERROR(IF(AND(LEN(INDEX(#REF!,A475))+LEN(INDEX(#REF!,A475))+LEN(INDEX(#REF!,A475))+LEN(INDEX(#REF!,A475))+LEN(INDEX(#REF!,A475))&gt;0,LEN(INDEX(#REF!,A475-1))++LEN(INDEX(#REF!,A475-1))+LEN(INDEX(#REF!,A475-1))+LEN(INDEX(#REF!,A475-1))+LEN(INDEX(#REF!,A475-1))=0),$B$127,""),"")</f>
        <v/>
      </c>
      <c r="D475" s="195" t="str">
        <f>IFERROR(IF(AND(INDEX(#REF!,A475)="",OR(INDEX(#REF!,A475)&gt;0,INDEX(#REF!,A475)&gt;0,INDEX(#REF!,A475)&gt;0)),$B$154,""),"")</f>
        <v/>
      </c>
      <c r="E475" s="195" t="e">
        <f>SUBSTITUTE(IF(INDEX(#REF!,A475)&gt;IFERROR(INDEX(salaries_other_inst[Max hourly rate],MATCH(INDEX(#REF!,A475),salaries_other_inst[category],0),1),""),$B$153,""),"&lt;&lt;max_hourly_rate&gt;&gt;",TEXT(IFERROR(INDEX(salaries_other_inst[Max hourly rate],MATCH(INDEX(#REF!,A475),salaries_other_inst[category],0),1),""),"€ #"))</f>
        <v>#REF!</v>
      </c>
      <c r="F475" s="195" t="str">
        <f>IFERROR(IF(AND(INDEX(#REF!,A475)&lt;&gt;"",INDEX(#REF!,A475)=0),$B$155,""),"")</f>
        <v/>
      </c>
      <c r="G475" s="195" t="str">
        <f>IFERROR(IF(12*INDEX(#REF!,A475)/INDEX(#REF!,A475)&gt;pers_other_nrhours_year,checks!$A$156,""),"")</f>
        <v/>
      </c>
      <c r="H475" t="e">
        <f>IF(AND(organisation_type="yes",INDEX(#REF!,A371,1)&lt;&gt;"",ISBLANK(INDEX(#REF!,A371,1))),$B$146,"")</f>
        <v>#REF!</v>
      </c>
      <c r="I475" t="e">
        <f>IF(AND(organisation_name="yes",INDEX(#REF!,A475,1)&lt;&gt;"",ISBLANK(INDEX(#REF!,A475,1))),$B$147,"")</f>
        <v>#REF!</v>
      </c>
    </row>
    <row r="476" spans="1:9" hidden="1" outlineLevel="1" x14ac:dyDescent="0.35">
      <c r="A476" s="195">
        <v>61</v>
      </c>
      <c r="B476" s="195" t="str">
        <f t="array" ref="B476">IFERROR(INDEX(personnel_other_inst_21[[#This Row],[Empty lines]:[Name organisation]],1,MATCH(TRUE,LEN(personnel_other_inst_21[[#This Row],[Empty lines]:[Name organisation]])&gt;0,0)),"")</f>
        <v/>
      </c>
      <c r="C476" s="195" t="str">
        <f>IFERROR(IF(AND(LEN(INDEX(#REF!,A476))+LEN(INDEX(#REF!,A476))+LEN(INDEX(#REF!,A476))+LEN(INDEX(#REF!,A476))+LEN(INDEX(#REF!,A476))&gt;0,LEN(INDEX(#REF!,A476-1))++LEN(INDEX(#REF!,A476-1))+LEN(INDEX(#REF!,A476-1))+LEN(INDEX(#REF!,A476-1))+LEN(INDEX(#REF!,A476-1))=0),$B$127,""),"")</f>
        <v/>
      </c>
      <c r="D476" s="195" t="str">
        <f>IFERROR(IF(AND(INDEX(#REF!,A476)="",OR(INDEX(#REF!,A476)&gt;0,INDEX(#REF!,A476)&gt;0,INDEX(#REF!,A476)&gt;0)),$B$154,""),"")</f>
        <v/>
      </c>
      <c r="E476" s="195" t="e">
        <f>SUBSTITUTE(IF(INDEX(#REF!,A476)&gt;IFERROR(INDEX(salaries_other_inst[Max hourly rate],MATCH(INDEX(#REF!,A476),salaries_other_inst[category],0),1),""),$B$153,""),"&lt;&lt;max_hourly_rate&gt;&gt;",TEXT(IFERROR(INDEX(salaries_other_inst[Max hourly rate],MATCH(INDEX(#REF!,A476),salaries_other_inst[category],0),1),""),"€ #"))</f>
        <v>#REF!</v>
      </c>
      <c r="F476" s="195" t="str">
        <f>IFERROR(IF(AND(INDEX(#REF!,A476)&lt;&gt;"",INDEX(#REF!,A476)=0),$B$155,""),"")</f>
        <v/>
      </c>
      <c r="G476" s="195" t="str">
        <f>IFERROR(IF(12*INDEX(#REF!,A476)/INDEX(#REF!,A476)&gt;pers_other_nrhours_year,checks!$A$156,""),"")</f>
        <v/>
      </c>
      <c r="H476" t="e">
        <f>IF(AND(organisation_type="yes",INDEX(#REF!,A372,1)&lt;&gt;"",ISBLANK(INDEX(#REF!,A372,1))),$B$146,"")</f>
        <v>#REF!</v>
      </c>
      <c r="I476" t="e">
        <f>IF(AND(organisation_name="yes",INDEX(#REF!,A476,1)&lt;&gt;"",ISBLANK(INDEX(#REF!,A476,1))),$B$147,"")</f>
        <v>#REF!</v>
      </c>
    </row>
    <row r="477" spans="1:9" hidden="1" outlineLevel="1" x14ac:dyDescent="0.35">
      <c r="A477" s="195">
        <v>62</v>
      </c>
      <c r="B477" s="195" t="str">
        <f t="array" ref="B477">IFERROR(INDEX(personnel_other_inst_21[[#This Row],[Empty lines]:[Name organisation]],1,MATCH(TRUE,LEN(personnel_other_inst_21[[#This Row],[Empty lines]:[Name organisation]])&gt;0,0)),"")</f>
        <v/>
      </c>
      <c r="C477" s="195" t="str">
        <f>IFERROR(IF(AND(LEN(INDEX(#REF!,A477))+LEN(INDEX(#REF!,A477))+LEN(INDEX(#REF!,A477))+LEN(INDEX(#REF!,A477))+LEN(INDEX(#REF!,A477))&gt;0,LEN(INDEX(#REF!,A477-1))++LEN(INDEX(#REF!,A477-1))+LEN(INDEX(#REF!,A477-1))+LEN(INDEX(#REF!,A477-1))+LEN(INDEX(#REF!,A477-1))=0),$B$127,""),"")</f>
        <v/>
      </c>
      <c r="D477" s="195" t="str">
        <f>IFERROR(IF(AND(INDEX(#REF!,A477)="",OR(INDEX(#REF!,A477)&gt;0,INDEX(#REF!,A477)&gt;0,INDEX(#REF!,A477)&gt;0)),$B$154,""),"")</f>
        <v/>
      </c>
      <c r="E477" s="195" t="e">
        <f>SUBSTITUTE(IF(INDEX(#REF!,A477)&gt;IFERROR(INDEX(salaries_other_inst[Max hourly rate],MATCH(INDEX(#REF!,A477),salaries_other_inst[category],0),1),""),$B$153,""),"&lt;&lt;max_hourly_rate&gt;&gt;",TEXT(IFERROR(INDEX(salaries_other_inst[Max hourly rate],MATCH(INDEX(#REF!,A477),salaries_other_inst[category],0),1),""),"€ #"))</f>
        <v>#REF!</v>
      </c>
      <c r="F477" s="195" t="str">
        <f>IFERROR(IF(AND(INDEX(#REF!,A477)&lt;&gt;"",INDEX(#REF!,A477)=0),$B$155,""),"")</f>
        <v/>
      </c>
      <c r="G477" s="195" t="str">
        <f>IFERROR(IF(12*INDEX(#REF!,A477)/INDEX(#REF!,A477)&gt;pers_other_nrhours_year,checks!$A$156,""),"")</f>
        <v/>
      </c>
      <c r="H477" t="e">
        <f>IF(AND(organisation_type="yes",INDEX(#REF!,A373,1)&lt;&gt;"",ISBLANK(INDEX(#REF!,A373,1))),$B$146,"")</f>
        <v>#REF!</v>
      </c>
      <c r="I477" t="e">
        <f>IF(AND(organisation_name="yes",INDEX(#REF!,A477,1)&lt;&gt;"",ISBLANK(INDEX(#REF!,A477,1))),$B$147,"")</f>
        <v>#REF!</v>
      </c>
    </row>
    <row r="478" spans="1:9" hidden="1" outlineLevel="1" x14ac:dyDescent="0.35">
      <c r="A478" s="195">
        <v>63</v>
      </c>
      <c r="B478" s="195" t="str">
        <f t="array" ref="B478">IFERROR(INDEX(personnel_other_inst_21[[#This Row],[Empty lines]:[Name organisation]],1,MATCH(TRUE,LEN(personnel_other_inst_21[[#This Row],[Empty lines]:[Name organisation]])&gt;0,0)),"")</f>
        <v/>
      </c>
      <c r="C478" s="195" t="str">
        <f>IFERROR(IF(AND(LEN(INDEX(#REF!,A478))+LEN(INDEX(#REF!,A478))+LEN(INDEX(#REF!,A478))+LEN(INDEX(#REF!,A478))+LEN(INDEX(#REF!,A478))&gt;0,LEN(INDEX(#REF!,A478-1))++LEN(INDEX(#REF!,A478-1))+LEN(INDEX(#REF!,A478-1))+LEN(INDEX(#REF!,A478-1))+LEN(INDEX(#REF!,A478-1))=0),$B$127,""),"")</f>
        <v/>
      </c>
      <c r="D478" s="195" t="str">
        <f>IFERROR(IF(AND(INDEX(#REF!,A478)="",OR(INDEX(#REF!,A478)&gt;0,INDEX(#REF!,A478)&gt;0,INDEX(#REF!,A478)&gt;0)),$B$154,""),"")</f>
        <v/>
      </c>
      <c r="E478" s="195" t="e">
        <f>SUBSTITUTE(IF(INDEX(#REF!,A478)&gt;IFERROR(INDEX(salaries_other_inst[Max hourly rate],MATCH(INDEX(#REF!,A478),salaries_other_inst[category],0),1),""),$B$153,""),"&lt;&lt;max_hourly_rate&gt;&gt;",TEXT(IFERROR(INDEX(salaries_other_inst[Max hourly rate],MATCH(INDEX(#REF!,A478),salaries_other_inst[category],0),1),""),"€ #"))</f>
        <v>#REF!</v>
      </c>
      <c r="F478" s="195" t="str">
        <f>IFERROR(IF(AND(INDEX(#REF!,A478)&lt;&gt;"",INDEX(#REF!,A478)=0),$B$155,""),"")</f>
        <v/>
      </c>
      <c r="G478" s="195" t="str">
        <f>IFERROR(IF(12*INDEX(#REF!,A478)/INDEX(#REF!,A478)&gt;pers_other_nrhours_year,checks!$A$156,""),"")</f>
        <v/>
      </c>
      <c r="H478" t="e">
        <f>IF(AND(organisation_type="yes",INDEX(#REF!,A374,1)&lt;&gt;"",ISBLANK(INDEX(#REF!,A374,1))),$B$146,"")</f>
        <v>#REF!</v>
      </c>
      <c r="I478" t="e">
        <f>IF(AND(organisation_name="yes",INDEX(#REF!,A478,1)&lt;&gt;"",ISBLANK(INDEX(#REF!,A478,1))),$B$147,"")</f>
        <v>#REF!</v>
      </c>
    </row>
    <row r="479" spans="1:9" hidden="1" outlineLevel="1" x14ac:dyDescent="0.35">
      <c r="A479" s="195">
        <v>64</v>
      </c>
      <c r="B479" s="195" t="str">
        <f t="array" ref="B479">IFERROR(INDEX(personnel_other_inst_21[[#This Row],[Empty lines]:[Name organisation]],1,MATCH(TRUE,LEN(personnel_other_inst_21[[#This Row],[Empty lines]:[Name organisation]])&gt;0,0)),"")</f>
        <v/>
      </c>
      <c r="C479" s="195" t="str">
        <f>IFERROR(IF(AND(LEN(INDEX(#REF!,A479))+LEN(INDEX(#REF!,A479))+LEN(INDEX(#REF!,A479))+LEN(INDEX(#REF!,A479))+LEN(INDEX(#REF!,A479))&gt;0,LEN(INDEX(#REF!,A479-1))++LEN(INDEX(#REF!,A479-1))+LEN(INDEX(#REF!,A479-1))+LEN(INDEX(#REF!,A479-1))+LEN(INDEX(#REF!,A479-1))=0),$B$127,""),"")</f>
        <v/>
      </c>
      <c r="D479" s="195" t="str">
        <f>IFERROR(IF(AND(INDEX(#REF!,A479)="",OR(INDEX(#REF!,A479)&gt;0,INDEX(#REF!,A479)&gt;0,INDEX(#REF!,A479)&gt;0)),$B$154,""),"")</f>
        <v/>
      </c>
      <c r="E479" s="195" t="e">
        <f>SUBSTITUTE(IF(INDEX(#REF!,A479)&gt;IFERROR(INDEX(salaries_other_inst[Max hourly rate],MATCH(INDEX(#REF!,A479),salaries_other_inst[category],0),1),""),$B$153,""),"&lt;&lt;max_hourly_rate&gt;&gt;",TEXT(IFERROR(INDEX(salaries_other_inst[Max hourly rate],MATCH(INDEX(#REF!,A479),salaries_other_inst[category],0),1),""),"€ #"))</f>
        <v>#REF!</v>
      </c>
      <c r="F479" s="195" t="str">
        <f>IFERROR(IF(AND(INDEX(#REF!,A479)&lt;&gt;"",INDEX(#REF!,A479)=0),$B$155,""),"")</f>
        <v/>
      </c>
      <c r="G479" s="195" t="str">
        <f>IFERROR(IF(12*INDEX(#REF!,A479)/INDEX(#REF!,A479)&gt;pers_other_nrhours_year,checks!$A$156,""),"")</f>
        <v/>
      </c>
      <c r="H479" t="e">
        <f>IF(AND(organisation_type="yes",INDEX(#REF!,A375,1)&lt;&gt;"",ISBLANK(INDEX(#REF!,A375,1))),$B$146,"")</f>
        <v>#REF!</v>
      </c>
      <c r="I479" t="e">
        <f>IF(AND(organisation_name="yes",INDEX(#REF!,A479,1)&lt;&gt;"",ISBLANK(INDEX(#REF!,A479,1))),$B$147,"")</f>
        <v>#REF!</v>
      </c>
    </row>
    <row r="480" spans="1:9" hidden="1" outlineLevel="1" x14ac:dyDescent="0.35">
      <c r="A480" s="195">
        <v>65</v>
      </c>
      <c r="B480" s="195" t="str">
        <f t="array" ref="B480">IFERROR(INDEX(personnel_other_inst_21[[#This Row],[Empty lines]:[Name organisation]],1,MATCH(TRUE,LEN(personnel_other_inst_21[[#This Row],[Empty lines]:[Name organisation]])&gt;0,0)),"")</f>
        <v/>
      </c>
      <c r="C480" s="195" t="str">
        <f>IFERROR(IF(AND(LEN(INDEX(#REF!,A480))+LEN(INDEX(#REF!,A480))+LEN(INDEX(#REF!,A480))+LEN(INDEX(#REF!,A480))+LEN(INDEX(#REF!,A480))&gt;0,LEN(INDEX(#REF!,A480-1))++LEN(INDEX(#REF!,A480-1))+LEN(INDEX(#REF!,A480-1))+LEN(INDEX(#REF!,A480-1))+LEN(INDEX(#REF!,A480-1))=0),$B$127,""),"")</f>
        <v/>
      </c>
      <c r="D480" s="195" t="str">
        <f>IFERROR(IF(AND(INDEX(#REF!,A480)="",OR(INDEX(#REF!,A480)&gt;0,INDEX(#REF!,A480)&gt;0,INDEX(#REF!,A480)&gt;0)),$B$154,""),"")</f>
        <v/>
      </c>
      <c r="E480" s="195" t="e">
        <f>SUBSTITUTE(IF(INDEX(#REF!,A480)&gt;IFERROR(INDEX(salaries_other_inst[Max hourly rate],MATCH(INDEX(#REF!,A480),salaries_other_inst[category],0),1),""),$B$153,""),"&lt;&lt;max_hourly_rate&gt;&gt;",TEXT(IFERROR(INDEX(salaries_other_inst[Max hourly rate],MATCH(INDEX(#REF!,A480),salaries_other_inst[category],0),1),""),"€ #"))</f>
        <v>#REF!</v>
      </c>
      <c r="F480" s="195" t="str">
        <f>IFERROR(IF(AND(INDEX(#REF!,A480)&lt;&gt;"",INDEX(#REF!,A480)=0),$B$155,""),"")</f>
        <v/>
      </c>
      <c r="G480" s="195" t="str">
        <f>IFERROR(IF(12*INDEX(#REF!,A480)/INDEX(#REF!,A480)&gt;pers_other_nrhours_year,checks!$A$156,""),"")</f>
        <v/>
      </c>
      <c r="H480" t="e">
        <f>IF(AND(organisation_type="yes",INDEX(#REF!,A376,1)&lt;&gt;"",ISBLANK(INDEX(#REF!,A376,1))),$B$146,"")</f>
        <v>#REF!</v>
      </c>
      <c r="I480" t="e">
        <f>IF(AND(organisation_name="yes",INDEX(#REF!,A480,1)&lt;&gt;"",ISBLANK(INDEX(#REF!,A480,1))),$B$147,"")</f>
        <v>#REF!</v>
      </c>
    </row>
    <row r="481" spans="1:9" hidden="1" outlineLevel="1" x14ac:dyDescent="0.35">
      <c r="A481" s="195">
        <v>66</v>
      </c>
      <c r="B481" s="195" t="str">
        <f t="array" ref="B481">IFERROR(INDEX(personnel_other_inst_21[[#This Row],[Empty lines]:[Name organisation]],1,MATCH(TRUE,LEN(personnel_other_inst_21[[#This Row],[Empty lines]:[Name organisation]])&gt;0,0)),"")</f>
        <v/>
      </c>
      <c r="C481" s="195" t="str">
        <f>IFERROR(IF(AND(LEN(INDEX(#REF!,A481))+LEN(INDEX(#REF!,A481))+LEN(INDEX(#REF!,A481))+LEN(INDEX(#REF!,A481))+LEN(INDEX(#REF!,A481))&gt;0,LEN(INDEX(#REF!,A481-1))++LEN(INDEX(#REF!,A481-1))+LEN(INDEX(#REF!,A481-1))+LEN(INDEX(#REF!,A481-1))+LEN(INDEX(#REF!,A481-1))=0),$B$127,""),"")</f>
        <v/>
      </c>
      <c r="D481" s="195" t="str">
        <f>IFERROR(IF(AND(INDEX(#REF!,A481)="",OR(INDEX(#REF!,A481)&gt;0,INDEX(#REF!,A481)&gt;0,INDEX(#REF!,A481)&gt;0)),$B$154,""),"")</f>
        <v/>
      </c>
      <c r="E481" s="195" t="e">
        <f>SUBSTITUTE(IF(INDEX(#REF!,A481)&gt;IFERROR(INDEX(salaries_other_inst[Max hourly rate],MATCH(INDEX(#REF!,A481),salaries_other_inst[category],0),1),""),$B$153,""),"&lt;&lt;max_hourly_rate&gt;&gt;",TEXT(IFERROR(INDEX(salaries_other_inst[Max hourly rate],MATCH(INDEX(#REF!,A481),salaries_other_inst[category],0),1),""),"€ #"))</f>
        <v>#REF!</v>
      </c>
      <c r="F481" s="195" t="str">
        <f>IFERROR(IF(AND(INDEX(#REF!,A481)&lt;&gt;"",INDEX(#REF!,A481)=0),$B$155,""),"")</f>
        <v/>
      </c>
      <c r="G481" s="195" t="str">
        <f>IFERROR(IF(12*INDEX(#REF!,A481)/INDEX(#REF!,A481)&gt;pers_other_nrhours_year,checks!$A$156,""),"")</f>
        <v/>
      </c>
      <c r="H481" t="e">
        <f>IF(AND(organisation_type="yes",INDEX(#REF!,A377,1)&lt;&gt;"",ISBLANK(INDEX(#REF!,A377,1))),$B$146,"")</f>
        <v>#REF!</v>
      </c>
      <c r="I481" t="e">
        <f>IF(AND(organisation_name="yes",INDEX(#REF!,A481,1)&lt;&gt;"",ISBLANK(INDEX(#REF!,A481,1))),$B$147,"")</f>
        <v>#REF!</v>
      </c>
    </row>
    <row r="482" spans="1:9" hidden="1" outlineLevel="1" x14ac:dyDescent="0.35">
      <c r="A482" s="195">
        <v>67</v>
      </c>
      <c r="B482" s="195" t="str">
        <f t="array" ref="B482">IFERROR(INDEX(personnel_other_inst_21[[#This Row],[Empty lines]:[Name organisation]],1,MATCH(TRUE,LEN(personnel_other_inst_21[[#This Row],[Empty lines]:[Name organisation]])&gt;0,0)),"")</f>
        <v/>
      </c>
      <c r="C482" s="195" t="str">
        <f>IFERROR(IF(AND(LEN(INDEX(#REF!,A482))+LEN(INDEX(#REF!,A482))+LEN(INDEX(#REF!,A482))+LEN(INDEX(#REF!,A482))+LEN(INDEX(#REF!,A482))&gt;0,LEN(INDEX(#REF!,A482-1))++LEN(INDEX(#REF!,A482-1))+LEN(INDEX(#REF!,A482-1))+LEN(INDEX(#REF!,A482-1))+LEN(INDEX(#REF!,A482-1))=0),$B$127,""),"")</f>
        <v/>
      </c>
      <c r="D482" s="195" t="str">
        <f>IFERROR(IF(AND(INDEX(#REF!,A482)="",OR(INDEX(#REF!,A482)&gt;0,INDEX(#REF!,A482)&gt;0,INDEX(#REF!,A482)&gt;0)),$B$154,""),"")</f>
        <v/>
      </c>
      <c r="E482" s="195" t="e">
        <f>SUBSTITUTE(IF(INDEX(#REF!,A482)&gt;IFERROR(INDEX(salaries_other_inst[Max hourly rate],MATCH(INDEX(#REF!,A482),salaries_other_inst[category],0),1),""),$B$153,""),"&lt;&lt;max_hourly_rate&gt;&gt;",TEXT(IFERROR(INDEX(salaries_other_inst[Max hourly rate],MATCH(INDEX(#REF!,A482),salaries_other_inst[category],0),1),""),"€ #"))</f>
        <v>#REF!</v>
      </c>
      <c r="F482" s="195" t="str">
        <f>IFERROR(IF(AND(INDEX(#REF!,A482)&lt;&gt;"",INDEX(#REF!,A482)=0),$B$155,""),"")</f>
        <v/>
      </c>
      <c r="G482" s="195" t="str">
        <f>IFERROR(IF(12*INDEX(#REF!,A482)/INDEX(#REF!,A482)&gt;pers_other_nrhours_year,checks!$A$156,""),"")</f>
        <v/>
      </c>
      <c r="H482" t="e">
        <f>IF(AND(organisation_type="yes",INDEX(#REF!,A378,1)&lt;&gt;"",ISBLANK(INDEX(#REF!,A378,1))),$B$146,"")</f>
        <v>#REF!</v>
      </c>
      <c r="I482" t="e">
        <f>IF(AND(organisation_name="yes",INDEX(#REF!,A482,1)&lt;&gt;"",ISBLANK(INDEX(#REF!,A482,1))),$B$147,"")</f>
        <v>#REF!</v>
      </c>
    </row>
    <row r="483" spans="1:9" hidden="1" outlineLevel="1" x14ac:dyDescent="0.35">
      <c r="A483" s="195">
        <v>68</v>
      </c>
      <c r="B483" s="195" t="str">
        <f t="array" ref="B483">IFERROR(INDEX(personnel_other_inst_21[[#This Row],[Empty lines]:[Name organisation]],1,MATCH(TRUE,LEN(personnel_other_inst_21[[#This Row],[Empty lines]:[Name organisation]])&gt;0,0)),"")</f>
        <v/>
      </c>
      <c r="C483" s="195" t="str">
        <f>IFERROR(IF(AND(LEN(INDEX(#REF!,A483))+LEN(INDEX(#REF!,A483))+LEN(INDEX(#REF!,A483))+LEN(INDEX(#REF!,A483))+LEN(INDEX(#REF!,A483))&gt;0,LEN(INDEX(#REF!,A483-1))++LEN(INDEX(#REF!,A483-1))+LEN(INDEX(#REF!,A483-1))+LEN(INDEX(#REF!,A483-1))+LEN(INDEX(#REF!,A483-1))=0),$B$127,""),"")</f>
        <v/>
      </c>
      <c r="D483" s="195" t="str">
        <f>IFERROR(IF(AND(INDEX(#REF!,A483)="",OR(INDEX(#REF!,A483)&gt;0,INDEX(#REF!,A483)&gt;0,INDEX(#REF!,A483)&gt;0)),$B$154,""),"")</f>
        <v/>
      </c>
      <c r="E483" s="195" t="e">
        <f>SUBSTITUTE(IF(INDEX(#REF!,A483)&gt;IFERROR(INDEX(salaries_other_inst[Max hourly rate],MATCH(INDEX(#REF!,A483),salaries_other_inst[category],0),1),""),$B$153,""),"&lt;&lt;max_hourly_rate&gt;&gt;",TEXT(IFERROR(INDEX(salaries_other_inst[Max hourly rate],MATCH(INDEX(#REF!,A483),salaries_other_inst[category],0),1),""),"€ #"))</f>
        <v>#REF!</v>
      </c>
      <c r="F483" s="195" t="str">
        <f>IFERROR(IF(AND(INDEX(#REF!,A483)&lt;&gt;"",INDEX(#REF!,A483)=0),$B$155,""),"")</f>
        <v/>
      </c>
      <c r="G483" s="195" t="str">
        <f>IFERROR(IF(12*INDEX(#REF!,A483)/INDEX(#REF!,A483)&gt;pers_other_nrhours_year,checks!$A$156,""),"")</f>
        <v/>
      </c>
      <c r="H483" t="e">
        <f>IF(AND(organisation_type="yes",INDEX(#REF!,A379,1)&lt;&gt;"",ISBLANK(INDEX(#REF!,A379,1))),$B$146,"")</f>
        <v>#REF!</v>
      </c>
      <c r="I483" t="e">
        <f>IF(AND(organisation_name="yes",INDEX(#REF!,A483,1)&lt;&gt;"",ISBLANK(INDEX(#REF!,A483,1))),$B$147,"")</f>
        <v>#REF!</v>
      </c>
    </row>
    <row r="484" spans="1:9" hidden="1" outlineLevel="1" x14ac:dyDescent="0.35">
      <c r="A484" s="195">
        <v>69</v>
      </c>
      <c r="B484" s="195" t="str">
        <f t="array" ref="B484">IFERROR(INDEX(personnel_other_inst_21[[#This Row],[Empty lines]:[Name organisation]],1,MATCH(TRUE,LEN(personnel_other_inst_21[[#This Row],[Empty lines]:[Name organisation]])&gt;0,0)),"")</f>
        <v/>
      </c>
      <c r="C484" s="195" t="str">
        <f>IFERROR(IF(AND(LEN(INDEX(#REF!,A484))+LEN(INDEX(#REF!,A484))+LEN(INDEX(#REF!,A484))+LEN(INDEX(#REF!,A484))+LEN(INDEX(#REF!,A484))&gt;0,LEN(INDEX(#REF!,A484-1))++LEN(INDEX(#REF!,A484-1))+LEN(INDEX(#REF!,A484-1))+LEN(INDEX(#REF!,A484-1))+LEN(INDEX(#REF!,A484-1))=0),$B$127,""),"")</f>
        <v/>
      </c>
      <c r="D484" s="195" t="str">
        <f>IFERROR(IF(AND(INDEX(#REF!,A484)="",OR(INDEX(#REF!,A484)&gt;0,INDEX(#REF!,A484)&gt;0,INDEX(#REF!,A484)&gt;0)),$B$154,""),"")</f>
        <v/>
      </c>
      <c r="E484" s="195" t="e">
        <f>SUBSTITUTE(IF(INDEX(#REF!,A484)&gt;IFERROR(INDEX(salaries_other_inst[Max hourly rate],MATCH(INDEX(#REF!,A484),salaries_other_inst[category],0),1),""),$B$153,""),"&lt;&lt;max_hourly_rate&gt;&gt;",TEXT(IFERROR(INDEX(salaries_other_inst[Max hourly rate],MATCH(INDEX(#REF!,A484),salaries_other_inst[category],0),1),""),"€ #"))</f>
        <v>#REF!</v>
      </c>
      <c r="F484" s="195" t="str">
        <f>IFERROR(IF(AND(INDEX(#REF!,A484)&lt;&gt;"",INDEX(#REF!,A484)=0),$B$155,""),"")</f>
        <v/>
      </c>
      <c r="G484" s="195" t="str">
        <f>IFERROR(IF(12*INDEX(#REF!,A484)/INDEX(#REF!,A484)&gt;pers_other_nrhours_year,checks!$A$156,""),"")</f>
        <v/>
      </c>
      <c r="H484" t="e">
        <f>IF(AND(organisation_type="yes",INDEX(#REF!,A380,1)&lt;&gt;"",ISBLANK(INDEX(#REF!,A380,1))),$B$146,"")</f>
        <v>#REF!</v>
      </c>
      <c r="I484" t="e">
        <f>IF(AND(organisation_name="yes",INDEX(#REF!,A484,1)&lt;&gt;"",ISBLANK(INDEX(#REF!,A484,1))),$B$147,"")</f>
        <v>#REF!</v>
      </c>
    </row>
    <row r="485" spans="1:9" hidden="1" outlineLevel="1" x14ac:dyDescent="0.35">
      <c r="A485" s="195">
        <v>70</v>
      </c>
      <c r="B485" s="195" t="str">
        <f t="array" ref="B485">IFERROR(INDEX(personnel_other_inst_21[[#This Row],[Empty lines]:[Name organisation]],1,MATCH(TRUE,LEN(personnel_other_inst_21[[#This Row],[Empty lines]:[Name organisation]])&gt;0,0)),"")</f>
        <v/>
      </c>
      <c r="C485" s="195" t="str">
        <f>IFERROR(IF(AND(LEN(INDEX(#REF!,A485))+LEN(INDEX(#REF!,A485))+LEN(INDEX(#REF!,A485))+LEN(INDEX(#REF!,A485))+LEN(INDEX(#REF!,A485))&gt;0,LEN(INDEX(#REF!,A485-1))++LEN(INDEX(#REF!,A485-1))+LEN(INDEX(#REF!,A485-1))+LEN(INDEX(#REF!,A485-1))+LEN(INDEX(#REF!,A485-1))=0),$B$127,""),"")</f>
        <v/>
      </c>
      <c r="D485" s="195" t="str">
        <f>IFERROR(IF(AND(INDEX(#REF!,A485)="",OR(INDEX(#REF!,A485)&gt;0,INDEX(#REF!,A485)&gt;0,INDEX(#REF!,A485)&gt;0)),$B$154,""),"")</f>
        <v/>
      </c>
      <c r="E485" s="195" t="e">
        <f>SUBSTITUTE(IF(INDEX(#REF!,A485)&gt;IFERROR(INDEX(salaries_other_inst[Max hourly rate],MATCH(INDEX(#REF!,A485),salaries_other_inst[category],0),1),""),$B$153,""),"&lt;&lt;max_hourly_rate&gt;&gt;",TEXT(IFERROR(INDEX(salaries_other_inst[Max hourly rate],MATCH(INDEX(#REF!,A485),salaries_other_inst[category],0),1),""),"€ #"))</f>
        <v>#REF!</v>
      </c>
      <c r="F485" s="195" t="str">
        <f>IFERROR(IF(AND(INDEX(#REF!,A485)&lt;&gt;"",INDEX(#REF!,A485)=0),$B$155,""),"")</f>
        <v/>
      </c>
      <c r="G485" s="195" t="str">
        <f>IFERROR(IF(12*INDEX(#REF!,A485)/INDEX(#REF!,A485)&gt;pers_other_nrhours_year,checks!$A$156,""),"")</f>
        <v/>
      </c>
      <c r="H485" t="e">
        <f>IF(AND(organisation_type="yes",INDEX(#REF!,A381,1)&lt;&gt;"",ISBLANK(INDEX(#REF!,A381,1))),$B$146,"")</f>
        <v>#REF!</v>
      </c>
      <c r="I485" t="e">
        <f>IF(AND(organisation_name="yes",INDEX(#REF!,A485,1)&lt;&gt;"",ISBLANK(INDEX(#REF!,A485,1))),$B$147,"")</f>
        <v>#REF!</v>
      </c>
    </row>
    <row r="486" spans="1:9" hidden="1" outlineLevel="1" x14ac:dyDescent="0.35">
      <c r="A486" s="195">
        <v>71</v>
      </c>
      <c r="B486" s="195" t="str">
        <f t="array" ref="B486">IFERROR(INDEX(personnel_other_inst_21[[#This Row],[Empty lines]:[Name organisation]],1,MATCH(TRUE,LEN(personnel_other_inst_21[[#This Row],[Empty lines]:[Name organisation]])&gt;0,0)),"")</f>
        <v/>
      </c>
      <c r="C486" s="195" t="str">
        <f>IFERROR(IF(AND(LEN(INDEX(#REF!,A486))+LEN(INDEX(#REF!,A486))+LEN(INDEX(#REF!,A486))+LEN(INDEX(#REF!,A486))+LEN(INDEX(#REF!,A486))&gt;0,LEN(INDEX(#REF!,A486-1))++LEN(INDEX(#REF!,A486-1))+LEN(INDEX(#REF!,A486-1))+LEN(INDEX(#REF!,A486-1))+LEN(INDEX(#REF!,A486-1))=0),$B$127,""),"")</f>
        <v/>
      </c>
      <c r="D486" s="195" t="str">
        <f>IFERROR(IF(AND(INDEX(#REF!,A486)="",OR(INDEX(#REF!,A486)&gt;0,INDEX(#REF!,A486)&gt;0,INDEX(#REF!,A486)&gt;0)),$B$154,""),"")</f>
        <v/>
      </c>
      <c r="E486" s="195" t="e">
        <f>SUBSTITUTE(IF(INDEX(#REF!,A486)&gt;IFERROR(INDEX(salaries_other_inst[Max hourly rate],MATCH(INDEX(#REF!,A486),salaries_other_inst[category],0),1),""),$B$153,""),"&lt;&lt;max_hourly_rate&gt;&gt;",TEXT(IFERROR(INDEX(salaries_other_inst[Max hourly rate],MATCH(INDEX(#REF!,A486),salaries_other_inst[category],0),1),""),"€ #"))</f>
        <v>#REF!</v>
      </c>
      <c r="F486" s="195" t="str">
        <f>IFERROR(IF(AND(INDEX(#REF!,A486)&lt;&gt;"",INDEX(#REF!,A486)=0),$B$155,""),"")</f>
        <v/>
      </c>
      <c r="G486" s="195" t="str">
        <f>IFERROR(IF(12*INDEX(#REF!,A486)/INDEX(#REF!,A486)&gt;pers_other_nrhours_year,checks!$A$156,""),"")</f>
        <v/>
      </c>
      <c r="H486" t="e">
        <f>IF(AND(organisation_type="yes",INDEX(#REF!,A382,1)&lt;&gt;"",ISBLANK(INDEX(#REF!,A382,1))),$B$146,"")</f>
        <v>#REF!</v>
      </c>
      <c r="I486" t="e">
        <f>IF(AND(organisation_name="yes",INDEX(#REF!,A486,1)&lt;&gt;"",ISBLANK(INDEX(#REF!,A486,1))),$B$147,"")</f>
        <v>#REF!</v>
      </c>
    </row>
    <row r="487" spans="1:9" hidden="1" outlineLevel="1" x14ac:dyDescent="0.35">
      <c r="A487" s="195">
        <v>72</v>
      </c>
      <c r="B487" s="195" t="str">
        <f t="array" ref="B487">IFERROR(INDEX(personnel_other_inst_21[[#This Row],[Empty lines]:[Name organisation]],1,MATCH(TRUE,LEN(personnel_other_inst_21[[#This Row],[Empty lines]:[Name organisation]])&gt;0,0)),"")</f>
        <v/>
      </c>
      <c r="C487" s="195" t="str">
        <f>IFERROR(IF(AND(LEN(INDEX(#REF!,A487))+LEN(INDEX(#REF!,A487))+LEN(INDEX(#REF!,A487))+LEN(INDEX(#REF!,A487))+LEN(INDEX(#REF!,A487))&gt;0,LEN(INDEX(#REF!,A487-1))++LEN(INDEX(#REF!,A487-1))+LEN(INDEX(#REF!,A487-1))+LEN(INDEX(#REF!,A487-1))+LEN(INDEX(#REF!,A487-1))=0),$B$127,""),"")</f>
        <v/>
      </c>
      <c r="D487" s="195" t="str">
        <f>IFERROR(IF(AND(INDEX(#REF!,A487)="",OR(INDEX(#REF!,A487)&gt;0,INDEX(#REF!,A487)&gt;0,INDEX(#REF!,A487)&gt;0)),$B$154,""),"")</f>
        <v/>
      </c>
      <c r="E487" s="195" t="e">
        <f>SUBSTITUTE(IF(INDEX(#REF!,A487)&gt;IFERROR(INDEX(salaries_other_inst[Max hourly rate],MATCH(INDEX(#REF!,A487),salaries_other_inst[category],0),1),""),$B$153,""),"&lt;&lt;max_hourly_rate&gt;&gt;",TEXT(IFERROR(INDEX(salaries_other_inst[Max hourly rate],MATCH(INDEX(#REF!,A487),salaries_other_inst[category],0),1),""),"€ #"))</f>
        <v>#REF!</v>
      </c>
      <c r="F487" s="195" t="str">
        <f>IFERROR(IF(AND(INDEX(#REF!,A487)&lt;&gt;"",INDEX(#REF!,A487)=0),$B$155,""),"")</f>
        <v/>
      </c>
      <c r="G487" s="195" t="str">
        <f>IFERROR(IF(12*INDEX(#REF!,A487)/INDEX(#REF!,A487)&gt;pers_other_nrhours_year,checks!$A$156,""),"")</f>
        <v/>
      </c>
      <c r="H487" t="e">
        <f>IF(AND(organisation_type="yes",INDEX(#REF!,A383,1)&lt;&gt;"",ISBLANK(INDEX(#REF!,A383,1))),$B$146,"")</f>
        <v>#REF!</v>
      </c>
      <c r="I487" t="e">
        <f>IF(AND(organisation_name="yes",INDEX(#REF!,A487,1)&lt;&gt;"",ISBLANK(INDEX(#REF!,A487,1))),$B$147,"")</f>
        <v>#REF!</v>
      </c>
    </row>
    <row r="488" spans="1:9" hidden="1" outlineLevel="1" x14ac:dyDescent="0.35">
      <c r="A488" s="195">
        <v>73</v>
      </c>
      <c r="B488" s="195" t="str">
        <f t="array" ref="B488">IFERROR(INDEX(personnel_other_inst_21[[#This Row],[Empty lines]:[Name organisation]],1,MATCH(TRUE,LEN(personnel_other_inst_21[[#This Row],[Empty lines]:[Name organisation]])&gt;0,0)),"")</f>
        <v/>
      </c>
      <c r="C488" s="195" t="str">
        <f>IFERROR(IF(AND(LEN(INDEX(#REF!,A488))+LEN(INDEX(#REF!,A488))+LEN(INDEX(#REF!,A488))+LEN(INDEX(#REF!,A488))+LEN(INDEX(#REF!,A488))&gt;0,LEN(INDEX(#REF!,A488-1))++LEN(INDEX(#REF!,A488-1))+LEN(INDEX(#REF!,A488-1))+LEN(INDEX(#REF!,A488-1))+LEN(INDEX(#REF!,A488-1))=0),$B$127,""),"")</f>
        <v/>
      </c>
      <c r="D488" s="195" t="str">
        <f>IFERROR(IF(AND(INDEX(#REF!,A488)="",OR(INDEX(#REF!,A488)&gt;0,INDEX(#REF!,A488)&gt;0,INDEX(#REF!,A488)&gt;0)),$B$154,""),"")</f>
        <v/>
      </c>
      <c r="E488" s="195" t="e">
        <f>SUBSTITUTE(IF(INDEX(#REF!,A488)&gt;IFERROR(INDEX(salaries_other_inst[Max hourly rate],MATCH(INDEX(#REF!,A488),salaries_other_inst[category],0),1),""),$B$153,""),"&lt;&lt;max_hourly_rate&gt;&gt;",TEXT(IFERROR(INDEX(salaries_other_inst[Max hourly rate],MATCH(INDEX(#REF!,A488),salaries_other_inst[category],0),1),""),"€ #"))</f>
        <v>#REF!</v>
      </c>
      <c r="F488" s="195" t="str">
        <f>IFERROR(IF(AND(INDEX(#REF!,A488)&lt;&gt;"",INDEX(#REF!,A488)=0),$B$155,""),"")</f>
        <v/>
      </c>
      <c r="G488" s="195" t="str">
        <f>IFERROR(IF(12*INDEX(#REF!,A488)/INDEX(#REF!,A488)&gt;pers_other_nrhours_year,checks!$A$156,""),"")</f>
        <v/>
      </c>
      <c r="H488" t="e">
        <f>IF(AND(organisation_type="yes",INDEX(#REF!,A384,1)&lt;&gt;"",ISBLANK(INDEX(#REF!,A384,1))),$B$146,"")</f>
        <v>#REF!</v>
      </c>
      <c r="I488" t="e">
        <f>IF(AND(organisation_name="yes",INDEX(#REF!,A488,1)&lt;&gt;"",ISBLANK(INDEX(#REF!,A488,1))),$B$147,"")</f>
        <v>#REF!</v>
      </c>
    </row>
    <row r="489" spans="1:9" hidden="1" outlineLevel="1" x14ac:dyDescent="0.35">
      <c r="A489" s="195">
        <v>74</v>
      </c>
      <c r="B489" s="195" t="str">
        <f t="array" ref="B489">IFERROR(INDEX(personnel_other_inst_21[[#This Row],[Empty lines]:[Name organisation]],1,MATCH(TRUE,LEN(personnel_other_inst_21[[#This Row],[Empty lines]:[Name organisation]])&gt;0,0)),"")</f>
        <v/>
      </c>
      <c r="C489" s="195" t="str">
        <f>IFERROR(IF(AND(LEN(INDEX(#REF!,A489))+LEN(INDEX(#REF!,A489))+LEN(INDEX(#REF!,A489))+LEN(INDEX(#REF!,A489))+LEN(INDEX(#REF!,A489))&gt;0,LEN(INDEX(#REF!,A489-1))++LEN(INDEX(#REF!,A489-1))+LEN(INDEX(#REF!,A489-1))+LEN(INDEX(#REF!,A489-1))+LEN(INDEX(#REF!,A489-1))=0),$B$127,""),"")</f>
        <v/>
      </c>
      <c r="D489" s="195" t="str">
        <f>IFERROR(IF(AND(INDEX(#REF!,A489)="",OR(INDEX(#REF!,A489)&gt;0,INDEX(#REF!,A489)&gt;0,INDEX(#REF!,A489)&gt;0)),$B$154,""),"")</f>
        <v/>
      </c>
      <c r="E489" s="195" t="e">
        <f>SUBSTITUTE(IF(INDEX(#REF!,A489)&gt;IFERROR(INDEX(salaries_other_inst[Max hourly rate],MATCH(INDEX(#REF!,A489),salaries_other_inst[category],0),1),""),$B$153,""),"&lt;&lt;max_hourly_rate&gt;&gt;",TEXT(IFERROR(INDEX(salaries_other_inst[Max hourly rate],MATCH(INDEX(#REF!,A489),salaries_other_inst[category],0),1),""),"€ #"))</f>
        <v>#REF!</v>
      </c>
      <c r="F489" s="195" t="str">
        <f>IFERROR(IF(AND(INDEX(#REF!,A489)&lt;&gt;"",INDEX(#REF!,A489)=0),$B$155,""),"")</f>
        <v/>
      </c>
      <c r="G489" s="195" t="str">
        <f>IFERROR(IF(12*INDEX(#REF!,A489)/INDEX(#REF!,A489)&gt;pers_other_nrhours_year,checks!$A$156,""),"")</f>
        <v/>
      </c>
      <c r="H489" t="e">
        <f>IF(AND(organisation_type="yes",INDEX(#REF!,A385,1)&lt;&gt;"",ISBLANK(INDEX(#REF!,A385,1))),$B$146,"")</f>
        <v>#REF!</v>
      </c>
      <c r="I489" t="e">
        <f>IF(AND(organisation_name="yes",INDEX(#REF!,A489,1)&lt;&gt;"",ISBLANK(INDEX(#REF!,A489,1))),$B$147,"")</f>
        <v>#REF!</v>
      </c>
    </row>
    <row r="490" spans="1:9" hidden="1" outlineLevel="1" x14ac:dyDescent="0.35">
      <c r="A490" s="195">
        <v>75</v>
      </c>
      <c r="B490" s="195" t="str">
        <f t="array" ref="B490">IFERROR(INDEX(personnel_other_inst_21[[#This Row],[Empty lines]:[Name organisation]],1,MATCH(TRUE,LEN(personnel_other_inst_21[[#This Row],[Empty lines]:[Name organisation]])&gt;0,0)),"")</f>
        <v/>
      </c>
      <c r="C490" s="195" t="str">
        <f>IFERROR(IF(AND(LEN(INDEX(#REF!,A490))+LEN(INDEX(#REF!,A490))+LEN(INDEX(#REF!,A490))+LEN(INDEX(#REF!,A490))+LEN(INDEX(#REF!,A490))&gt;0,LEN(INDEX(#REF!,A490-1))++LEN(INDEX(#REF!,A490-1))+LEN(INDEX(#REF!,A490-1))+LEN(INDEX(#REF!,A490-1))+LEN(INDEX(#REF!,A490-1))=0),$B$127,""),"")</f>
        <v/>
      </c>
      <c r="D490" s="195" t="str">
        <f>IFERROR(IF(AND(INDEX(#REF!,A490)="",OR(INDEX(#REF!,A490)&gt;0,INDEX(#REF!,A490)&gt;0,INDEX(#REF!,A490)&gt;0)),$B$154,""),"")</f>
        <v/>
      </c>
      <c r="E490" s="195" t="e">
        <f>SUBSTITUTE(IF(INDEX(#REF!,A490)&gt;IFERROR(INDEX(salaries_other_inst[Max hourly rate],MATCH(INDEX(#REF!,A490),salaries_other_inst[category],0),1),""),$B$153,""),"&lt;&lt;max_hourly_rate&gt;&gt;",TEXT(IFERROR(INDEX(salaries_other_inst[Max hourly rate],MATCH(INDEX(#REF!,A490),salaries_other_inst[category],0),1),""),"€ #"))</f>
        <v>#REF!</v>
      </c>
      <c r="F490" s="195" t="str">
        <f>IFERROR(IF(AND(INDEX(#REF!,A490)&lt;&gt;"",INDEX(#REF!,A490)=0),$B$155,""),"")</f>
        <v/>
      </c>
      <c r="G490" s="195" t="str">
        <f>IFERROR(IF(12*INDEX(#REF!,A490)/INDEX(#REF!,A490)&gt;pers_other_nrhours_year,checks!$A$156,""),"")</f>
        <v/>
      </c>
      <c r="H490" t="e">
        <f>IF(AND(organisation_type="yes",INDEX(#REF!,A386,1)&lt;&gt;"",ISBLANK(INDEX(#REF!,A386,1))),$B$146,"")</f>
        <v>#REF!</v>
      </c>
      <c r="I490" t="e">
        <f>IF(AND(organisation_name="yes",INDEX(#REF!,A490,1)&lt;&gt;"",ISBLANK(INDEX(#REF!,A490,1))),$B$147,"")</f>
        <v>#REF!</v>
      </c>
    </row>
    <row r="491" spans="1:9" hidden="1" outlineLevel="1" x14ac:dyDescent="0.35">
      <c r="A491" s="195">
        <v>76</v>
      </c>
      <c r="B491" s="195" t="str">
        <f t="array" ref="B491">IFERROR(INDEX(personnel_other_inst_21[[#This Row],[Empty lines]:[Name organisation]],1,MATCH(TRUE,LEN(personnel_other_inst_21[[#This Row],[Empty lines]:[Name organisation]])&gt;0,0)),"")</f>
        <v/>
      </c>
      <c r="C491" s="195" t="str">
        <f>IFERROR(IF(AND(LEN(INDEX(#REF!,A491))+LEN(INDEX(#REF!,A491))+LEN(INDEX(#REF!,A491))+LEN(INDEX(#REF!,A491))+LEN(INDEX(#REF!,A491))&gt;0,LEN(INDEX(#REF!,A491-1))++LEN(INDEX(#REF!,A491-1))+LEN(INDEX(#REF!,A491-1))+LEN(INDEX(#REF!,A491-1))+LEN(INDEX(#REF!,A491-1))=0),$B$127,""),"")</f>
        <v/>
      </c>
      <c r="D491" s="195" t="str">
        <f>IFERROR(IF(AND(INDEX(#REF!,A491)="",OR(INDEX(#REF!,A491)&gt;0,INDEX(#REF!,A491)&gt;0,INDEX(#REF!,A491)&gt;0)),$B$154,""),"")</f>
        <v/>
      </c>
      <c r="E491" s="195" t="e">
        <f>SUBSTITUTE(IF(INDEX(#REF!,A491)&gt;IFERROR(INDEX(salaries_other_inst[Max hourly rate],MATCH(INDEX(#REF!,A491),salaries_other_inst[category],0),1),""),$B$153,""),"&lt;&lt;max_hourly_rate&gt;&gt;",TEXT(IFERROR(INDEX(salaries_other_inst[Max hourly rate],MATCH(INDEX(#REF!,A491),salaries_other_inst[category],0),1),""),"€ #"))</f>
        <v>#REF!</v>
      </c>
      <c r="F491" s="195" t="str">
        <f>IFERROR(IF(AND(INDEX(#REF!,A491)&lt;&gt;"",INDEX(#REF!,A491)=0),$B$155,""),"")</f>
        <v/>
      </c>
      <c r="G491" s="195" t="str">
        <f>IFERROR(IF(12*INDEX(#REF!,A491)/INDEX(#REF!,A491)&gt;pers_other_nrhours_year,checks!$A$156,""),"")</f>
        <v/>
      </c>
      <c r="H491" t="e">
        <f>IF(AND(organisation_type="yes",INDEX(#REF!,A387,1)&lt;&gt;"",ISBLANK(INDEX(#REF!,A387,1))),$B$146,"")</f>
        <v>#REF!</v>
      </c>
      <c r="I491" t="e">
        <f>IF(AND(organisation_name="yes",INDEX(#REF!,A491,1)&lt;&gt;"",ISBLANK(INDEX(#REF!,A491,1))),$B$147,"")</f>
        <v>#REF!</v>
      </c>
    </row>
    <row r="492" spans="1:9" hidden="1" outlineLevel="1" x14ac:dyDescent="0.35">
      <c r="A492" s="195">
        <v>77</v>
      </c>
      <c r="B492" s="195" t="str">
        <f t="array" ref="B492">IFERROR(INDEX(personnel_other_inst_21[[#This Row],[Empty lines]:[Name organisation]],1,MATCH(TRUE,LEN(personnel_other_inst_21[[#This Row],[Empty lines]:[Name organisation]])&gt;0,0)),"")</f>
        <v/>
      </c>
      <c r="C492" s="195" t="str">
        <f>IFERROR(IF(AND(LEN(INDEX(#REF!,A492))+LEN(INDEX(#REF!,A492))+LEN(INDEX(#REF!,A492))+LEN(INDEX(#REF!,A492))+LEN(INDEX(#REF!,A492))&gt;0,LEN(INDEX(#REF!,A492-1))++LEN(INDEX(#REF!,A492-1))+LEN(INDEX(#REF!,A492-1))+LEN(INDEX(#REF!,A492-1))+LEN(INDEX(#REF!,A492-1))=0),$B$127,""),"")</f>
        <v/>
      </c>
      <c r="D492" s="195" t="str">
        <f>IFERROR(IF(AND(INDEX(#REF!,A492)="",OR(INDEX(#REF!,A492)&gt;0,INDEX(#REF!,A492)&gt;0,INDEX(#REF!,A492)&gt;0)),$B$154,""),"")</f>
        <v/>
      </c>
      <c r="E492" s="195" t="e">
        <f>SUBSTITUTE(IF(INDEX(#REF!,A492)&gt;IFERROR(INDEX(salaries_other_inst[Max hourly rate],MATCH(INDEX(#REF!,A492),salaries_other_inst[category],0),1),""),$B$153,""),"&lt;&lt;max_hourly_rate&gt;&gt;",TEXT(IFERROR(INDEX(salaries_other_inst[Max hourly rate],MATCH(INDEX(#REF!,A492),salaries_other_inst[category],0),1),""),"€ #"))</f>
        <v>#REF!</v>
      </c>
      <c r="F492" s="195" t="str">
        <f>IFERROR(IF(AND(INDEX(#REF!,A492)&lt;&gt;"",INDEX(#REF!,A492)=0),$B$155,""),"")</f>
        <v/>
      </c>
      <c r="G492" s="195" t="str">
        <f>IFERROR(IF(12*INDEX(#REF!,A492)/INDEX(#REF!,A492)&gt;pers_other_nrhours_year,checks!$A$156,""),"")</f>
        <v/>
      </c>
      <c r="H492" t="e">
        <f>IF(AND(organisation_type="yes",INDEX(#REF!,A388,1)&lt;&gt;"",ISBLANK(INDEX(#REF!,A388,1))),$B$146,"")</f>
        <v>#REF!</v>
      </c>
      <c r="I492" t="e">
        <f>IF(AND(organisation_name="yes",INDEX(#REF!,A492,1)&lt;&gt;"",ISBLANK(INDEX(#REF!,A492,1))),$B$147,"")</f>
        <v>#REF!</v>
      </c>
    </row>
    <row r="493" spans="1:9" hidden="1" outlineLevel="1" x14ac:dyDescent="0.35">
      <c r="A493" s="195">
        <v>78</v>
      </c>
      <c r="B493" s="195" t="str">
        <f t="array" ref="B493">IFERROR(INDEX(personnel_other_inst_21[[#This Row],[Empty lines]:[Name organisation]],1,MATCH(TRUE,LEN(personnel_other_inst_21[[#This Row],[Empty lines]:[Name organisation]])&gt;0,0)),"")</f>
        <v/>
      </c>
      <c r="C493" s="195" t="str">
        <f>IFERROR(IF(AND(LEN(INDEX(#REF!,A493))+LEN(INDEX(#REF!,A493))+LEN(INDEX(#REF!,A493))+LEN(INDEX(#REF!,A493))+LEN(INDEX(#REF!,A493))&gt;0,LEN(INDEX(#REF!,A493-1))++LEN(INDEX(#REF!,A493-1))+LEN(INDEX(#REF!,A493-1))+LEN(INDEX(#REF!,A493-1))+LEN(INDEX(#REF!,A493-1))=0),$B$127,""),"")</f>
        <v/>
      </c>
      <c r="D493" s="195" t="str">
        <f>IFERROR(IF(AND(INDEX(#REF!,A493)="",OR(INDEX(#REF!,A493)&gt;0,INDEX(#REF!,A493)&gt;0,INDEX(#REF!,A493)&gt;0)),$B$154,""),"")</f>
        <v/>
      </c>
      <c r="E493" s="195" t="e">
        <f>SUBSTITUTE(IF(INDEX(#REF!,A493)&gt;IFERROR(INDEX(salaries_other_inst[Max hourly rate],MATCH(INDEX(#REF!,A493),salaries_other_inst[category],0),1),""),$B$153,""),"&lt;&lt;max_hourly_rate&gt;&gt;",TEXT(IFERROR(INDEX(salaries_other_inst[Max hourly rate],MATCH(INDEX(#REF!,A493),salaries_other_inst[category],0),1),""),"€ #"))</f>
        <v>#REF!</v>
      </c>
      <c r="F493" s="195" t="str">
        <f>IFERROR(IF(AND(INDEX(#REF!,A493)&lt;&gt;"",INDEX(#REF!,A493)=0),$B$155,""),"")</f>
        <v/>
      </c>
      <c r="G493" s="195" t="str">
        <f>IFERROR(IF(12*INDEX(#REF!,A493)/INDEX(#REF!,A493)&gt;pers_other_nrhours_year,checks!$A$156,""),"")</f>
        <v/>
      </c>
      <c r="H493" t="e">
        <f>IF(AND(organisation_type="yes",INDEX(#REF!,A389,1)&lt;&gt;"",ISBLANK(INDEX(#REF!,A389,1))),$B$146,"")</f>
        <v>#REF!</v>
      </c>
      <c r="I493" t="e">
        <f>IF(AND(organisation_name="yes",INDEX(#REF!,A493,1)&lt;&gt;"",ISBLANK(INDEX(#REF!,A493,1))),$B$147,"")</f>
        <v>#REF!</v>
      </c>
    </row>
    <row r="494" spans="1:9" hidden="1" outlineLevel="1" x14ac:dyDescent="0.35">
      <c r="A494" s="195">
        <v>79</v>
      </c>
      <c r="B494" s="195" t="str">
        <f t="array" ref="B494">IFERROR(INDEX(personnel_other_inst_21[[#This Row],[Empty lines]:[Name organisation]],1,MATCH(TRUE,LEN(personnel_other_inst_21[[#This Row],[Empty lines]:[Name organisation]])&gt;0,0)),"")</f>
        <v/>
      </c>
      <c r="C494" s="195" t="str">
        <f>IFERROR(IF(AND(LEN(INDEX(#REF!,A494))+LEN(INDEX(#REF!,A494))+LEN(INDEX(#REF!,A494))+LEN(INDEX(#REF!,A494))+LEN(INDEX(#REF!,A494))&gt;0,LEN(INDEX(#REF!,A494-1))++LEN(INDEX(#REF!,A494-1))+LEN(INDEX(#REF!,A494-1))+LEN(INDEX(#REF!,A494-1))+LEN(INDEX(#REF!,A494-1))=0),$B$127,""),"")</f>
        <v/>
      </c>
      <c r="D494" s="195" t="str">
        <f>IFERROR(IF(AND(INDEX(#REF!,A494)="",OR(INDEX(#REF!,A494)&gt;0,INDEX(#REF!,A494)&gt;0,INDEX(#REF!,A494)&gt;0)),$B$154,""),"")</f>
        <v/>
      </c>
      <c r="E494" s="195" t="e">
        <f>SUBSTITUTE(IF(INDEX(#REF!,A494)&gt;IFERROR(INDEX(salaries_other_inst[Max hourly rate],MATCH(INDEX(#REF!,A494),salaries_other_inst[category],0),1),""),$B$153,""),"&lt;&lt;max_hourly_rate&gt;&gt;",TEXT(IFERROR(INDEX(salaries_other_inst[Max hourly rate],MATCH(INDEX(#REF!,A494),salaries_other_inst[category],0),1),""),"€ #"))</f>
        <v>#REF!</v>
      </c>
      <c r="F494" s="195" t="str">
        <f>IFERROR(IF(AND(INDEX(#REF!,A494)&lt;&gt;"",INDEX(#REF!,A494)=0),$B$155,""),"")</f>
        <v/>
      </c>
      <c r="G494" s="195" t="str">
        <f>IFERROR(IF(12*INDEX(#REF!,A494)/INDEX(#REF!,A494)&gt;pers_other_nrhours_year,checks!$A$156,""),"")</f>
        <v/>
      </c>
      <c r="H494" t="e">
        <f>IF(AND(organisation_type="yes",INDEX(#REF!,A390,1)&lt;&gt;"",ISBLANK(INDEX(#REF!,A390,1))),$B$146,"")</f>
        <v>#REF!</v>
      </c>
      <c r="I494" t="e">
        <f>IF(AND(organisation_name="yes",INDEX(#REF!,A494,1)&lt;&gt;"",ISBLANK(INDEX(#REF!,A494,1))),$B$147,"")</f>
        <v>#REF!</v>
      </c>
    </row>
    <row r="495" spans="1:9" hidden="1" outlineLevel="1" x14ac:dyDescent="0.35">
      <c r="A495" s="195">
        <v>80</v>
      </c>
      <c r="B495" s="195" t="str">
        <f t="array" ref="B495">IFERROR(INDEX(personnel_other_inst_21[[#This Row],[Empty lines]:[Name organisation]],1,MATCH(TRUE,LEN(personnel_other_inst_21[[#This Row],[Empty lines]:[Name organisation]])&gt;0,0)),"")</f>
        <v/>
      </c>
      <c r="C495" s="195" t="str">
        <f>IFERROR(IF(AND(LEN(INDEX(#REF!,A495))+LEN(INDEX(#REF!,A495))+LEN(INDEX(#REF!,A495))+LEN(INDEX(#REF!,A495))+LEN(INDEX(#REF!,A495))&gt;0,LEN(INDEX(#REF!,A495-1))++LEN(INDEX(#REF!,A495-1))+LEN(INDEX(#REF!,A495-1))+LEN(INDEX(#REF!,A495-1))+LEN(INDEX(#REF!,A495-1))=0),$B$127,""),"")</f>
        <v/>
      </c>
      <c r="D495" s="195" t="str">
        <f>IFERROR(IF(AND(INDEX(#REF!,A495)="",OR(INDEX(#REF!,A495)&gt;0,INDEX(#REF!,A495)&gt;0,INDEX(#REF!,A495)&gt;0)),$B$154,""),"")</f>
        <v/>
      </c>
      <c r="E495" s="195" t="e">
        <f>SUBSTITUTE(IF(INDEX(#REF!,A495)&gt;IFERROR(INDEX(salaries_other_inst[Max hourly rate],MATCH(INDEX(#REF!,A495),salaries_other_inst[category],0),1),""),$B$153,""),"&lt;&lt;max_hourly_rate&gt;&gt;",TEXT(IFERROR(INDEX(salaries_other_inst[Max hourly rate],MATCH(INDEX(#REF!,A495),salaries_other_inst[category],0),1),""),"€ #"))</f>
        <v>#REF!</v>
      </c>
      <c r="F495" s="195" t="str">
        <f>IFERROR(IF(AND(INDEX(#REF!,A495)&lt;&gt;"",INDEX(#REF!,A495)=0),$B$155,""),"")</f>
        <v/>
      </c>
      <c r="G495" s="195" t="str">
        <f>IFERROR(IF(12*INDEX(#REF!,A495)/INDEX(#REF!,A495)&gt;pers_other_nrhours_year,checks!$A$156,""),"")</f>
        <v/>
      </c>
      <c r="H495" t="e">
        <f>IF(AND(organisation_type="yes",INDEX(#REF!,A391,1)&lt;&gt;"",ISBLANK(INDEX(#REF!,A391,1))),$B$146,"")</f>
        <v>#REF!</v>
      </c>
      <c r="I495" t="e">
        <f>IF(AND(organisation_name="yes",INDEX(#REF!,A495,1)&lt;&gt;"",ISBLANK(INDEX(#REF!,A495,1))),$B$147,"")</f>
        <v>#REF!</v>
      </c>
    </row>
    <row r="496" spans="1:9" hidden="1" outlineLevel="1" x14ac:dyDescent="0.35">
      <c r="A496" s="195">
        <v>81</v>
      </c>
      <c r="B496" s="195" t="str">
        <f t="array" ref="B496">IFERROR(INDEX(personnel_other_inst_21[[#This Row],[Empty lines]:[Name organisation]],1,MATCH(TRUE,LEN(personnel_other_inst_21[[#This Row],[Empty lines]:[Name organisation]])&gt;0,0)),"")</f>
        <v/>
      </c>
      <c r="C496" s="195" t="str">
        <f>IFERROR(IF(AND(LEN(INDEX(#REF!,A496))+LEN(INDEX(#REF!,A496))+LEN(INDEX(#REF!,A496))+LEN(INDEX(#REF!,A496))+LEN(INDEX(#REF!,A496))&gt;0,LEN(INDEX(#REF!,A496-1))++LEN(INDEX(#REF!,A496-1))+LEN(INDEX(#REF!,A496-1))+LEN(INDEX(#REF!,A496-1))+LEN(INDEX(#REF!,A496-1))=0),$B$127,""),"")</f>
        <v/>
      </c>
      <c r="D496" s="195" t="str">
        <f>IFERROR(IF(AND(INDEX(#REF!,A496)="",OR(INDEX(#REF!,A496)&gt;0,INDEX(#REF!,A496)&gt;0,INDEX(#REF!,A496)&gt;0)),$B$154,""),"")</f>
        <v/>
      </c>
      <c r="E496" s="195" t="e">
        <f>SUBSTITUTE(IF(INDEX(#REF!,A496)&gt;IFERROR(INDEX(salaries_other_inst[Max hourly rate],MATCH(INDEX(#REF!,A496),salaries_other_inst[category],0),1),""),$B$153,""),"&lt;&lt;max_hourly_rate&gt;&gt;",TEXT(IFERROR(INDEX(salaries_other_inst[Max hourly rate],MATCH(INDEX(#REF!,A496),salaries_other_inst[category],0),1),""),"€ #"))</f>
        <v>#REF!</v>
      </c>
      <c r="F496" s="195" t="str">
        <f>IFERROR(IF(AND(INDEX(#REF!,A496)&lt;&gt;"",INDEX(#REF!,A496)=0),$B$155,""),"")</f>
        <v/>
      </c>
      <c r="G496" s="195" t="str">
        <f>IFERROR(IF(12*INDEX(#REF!,A496)/INDEX(#REF!,A496)&gt;pers_other_nrhours_year,checks!$A$156,""),"")</f>
        <v/>
      </c>
      <c r="H496" t="e">
        <f>IF(AND(organisation_type="yes",INDEX(#REF!,A392,1)&lt;&gt;"",ISBLANK(INDEX(#REF!,A392,1))),$B$146,"")</f>
        <v>#REF!</v>
      </c>
      <c r="I496" t="e">
        <f>IF(AND(organisation_name="yes",INDEX(#REF!,A496,1)&lt;&gt;"",ISBLANK(INDEX(#REF!,A496,1))),$B$147,"")</f>
        <v>#REF!</v>
      </c>
    </row>
    <row r="497" spans="1:9" hidden="1" outlineLevel="1" x14ac:dyDescent="0.35">
      <c r="A497" s="195">
        <v>82</v>
      </c>
      <c r="B497" s="195" t="str">
        <f t="array" ref="B497">IFERROR(INDEX(personnel_other_inst_21[[#This Row],[Empty lines]:[Name organisation]],1,MATCH(TRUE,LEN(personnel_other_inst_21[[#This Row],[Empty lines]:[Name organisation]])&gt;0,0)),"")</f>
        <v/>
      </c>
      <c r="C497" s="195" t="str">
        <f>IFERROR(IF(AND(LEN(INDEX(#REF!,A497))+LEN(INDEX(#REF!,A497))+LEN(INDEX(#REF!,A497))+LEN(INDEX(#REF!,A497))+LEN(INDEX(#REF!,A497))&gt;0,LEN(INDEX(#REF!,A497-1))++LEN(INDEX(#REF!,A497-1))+LEN(INDEX(#REF!,A497-1))+LEN(INDEX(#REF!,A497-1))+LEN(INDEX(#REF!,A497-1))=0),$B$127,""),"")</f>
        <v/>
      </c>
      <c r="D497" s="195" t="str">
        <f>IFERROR(IF(AND(INDEX(#REF!,A497)="",OR(INDEX(#REF!,A497)&gt;0,INDEX(#REF!,A497)&gt;0,INDEX(#REF!,A497)&gt;0)),$B$154,""),"")</f>
        <v/>
      </c>
      <c r="E497" s="195" t="e">
        <f>SUBSTITUTE(IF(INDEX(#REF!,A497)&gt;IFERROR(INDEX(salaries_other_inst[Max hourly rate],MATCH(INDEX(#REF!,A497),salaries_other_inst[category],0),1),""),$B$153,""),"&lt;&lt;max_hourly_rate&gt;&gt;",TEXT(IFERROR(INDEX(salaries_other_inst[Max hourly rate],MATCH(INDEX(#REF!,A497),salaries_other_inst[category],0),1),""),"€ #"))</f>
        <v>#REF!</v>
      </c>
      <c r="F497" s="195" t="str">
        <f>IFERROR(IF(AND(INDEX(#REF!,A497)&lt;&gt;"",INDEX(#REF!,A497)=0),$B$155,""),"")</f>
        <v/>
      </c>
      <c r="G497" s="195" t="str">
        <f>IFERROR(IF(12*INDEX(#REF!,A497)/INDEX(#REF!,A497)&gt;pers_other_nrhours_year,checks!$A$156,""),"")</f>
        <v/>
      </c>
      <c r="H497" t="e">
        <f>IF(AND(organisation_type="yes",INDEX(#REF!,A393,1)&lt;&gt;"",ISBLANK(INDEX(#REF!,A393,1))),$B$146,"")</f>
        <v>#REF!</v>
      </c>
      <c r="I497" t="e">
        <f>IF(AND(organisation_name="yes",INDEX(#REF!,A497,1)&lt;&gt;"",ISBLANK(INDEX(#REF!,A497,1))),$B$147,"")</f>
        <v>#REF!</v>
      </c>
    </row>
    <row r="498" spans="1:9" hidden="1" outlineLevel="1" x14ac:dyDescent="0.35">
      <c r="A498" s="195">
        <v>83</v>
      </c>
      <c r="B498" s="195" t="str">
        <f t="array" ref="B498">IFERROR(INDEX(personnel_other_inst_21[[#This Row],[Empty lines]:[Name organisation]],1,MATCH(TRUE,LEN(personnel_other_inst_21[[#This Row],[Empty lines]:[Name organisation]])&gt;0,0)),"")</f>
        <v/>
      </c>
      <c r="C498" s="195" t="str">
        <f>IFERROR(IF(AND(LEN(INDEX(#REF!,A498))+LEN(INDEX(#REF!,A498))+LEN(INDEX(#REF!,A498))+LEN(INDEX(#REF!,A498))+LEN(INDEX(#REF!,A498))&gt;0,LEN(INDEX(#REF!,A498-1))++LEN(INDEX(#REF!,A498-1))+LEN(INDEX(#REF!,A498-1))+LEN(INDEX(#REF!,A498-1))+LEN(INDEX(#REF!,A498-1))=0),$B$127,""),"")</f>
        <v/>
      </c>
      <c r="D498" s="195" t="str">
        <f>IFERROR(IF(AND(INDEX(#REF!,A498)="",OR(INDEX(#REF!,A498)&gt;0,INDEX(#REF!,A498)&gt;0,INDEX(#REF!,A498)&gt;0)),$B$154,""),"")</f>
        <v/>
      </c>
      <c r="E498" s="195" t="e">
        <f>SUBSTITUTE(IF(INDEX(#REF!,A498)&gt;IFERROR(INDEX(salaries_other_inst[Max hourly rate],MATCH(INDEX(#REF!,A498),salaries_other_inst[category],0),1),""),$B$153,""),"&lt;&lt;max_hourly_rate&gt;&gt;",TEXT(IFERROR(INDEX(salaries_other_inst[Max hourly rate],MATCH(INDEX(#REF!,A498),salaries_other_inst[category],0),1),""),"€ #"))</f>
        <v>#REF!</v>
      </c>
      <c r="F498" s="195" t="str">
        <f>IFERROR(IF(AND(INDEX(#REF!,A498)&lt;&gt;"",INDEX(#REF!,A498)=0),$B$155,""),"")</f>
        <v/>
      </c>
      <c r="G498" s="195" t="str">
        <f>IFERROR(IF(12*INDEX(#REF!,A498)/INDEX(#REF!,A498)&gt;pers_other_nrhours_year,checks!$A$156,""),"")</f>
        <v/>
      </c>
      <c r="H498" t="e">
        <f>IF(AND(organisation_type="yes",INDEX(#REF!,A394,1)&lt;&gt;"",ISBLANK(INDEX(#REF!,A394,1))),$B$146,"")</f>
        <v>#REF!</v>
      </c>
      <c r="I498" t="e">
        <f>IF(AND(organisation_name="yes",INDEX(#REF!,A498,1)&lt;&gt;"",ISBLANK(INDEX(#REF!,A498,1))),$B$147,"")</f>
        <v>#REF!</v>
      </c>
    </row>
    <row r="499" spans="1:9" hidden="1" outlineLevel="1" x14ac:dyDescent="0.35">
      <c r="A499" s="195">
        <v>84</v>
      </c>
      <c r="B499" s="195" t="str">
        <f t="array" ref="B499">IFERROR(INDEX(personnel_other_inst_21[[#This Row],[Empty lines]:[Name organisation]],1,MATCH(TRUE,LEN(personnel_other_inst_21[[#This Row],[Empty lines]:[Name organisation]])&gt;0,0)),"")</f>
        <v/>
      </c>
      <c r="C499" s="195" t="str">
        <f>IFERROR(IF(AND(LEN(INDEX(#REF!,A499))+LEN(INDEX(#REF!,A499))+LEN(INDEX(#REF!,A499))+LEN(INDEX(#REF!,A499))+LEN(INDEX(#REF!,A499))&gt;0,LEN(INDEX(#REF!,A499-1))++LEN(INDEX(#REF!,A499-1))+LEN(INDEX(#REF!,A499-1))+LEN(INDEX(#REF!,A499-1))+LEN(INDEX(#REF!,A499-1))=0),$B$127,""),"")</f>
        <v/>
      </c>
      <c r="D499" s="195" t="str">
        <f>IFERROR(IF(AND(INDEX(#REF!,A499)="",OR(INDEX(#REF!,A499)&gt;0,INDEX(#REF!,A499)&gt;0,INDEX(#REF!,A499)&gt;0)),$B$154,""),"")</f>
        <v/>
      </c>
      <c r="E499" s="195" t="e">
        <f>SUBSTITUTE(IF(INDEX(#REF!,A499)&gt;IFERROR(INDEX(salaries_other_inst[Max hourly rate],MATCH(INDEX(#REF!,A499),salaries_other_inst[category],0),1),""),$B$153,""),"&lt;&lt;max_hourly_rate&gt;&gt;",TEXT(IFERROR(INDEX(salaries_other_inst[Max hourly rate],MATCH(INDEX(#REF!,A499),salaries_other_inst[category],0),1),""),"€ #"))</f>
        <v>#REF!</v>
      </c>
      <c r="F499" s="195" t="str">
        <f>IFERROR(IF(AND(INDEX(#REF!,A499)&lt;&gt;"",INDEX(#REF!,A499)=0),$B$155,""),"")</f>
        <v/>
      </c>
      <c r="G499" s="195" t="str">
        <f>IFERROR(IF(12*INDEX(#REF!,A499)/INDEX(#REF!,A499)&gt;pers_other_nrhours_year,checks!$A$156,""),"")</f>
        <v/>
      </c>
      <c r="H499" t="e">
        <f>IF(AND(organisation_type="yes",INDEX(#REF!,A395,1)&lt;&gt;"",ISBLANK(INDEX(#REF!,A395,1))),$B$146,"")</f>
        <v>#REF!</v>
      </c>
      <c r="I499" t="e">
        <f>IF(AND(organisation_name="yes",INDEX(#REF!,A499,1)&lt;&gt;"",ISBLANK(INDEX(#REF!,A499,1))),$B$147,"")</f>
        <v>#REF!</v>
      </c>
    </row>
    <row r="500" spans="1:9" hidden="1" outlineLevel="1" x14ac:dyDescent="0.35">
      <c r="A500" s="195">
        <v>85</v>
      </c>
      <c r="B500" s="195" t="str">
        <f t="array" ref="B500">IFERROR(INDEX(personnel_other_inst_21[[#This Row],[Empty lines]:[Name organisation]],1,MATCH(TRUE,LEN(personnel_other_inst_21[[#This Row],[Empty lines]:[Name organisation]])&gt;0,0)),"")</f>
        <v/>
      </c>
      <c r="C500" s="195" t="str">
        <f>IFERROR(IF(AND(LEN(INDEX(#REF!,A500))+LEN(INDEX(#REF!,A500))+LEN(INDEX(#REF!,A500))+LEN(INDEX(#REF!,A500))+LEN(INDEX(#REF!,A500))&gt;0,LEN(INDEX(#REF!,A500-1))++LEN(INDEX(#REF!,A500-1))+LEN(INDEX(#REF!,A500-1))+LEN(INDEX(#REF!,A500-1))+LEN(INDEX(#REF!,A500-1))=0),$B$127,""),"")</f>
        <v/>
      </c>
      <c r="D500" s="195" t="str">
        <f>IFERROR(IF(AND(INDEX(#REF!,A500)="",OR(INDEX(#REF!,A500)&gt;0,INDEX(#REF!,A500)&gt;0,INDEX(#REF!,A500)&gt;0)),$B$154,""),"")</f>
        <v/>
      </c>
      <c r="E500" s="195" t="e">
        <f>SUBSTITUTE(IF(INDEX(#REF!,A500)&gt;IFERROR(INDEX(salaries_other_inst[Max hourly rate],MATCH(INDEX(#REF!,A500),salaries_other_inst[category],0),1),""),$B$153,""),"&lt;&lt;max_hourly_rate&gt;&gt;",TEXT(IFERROR(INDEX(salaries_other_inst[Max hourly rate],MATCH(INDEX(#REF!,A500),salaries_other_inst[category],0),1),""),"€ #"))</f>
        <v>#REF!</v>
      </c>
      <c r="F500" s="195" t="str">
        <f>IFERROR(IF(AND(INDEX(#REF!,A500)&lt;&gt;"",INDEX(#REF!,A500)=0),$B$155,""),"")</f>
        <v/>
      </c>
      <c r="G500" s="195" t="str">
        <f>IFERROR(IF(12*INDEX(#REF!,A500)/INDEX(#REF!,A500)&gt;pers_other_nrhours_year,checks!$A$156,""),"")</f>
        <v/>
      </c>
      <c r="H500" t="e">
        <f>IF(AND(organisation_type="yes",INDEX(#REF!,A396,1)&lt;&gt;"",ISBLANK(INDEX(#REF!,A396,1))),$B$146,"")</f>
        <v>#REF!</v>
      </c>
      <c r="I500" t="e">
        <f>IF(AND(organisation_name="yes",INDEX(#REF!,A500,1)&lt;&gt;"",ISBLANK(INDEX(#REF!,A500,1))),$B$147,"")</f>
        <v>#REF!</v>
      </c>
    </row>
    <row r="501" spans="1:9" hidden="1" outlineLevel="1" x14ac:dyDescent="0.35">
      <c r="A501" s="195">
        <v>86</v>
      </c>
      <c r="B501" s="195" t="str">
        <f t="array" ref="B501">IFERROR(INDEX(personnel_other_inst_21[[#This Row],[Empty lines]:[Name organisation]],1,MATCH(TRUE,LEN(personnel_other_inst_21[[#This Row],[Empty lines]:[Name organisation]])&gt;0,0)),"")</f>
        <v/>
      </c>
      <c r="C501" s="195" t="str">
        <f>IFERROR(IF(AND(LEN(INDEX(#REF!,A501))+LEN(INDEX(#REF!,A501))+LEN(INDEX(#REF!,A501))+LEN(INDEX(#REF!,A501))+LEN(INDEX(#REF!,A501))&gt;0,LEN(INDEX(#REF!,A501-1))++LEN(INDEX(#REF!,A501-1))+LEN(INDEX(#REF!,A501-1))+LEN(INDEX(#REF!,A501-1))+LEN(INDEX(#REF!,A501-1))=0),$B$127,""),"")</f>
        <v/>
      </c>
      <c r="D501" s="195" t="str">
        <f>IFERROR(IF(AND(INDEX(#REF!,A501)="",OR(INDEX(#REF!,A501)&gt;0,INDEX(#REF!,A501)&gt;0,INDEX(#REF!,A501)&gt;0)),$B$154,""),"")</f>
        <v/>
      </c>
      <c r="E501" s="195" t="e">
        <f>SUBSTITUTE(IF(INDEX(#REF!,A501)&gt;IFERROR(INDEX(salaries_other_inst[Max hourly rate],MATCH(INDEX(#REF!,A501),salaries_other_inst[category],0),1),""),$B$153,""),"&lt;&lt;max_hourly_rate&gt;&gt;",TEXT(IFERROR(INDEX(salaries_other_inst[Max hourly rate],MATCH(INDEX(#REF!,A501),salaries_other_inst[category],0),1),""),"€ #"))</f>
        <v>#REF!</v>
      </c>
      <c r="F501" s="195" t="str">
        <f>IFERROR(IF(AND(INDEX(#REF!,A501)&lt;&gt;"",INDEX(#REF!,A501)=0),$B$155,""),"")</f>
        <v/>
      </c>
      <c r="G501" s="195" t="str">
        <f>IFERROR(IF(12*INDEX(#REF!,A501)/INDEX(#REF!,A501)&gt;pers_other_nrhours_year,checks!$A$156,""),"")</f>
        <v/>
      </c>
      <c r="H501" t="e">
        <f>IF(AND(organisation_type="yes",INDEX(#REF!,A397,1)&lt;&gt;"",ISBLANK(INDEX(#REF!,A397,1))),$B$146,"")</f>
        <v>#REF!</v>
      </c>
      <c r="I501" t="e">
        <f>IF(AND(organisation_name="yes",INDEX(#REF!,A501,1)&lt;&gt;"",ISBLANK(INDEX(#REF!,A501,1))),$B$147,"")</f>
        <v>#REF!</v>
      </c>
    </row>
    <row r="502" spans="1:9" hidden="1" outlineLevel="1" x14ac:dyDescent="0.35">
      <c r="A502" s="195">
        <v>87</v>
      </c>
      <c r="B502" s="195" t="str">
        <f t="array" ref="B502">IFERROR(INDEX(personnel_other_inst_21[[#This Row],[Empty lines]:[Name organisation]],1,MATCH(TRUE,LEN(personnel_other_inst_21[[#This Row],[Empty lines]:[Name organisation]])&gt;0,0)),"")</f>
        <v/>
      </c>
      <c r="C502" s="195" t="str">
        <f>IFERROR(IF(AND(LEN(INDEX(#REF!,A502))+LEN(INDEX(#REF!,A502))+LEN(INDEX(#REF!,A502))+LEN(INDEX(#REF!,A502))+LEN(INDEX(#REF!,A502))&gt;0,LEN(INDEX(#REF!,A502-1))++LEN(INDEX(#REF!,A502-1))+LEN(INDEX(#REF!,A502-1))+LEN(INDEX(#REF!,A502-1))+LEN(INDEX(#REF!,A502-1))=0),$B$127,""),"")</f>
        <v/>
      </c>
      <c r="D502" s="195" t="str">
        <f>IFERROR(IF(AND(INDEX(#REF!,A502)="",OR(INDEX(#REF!,A502)&gt;0,INDEX(#REF!,A502)&gt;0,INDEX(#REF!,A502)&gt;0)),$B$154,""),"")</f>
        <v/>
      </c>
      <c r="E502" s="195" t="e">
        <f>SUBSTITUTE(IF(INDEX(#REF!,A502)&gt;IFERROR(INDEX(salaries_other_inst[Max hourly rate],MATCH(INDEX(#REF!,A502),salaries_other_inst[category],0),1),""),$B$153,""),"&lt;&lt;max_hourly_rate&gt;&gt;",TEXT(IFERROR(INDEX(salaries_other_inst[Max hourly rate],MATCH(INDEX(#REF!,A502),salaries_other_inst[category],0),1),""),"€ #"))</f>
        <v>#REF!</v>
      </c>
      <c r="F502" s="195" t="str">
        <f>IFERROR(IF(AND(INDEX(#REF!,A502)&lt;&gt;"",INDEX(#REF!,A502)=0),$B$155,""),"")</f>
        <v/>
      </c>
      <c r="G502" s="195" t="str">
        <f>IFERROR(IF(12*INDEX(#REF!,A502)/INDEX(#REF!,A502)&gt;pers_other_nrhours_year,checks!$A$156,""),"")</f>
        <v/>
      </c>
      <c r="H502" t="e">
        <f>IF(AND(organisation_type="yes",INDEX(#REF!,A398,1)&lt;&gt;"",ISBLANK(INDEX(#REF!,A398,1))),$B$146,"")</f>
        <v>#REF!</v>
      </c>
      <c r="I502" t="e">
        <f>IF(AND(organisation_name="yes",INDEX(#REF!,A502,1)&lt;&gt;"",ISBLANK(INDEX(#REF!,A502,1))),$B$147,"")</f>
        <v>#REF!</v>
      </c>
    </row>
    <row r="503" spans="1:9" hidden="1" outlineLevel="1" x14ac:dyDescent="0.35">
      <c r="A503" s="195">
        <v>88</v>
      </c>
      <c r="B503" s="195" t="str">
        <f t="array" ref="B503">IFERROR(INDEX(personnel_other_inst_21[[#This Row],[Empty lines]:[Name organisation]],1,MATCH(TRUE,LEN(personnel_other_inst_21[[#This Row],[Empty lines]:[Name organisation]])&gt;0,0)),"")</f>
        <v/>
      </c>
      <c r="C503" s="195" t="str">
        <f>IFERROR(IF(AND(LEN(INDEX(#REF!,A503))+LEN(INDEX(#REF!,A503))+LEN(INDEX(#REF!,A503))+LEN(INDEX(#REF!,A503))+LEN(INDEX(#REF!,A503))&gt;0,LEN(INDEX(#REF!,A503-1))++LEN(INDEX(#REF!,A503-1))+LEN(INDEX(#REF!,A503-1))+LEN(INDEX(#REF!,A503-1))+LEN(INDEX(#REF!,A503-1))=0),$B$127,""),"")</f>
        <v/>
      </c>
      <c r="D503" s="195" t="str">
        <f>IFERROR(IF(AND(INDEX(#REF!,A503)="",OR(INDEX(#REF!,A503)&gt;0,INDEX(#REF!,A503)&gt;0,INDEX(#REF!,A503)&gt;0)),$B$154,""),"")</f>
        <v/>
      </c>
      <c r="E503" s="195" t="e">
        <f>SUBSTITUTE(IF(INDEX(#REF!,A503)&gt;IFERROR(INDEX(salaries_other_inst[Max hourly rate],MATCH(INDEX(#REF!,A503),salaries_other_inst[category],0),1),""),$B$153,""),"&lt;&lt;max_hourly_rate&gt;&gt;",TEXT(IFERROR(INDEX(salaries_other_inst[Max hourly rate],MATCH(INDEX(#REF!,A503),salaries_other_inst[category],0),1),""),"€ #"))</f>
        <v>#REF!</v>
      </c>
      <c r="F503" s="195" t="str">
        <f>IFERROR(IF(AND(INDEX(#REF!,A503)&lt;&gt;"",INDEX(#REF!,A503)=0),$B$155,""),"")</f>
        <v/>
      </c>
      <c r="G503" s="195" t="str">
        <f>IFERROR(IF(12*INDEX(#REF!,A503)/INDEX(#REF!,A503)&gt;pers_other_nrhours_year,checks!$A$156,""),"")</f>
        <v/>
      </c>
      <c r="H503" t="e">
        <f>IF(AND(organisation_type="yes",INDEX(#REF!,A399,1)&lt;&gt;"",ISBLANK(INDEX(#REF!,A399,1))),$B$146,"")</f>
        <v>#REF!</v>
      </c>
      <c r="I503" t="e">
        <f>IF(AND(organisation_name="yes",INDEX(#REF!,A503,1)&lt;&gt;"",ISBLANK(INDEX(#REF!,A503,1))),$B$147,"")</f>
        <v>#REF!</v>
      </c>
    </row>
    <row r="504" spans="1:9" hidden="1" outlineLevel="1" x14ac:dyDescent="0.35">
      <c r="A504" s="195">
        <v>89</v>
      </c>
      <c r="B504" s="195" t="str">
        <f t="array" ref="B504">IFERROR(INDEX(personnel_other_inst_21[[#This Row],[Empty lines]:[Name organisation]],1,MATCH(TRUE,LEN(personnel_other_inst_21[[#This Row],[Empty lines]:[Name organisation]])&gt;0,0)),"")</f>
        <v/>
      </c>
      <c r="C504" s="195" t="str">
        <f>IFERROR(IF(AND(LEN(INDEX(#REF!,A504))+LEN(INDEX(#REF!,A504))+LEN(INDEX(#REF!,A504))+LEN(INDEX(#REF!,A504))+LEN(INDEX(#REF!,A504))&gt;0,LEN(INDEX(#REF!,A504-1))++LEN(INDEX(#REF!,A504-1))+LEN(INDEX(#REF!,A504-1))+LEN(INDEX(#REF!,A504-1))+LEN(INDEX(#REF!,A504-1))=0),$B$127,""),"")</f>
        <v/>
      </c>
      <c r="D504" s="195" t="str">
        <f>IFERROR(IF(AND(INDEX(#REF!,A504)="",OR(INDEX(#REF!,A504)&gt;0,INDEX(#REF!,A504)&gt;0,INDEX(#REF!,A504)&gt;0)),$B$154,""),"")</f>
        <v/>
      </c>
      <c r="E504" s="195" t="e">
        <f>SUBSTITUTE(IF(INDEX(#REF!,A504)&gt;IFERROR(INDEX(salaries_other_inst[Max hourly rate],MATCH(INDEX(#REF!,A504),salaries_other_inst[category],0),1),""),$B$153,""),"&lt;&lt;max_hourly_rate&gt;&gt;",TEXT(IFERROR(INDEX(salaries_other_inst[Max hourly rate],MATCH(INDEX(#REF!,A504),salaries_other_inst[category],0),1),""),"€ #"))</f>
        <v>#REF!</v>
      </c>
      <c r="F504" s="195" t="str">
        <f>IFERROR(IF(AND(INDEX(#REF!,A504)&lt;&gt;"",INDEX(#REF!,A504)=0),$B$155,""),"")</f>
        <v/>
      </c>
      <c r="G504" s="195" t="str">
        <f>IFERROR(IF(12*INDEX(#REF!,A504)/INDEX(#REF!,A504)&gt;pers_other_nrhours_year,checks!$A$156,""),"")</f>
        <v/>
      </c>
      <c r="H504" t="e">
        <f>IF(AND(organisation_type="yes",INDEX(#REF!,A400,1)&lt;&gt;"",ISBLANK(INDEX(#REF!,A400,1))),$B$146,"")</f>
        <v>#REF!</v>
      </c>
      <c r="I504" t="e">
        <f>IF(AND(organisation_name="yes",INDEX(#REF!,A504,1)&lt;&gt;"",ISBLANK(INDEX(#REF!,A504,1))),$B$147,"")</f>
        <v>#REF!</v>
      </c>
    </row>
    <row r="505" spans="1:9" hidden="1" outlineLevel="1" x14ac:dyDescent="0.35">
      <c r="A505" s="195">
        <v>90</v>
      </c>
      <c r="B505" s="195" t="str">
        <f t="array" ref="B505">IFERROR(INDEX(personnel_other_inst_21[[#This Row],[Empty lines]:[Name organisation]],1,MATCH(TRUE,LEN(personnel_other_inst_21[[#This Row],[Empty lines]:[Name organisation]])&gt;0,0)),"")</f>
        <v/>
      </c>
      <c r="C505" s="195" t="str">
        <f>IFERROR(IF(AND(LEN(INDEX(#REF!,A505))+LEN(INDEX(#REF!,A505))+LEN(INDEX(#REF!,A505))+LEN(INDEX(#REF!,A505))+LEN(INDEX(#REF!,A505))&gt;0,LEN(INDEX(#REF!,A505-1))++LEN(INDEX(#REF!,A505-1))+LEN(INDEX(#REF!,A505-1))+LEN(INDEX(#REF!,A505-1))+LEN(INDEX(#REF!,A505-1))=0),$B$127,""),"")</f>
        <v/>
      </c>
      <c r="D505" s="195" t="str">
        <f>IFERROR(IF(AND(INDEX(#REF!,A505)="",OR(INDEX(#REF!,A505)&gt;0,INDEX(#REF!,A505)&gt;0,INDEX(#REF!,A505)&gt;0)),$B$154,""),"")</f>
        <v/>
      </c>
      <c r="E505" s="195" t="e">
        <f>SUBSTITUTE(IF(INDEX(#REF!,A505)&gt;IFERROR(INDEX(salaries_other_inst[Max hourly rate],MATCH(INDEX(#REF!,A505),salaries_other_inst[category],0),1),""),$B$153,""),"&lt;&lt;max_hourly_rate&gt;&gt;",TEXT(IFERROR(INDEX(salaries_other_inst[Max hourly rate],MATCH(INDEX(#REF!,A505),salaries_other_inst[category],0),1),""),"€ #"))</f>
        <v>#REF!</v>
      </c>
      <c r="F505" s="195" t="str">
        <f>IFERROR(IF(AND(INDEX(#REF!,A505)&lt;&gt;"",INDEX(#REF!,A505)=0),$B$155,""),"")</f>
        <v/>
      </c>
      <c r="G505" s="195" t="str">
        <f>IFERROR(IF(12*INDEX(#REF!,A505)/INDEX(#REF!,A505)&gt;pers_other_nrhours_year,checks!$A$156,""),"")</f>
        <v/>
      </c>
      <c r="H505" t="e">
        <f>IF(AND(organisation_type="yes",INDEX(#REF!,A401,1)&lt;&gt;"",ISBLANK(INDEX(#REF!,A401,1))),$B$146,"")</f>
        <v>#REF!</v>
      </c>
      <c r="I505" t="e">
        <f>IF(AND(organisation_name="yes",INDEX(#REF!,A505,1)&lt;&gt;"",ISBLANK(INDEX(#REF!,A505,1))),$B$147,"")</f>
        <v>#REF!</v>
      </c>
    </row>
    <row r="506" spans="1:9" hidden="1" outlineLevel="1" x14ac:dyDescent="0.35">
      <c r="A506" s="195">
        <v>91</v>
      </c>
      <c r="B506" s="195" t="str">
        <f t="array" ref="B506">IFERROR(INDEX(personnel_other_inst_21[[#This Row],[Empty lines]:[Name organisation]],1,MATCH(TRUE,LEN(personnel_other_inst_21[[#This Row],[Empty lines]:[Name organisation]])&gt;0,0)),"")</f>
        <v/>
      </c>
      <c r="C506" s="195" t="str">
        <f>IFERROR(IF(AND(LEN(INDEX(#REF!,A506))+LEN(INDEX(#REF!,A506))+LEN(INDEX(#REF!,A506))+LEN(INDEX(#REF!,A506))+LEN(INDEX(#REF!,A506))&gt;0,LEN(INDEX(#REF!,A506-1))++LEN(INDEX(#REF!,A506-1))+LEN(INDEX(#REF!,A506-1))+LEN(INDEX(#REF!,A506-1))+LEN(INDEX(#REF!,A506-1))=0),$B$127,""),"")</f>
        <v/>
      </c>
      <c r="D506" s="195" t="str">
        <f>IFERROR(IF(AND(INDEX(#REF!,A506)="",OR(INDEX(#REF!,A506)&gt;0,INDEX(#REF!,A506)&gt;0,INDEX(#REF!,A506)&gt;0)),$B$154,""),"")</f>
        <v/>
      </c>
      <c r="E506" s="195" t="e">
        <f>SUBSTITUTE(IF(INDEX(#REF!,A506)&gt;IFERROR(INDEX(salaries_other_inst[Max hourly rate],MATCH(INDEX(#REF!,A506),salaries_other_inst[category],0),1),""),$B$153,""),"&lt;&lt;max_hourly_rate&gt;&gt;",TEXT(IFERROR(INDEX(salaries_other_inst[Max hourly rate],MATCH(INDEX(#REF!,A506),salaries_other_inst[category],0),1),""),"€ #"))</f>
        <v>#REF!</v>
      </c>
      <c r="F506" s="195" t="str">
        <f>IFERROR(IF(AND(INDEX(#REF!,A506)&lt;&gt;"",INDEX(#REF!,A506)=0),$B$155,""),"")</f>
        <v/>
      </c>
      <c r="G506" s="195" t="str">
        <f>IFERROR(IF(12*INDEX(#REF!,A506)/INDEX(#REF!,A506)&gt;pers_other_nrhours_year,checks!$A$156,""),"")</f>
        <v/>
      </c>
      <c r="H506" t="e">
        <f>IF(AND(organisation_type="yes",INDEX(#REF!,A402,1)&lt;&gt;"",ISBLANK(INDEX(#REF!,A402,1))),$B$146,"")</f>
        <v>#REF!</v>
      </c>
      <c r="I506" t="e">
        <f>IF(AND(organisation_name="yes",INDEX(#REF!,A506,1)&lt;&gt;"",ISBLANK(INDEX(#REF!,A506,1))),$B$147,"")</f>
        <v>#REF!</v>
      </c>
    </row>
    <row r="507" spans="1:9" hidden="1" outlineLevel="1" x14ac:dyDescent="0.35">
      <c r="A507" s="195">
        <v>92</v>
      </c>
      <c r="B507" s="195" t="str">
        <f t="array" ref="B507">IFERROR(INDEX(personnel_other_inst_21[[#This Row],[Empty lines]:[Name organisation]],1,MATCH(TRUE,LEN(personnel_other_inst_21[[#This Row],[Empty lines]:[Name organisation]])&gt;0,0)),"")</f>
        <v/>
      </c>
      <c r="C507" s="195" t="str">
        <f>IFERROR(IF(AND(LEN(INDEX(#REF!,A507))+LEN(INDEX(#REF!,A507))+LEN(INDEX(#REF!,A507))+LEN(INDEX(#REF!,A507))+LEN(INDEX(#REF!,A507))&gt;0,LEN(INDEX(#REF!,A507-1))++LEN(INDEX(#REF!,A507-1))+LEN(INDEX(#REF!,A507-1))+LEN(INDEX(#REF!,A507-1))+LEN(INDEX(#REF!,A507-1))=0),$B$127,""),"")</f>
        <v/>
      </c>
      <c r="D507" s="195" t="str">
        <f>IFERROR(IF(AND(INDEX(#REF!,A507)="",OR(INDEX(#REF!,A507)&gt;0,INDEX(#REF!,A507)&gt;0,INDEX(#REF!,A507)&gt;0)),$B$154,""),"")</f>
        <v/>
      </c>
      <c r="E507" s="195" t="e">
        <f>SUBSTITUTE(IF(INDEX(#REF!,A507)&gt;IFERROR(INDEX(salaries_other_inst[Max hourly rate],MATCH(INDEX(#REF!,A507),salaries_other_inst[category],0),1),""),$B$153,""),"&lt;&lt;max_hourly_rate&gt;&gt;",TEXT(IFERROR(INDEX(salaries_other_inst[Max hourly rate],MATCH(INDEX(#REF!,A507),salaries_other_inst[category],0),1),""),"€ #"))</f>
        <v>#REF!</v>
      </c>
      <c r="F507" s="195" t="str">
        <f>IFERROR(IF(AND(INDEX(#REF!,A507)&lt;&gt;"",INDEX(#REF!,A507)=0),$B$155,""),"")</f>
        <v/>
      </c>
      <c r="G507" s="195" t="str">
        <f>IFERROR(IF(12*INDEX(#REF!,A507)/INDEX(#REF!,A507)&gt;pers_other_nrhours_year,checks!$A$156,""),"")</f>
        <v/>
      </c>
      <c r="H507" t="e">
        <f>IF(AND(organisation_type="yes",INDEX(#REF!,A403,1)&lt;&gt;"",ISBLANK(INDEX(#REF!,A403,1))),$B$146,"")</f>
        <v>#REF!</v>
      </c>
      <c r="I507" t="e">
        <f>IF(AND(organisation_name="yes",INDEX(#REF!,A507,1)&lt;&gt;"",ISBLANK(INDEX(#REF!,A507,1))),$B$147,"")</f>
        <v>#REF!</v>
      </c>
    </row>
    <row r="508" spans="1:9" hidden="1" outlineLevel="1" x14ac:dyDescent="0.35">
      <c r="A508" s="195">
        <v>93</v>
      </c>
      <c r="B508" s="195" t="str">
        <f t="array" ref="B508">IFERROR(INDEX(personnel_other_inst_21[[#This Row],[Empty lines]:[Name organisation]],1,MATCH(TRUE,LEN(personnel_other_inst_21[[#This Row],[Empty lines]:[Name organisation]])&gt;0,0)),"")</f>
        <v/>
      </c>
      <c r="C508" s="195" t="str">
        <f>IFERROR(IF(AND(LEN(INDEX(#REF!,A508))+LEN(INDEX(#REF!,A508))+LEN(INDEX(#REF!,A508))+LEN(INDEX(#REF!,A508))+LEN(INDEX(#REF!,A508))&gt;0,LEN(INDEX(#REF!,A508-1))++LEN(INDEX(#REF!,A508-1))+LEN(INDEX(#REF!,A508-1))+LEN(INDEX(#REF!,A508-1))+LEN(INDEX(#REF!,A508-1))=0),$B$127,""),"")</f>
        <v/>
      </c>
      <c r="D508" s="195" t="str">
        <f>IFERROR(IF(AND(INDEX(#REF!,A508)="",OR(INDEX(#REF!,A508)&gt;0,INDEX(#REF!,A508)&gt;0,INDEX(#REF!,A508)&gt;0)),$B$154,""),"")</f>
        <v/>
      </c>
      <c r="E508" s="195" t="e">
        <f>SUBSTITUTE(IF(INDEX(#REF!,A508)&gt;IFERROR(INDEX(salaries_other_inst[Max hourly rate],MATCH(INDEX(#REF!,A508),salaries_other_inst[category],0),1),""),$B$153,""),"&lt;&lt;max_hourly_rate&gt;&gt;",TEXT(IFERROR(INDEX(salaries_other_inst[Max hourly rate],MATCH(INDEX(#REF!,A508),salaries_other_inst[category],0),1),""),"€ #"))</f>
        <v>#REF!</v>
      </c>
      <c r="F508" s="195" t="str">
        <f>IFERROR(IF(AND(INDEX(#REF!,A508)&lt;&gt;"",INDEX(#REF!,A508)=0),$B$155,""),"")</f>
        <v/>
      </c>
      <c r="G508" s="195" t="str">
        <f>IFERROR(IF(12*INDEX(#REF!,A508)/INDEX(#REF!,A508)&gt;pers_other_nrhours_year,checks!$A$156,""),"")</f>
        <v/>
      </c>
      <c r="H508" t="e">
        <f>IF(AND(organisation_type="yes",INDEX(#REF!,A404,1)&lt;&gt;"",ISBLANK(INDEX(#REF!,A404,1))),$B$146,"")</f>
        <v>#REF!</v>
      </c>
      <c r="I508" t="e">
        <f>IF(AND(organisation_name="yes",INDEX(#REF!,A508,1)&lt;&gt;"",ISBLANK(INDEX(#REF!,A508,1))),$B$147,"")</f>
        <v>#REF!</v>
      </c>
    </row>
    <row r="509" spans="1:9" hidden="1" outlineLevel="1" x14ac:dyDescent="0.35">
      <c r="A509" s="195">
        <v>94</v>
      </c>
      <c r="B509" s="195" t="str">
        <f t="array" ref="B509">IFERROR(INDEX(personnel_other_inst_21[[#This Row],[Empty lines]:[Name organisation]],1,MATCH(TRUE,LEN(personnel_other_inst_21[[#This Row],[Empty lines]:[Name organisation]])&gt;0,0)),"")</f>
        <v/>
      </c>
      <c r="C509" s="195" t="str">
        <f>IFERROR(IF(AND(LEN(INDEX(#REF!,A509))+LEN(INDEX(#REF!,A509))+LEN(INDEX(#REF!,A509))+LEN(INDEX(#REF!,A509))+LEN(INDEX(#REF!,A509))&gt;0,LEN(INDEX(#REF!,A509-1))++LEN(INDEX(#REF!,A509-1))+LEN(INDEX(#REF!,A509-1))+LEN(INDEX(#REF!,A509-1))+LEN(INDEX(#REF!,A509-1))=0),$B$127,""),"")</f>
        <v/>
      </c>
      <c r="D509" s="195" t="str">
        <f>IFERROR(IF(AND(INDEX(#REF!,A509)="",OR(INDEX(#REF!,A509)&gt;0,INDEX(#REF!,A509)&gt;0,INDEX(#REF!,A509)&gt;0)),$B$154,""),"")</f>
        <v/>
      </c>
      <c r="E509" s="195" t="e">
        <f>SUBSTITUTE(IF(INDEX(#REF!,A509)&gt;IFERROR(INDEX(salaries_other_inst[Max hourly rate],MATCH(INDEX(#REF!,A509),salaries_other_inst[category],0),1),""),$B$153,""),"&lt;&lt;max_hourly_rate&gt;&gt;",TEXT(IFERROR(INDEX(salaries_other_inst[Max hourly rate],MATCH(INDEX(#REF!,A509),salaries_other_inst[category],0),1),""),"€ #"))</f>
        <v>#REF!</v>
      </c>
      <c r="F509" s="195" t="str">
        <f>IFERROR(IF(AND(INDEX(#REF!,A509)&lt;&gt;"",INDEX(#REF!,A509)=0),$B$155,""),"")</f>
        <v/>
      </c>
      <c r="G509" s="195" t="str">
        <f>IFERROR(IF(12*INDEX(#REF!,A509)/INDEX(#REF!,A509)&gt;pers_other_nrhours_year,checks!$A$156,""),"")</f>
        <v/>
      </c>
      <c r="H509" t="e">
        <f>IF(AND(organisation_type="yes",INDEX(#REF!,A405,1)&lt;&gt;"",ISBLANK(INDEX(#REF!,A405,1))),$B$146,"")</f>
        <v>#REF!</v>
      </c>
      <c r="I509" t="e">
        <f>IF(AND(organisation_name="yes",INDEX(#REF!,A509,1)&lt;&gt;"",ISBLANK(INDEX(#REF!,A509,1))),$B$147,"")</f>
        <v>#REF!</v>
      </c>
    </row>
    <row r="510" spans="1:9" hidden="1" outlineLevel="1" x14ac:dyDescent="0.35">
      <c r="A510" s="195">
        <v>95</v>
      </c>
      <c r="B510" s="195" t="str">
        <f t="array" ref="B510">IFERROR(INDEX(personnel_other_inst_21[[#This Row],[Empty lines]:[Name organisation]],1,MATCH(TRUE,LEN(personnel_other_inst_21[[#This Row],[Empty lines]:[Name organisation]])&gt;0,0)),"")</f>
        <v/>
      </c>
      <c r="C510" s="195" t="str">
        <f>IFERROR(IF(AND(LEN(INDEX(#REF!,A510))+LEN(INDEX(#REF!,A510))+LEN(INDEX(#REF!,A510))+LEN(INDEX(#REF!,A510))+LEN(INDEX(#REF!,A510))&gt;0,LEN(INDEX(#REF!,A510-1))++LEN(INDEX(#REF!,A510-1))+LEN(INDEX(#REF!,A510-1))+LEN(INDEX(#REF!,A510-1))+LEN(INDEX(#REF!,A510-1))=0),$B$127,""),"")</f>
        <v/>
      </c>
      <c r="D510" s="195" t="str">
        <f>IFERROR(IF(AND(INDEX(#REF!,A510)="",OR(INDEX(#REF!,A510)&gt;0,INDEX(#REF!,A510)&gt;0,INDEX(#REF!,A510)&gt;0)),$B$154,""),"")</f>
        <v/>
      </c>
      <c r="E510" s="195" t="e">
        <f>SUBSTITUTE(IF(INDEX(#REF!,A510)&gt;IFERROR(INDEX(salaries_other_inst[Max hourly rate],MATCH(INDEX(#REF!,A510),salaries_other_inst[category],0),1),""),$B$153,""),"&lt;&lt;max_hourly_rate&gt;&gt;",TEXT(IFERROR(INDEX(salaries_other_inst[Max hourly rate],MATCH(INDEX(#REF!,A510),salaries_other_inst[category],0),1),""),"€ #"))</f>
        <v>#REF!</v>
      </c>
      <c r="F510" s="195" t="str">
        <f>IFERROR(IF(AND(INDEX(#REF!,A510)&lt;&gt;"",INDEX(#REF!,A510)=0),$B$155,""),"")</f>
        <v/>
      </c>
      <c r="G510" s="195" t="str">
        <f>IFERROR(IF(12*INDEX(#REF!,A510)/INDEX(#REF!,A510)&gt;pers_other_nrhours_year,checks!$A$156,""),"")</f>
        <v/>
      </c>
      <c r="H510" t="e">
        <f>IF(AND(organisation_type="yes",INDEX(#REF!,A406,1)&lt;&gt;"",ISBLANK(INDEX(#REF!,A406,1))),$B$146,"")</f>
        <v>#REF!</v>
      </c>
      <c r="I510" t="e">
        <f>IF(AND(organisation_name="yes",INDEX(#REF!,A510,1)&lt;&gt;"",ISBLANK(INDEX(#REF!,A510,1))),$B$147,"")</f>
        <v>#REF!</v>
      </c>
    </row>
    <row r="511" spans="1:9" hidden="1" outlineLevel="1" x14ac:dyDescent="0.35">
      <c r="A511" s="195">
        <v>96</v>
      </c>
      <c r="B511" s="195" t="str">
        <f t="array" ref="B511">IFERROR(INDEX(personnel_other_inst_21[[#This Row],[Empty lines]:[Name organisation]],1,MATCH(TRUE,LEN(personnel_other_inst_21[[#This Row],[Empty lines]:[Name organisation]])&gt;0,0)),"")</f>
        <v/>
      </c>
      <c r="C511" s="195" t="str">
        <f>IFERROR(IF(AND(LEN(INDEX(#REF!,A511))+LEN(INDEX(#REF!,A511))+LEN(INDEX(#REF!,A511))+LEN(INDEX(#REF!,A511))+LEN(INDEX(#REF!,A511))&gt;0,LEN(INDEX(#REF!,A511-1))++LEN(INDEX(#REF!,A511-1))+LEN(INDEX(#REF!,A511-1))+LEN(INDEX(#REF!,A511-1))+LEN(INDEX(#REF!,A511-1))=0),$B$127,""),"")</f>
        <v/>
      </c>
      <c r="D511" s="195" t="str">
        <f>IFERROR(IF(AND(INDEX(#REF!,A511)="",OR(INDEX(#REF!,A511)&gt;0,INDEX(#REF!,A511)&gt;0,INDEX(#REF!,A511)&gt;0)),$B$154,""),"")</f>
        <v/>
      </c>
      <c r="E511" s="195" t="e">
        <f>SUBSTITUTE(IF(INDEX(#REF!,A511)&gt;IFERROR(INDEX(salaries_other_inst[Max hourly rate],MATCH(INDEX(#REF!,A511),salaries_other_inst[category],0),1),""),$B$153,""),"&lt;&lt;max_hourly_rate&gt;&gt;",TEXT(IFERROR(INDEX(salaries_other_inst[Max hourly rate],MATCH(INDEX(#REF!,A511),salaries_other_inst[category],0),1),""),"€ #"))</f>
        <v>#REF!</v>
      </c>
      <c r="F511" s="195" t="str">
        <f>IFERROR(IF(AND(INDEX(#REF!,A511)&lt;&gt;"",INDEX(#REF!,A511)=0),$B$155,""),"")</f>
        <v/>
      </c>
      <c r="G511" s="195" t="str">
        <f>IFERROR(IF(12*INDEX(#REF!,A511)/INDEX(#REF!,A511)&gt;pers_other_nrhours_year,checks!$A$156,""),"")</f>
        <v/>
      </c>
      <c r="H511" t="e">
        <f>IF(AND(organisation_type="yes",INDEX(#REF!,A407,1)&lt;&gt;"",ISBLANK(INDEX(#REF!,A407,1))),$B$146,"")</f>
        <v>#REF!</v>
      </c>
      <c r="I511" t="e">
        <f>IF(AND(organisation_name="yes",INDEX(#REF!,A511,1)&lt;&gt;"",ISBLANK(INDEX(#REF!,A511,1))),$B$147,"")</f>
        <v>#REF!</v>
      </c>
    </row>
    <row r="512" spans="1:9" hidden="1" outlineLevel="1" x14ac:dyDescent="0.35">
      <c r="A512" s="195">
        <v>97</v>
      </c>
      <c r="B512" s="195" t="str">
        <f t="array" ref="B512">IFERROR(INDEX(personnel_other_inst_21[[#This Row],[Empty lines]:[Name organisation]],1,MATCH(TRUE,LEN(personnel_other_inst_21[[#This Row],[Empty lines]:[Name organisation]])&gt;0,0)),"")</f>
        <v/>
      </c>
      <c r="C512" s="195" t="str">
        <f>IFERROR(IF(AND(LEN(INDEX(#REF!,A512))+LEN(INDEX(#REF!,A512))+LEN(INDEX(#REF!,A512))+LEN(INDEX(#REF!,A512))+LEN(INDEX(#REF!,A512))&gt;0,LEN(INDEX(#REF!,A512-1))++LEN(INDEX(#REF!,A512-1))+LEN(INDEX(#REF!,A512-1))+LEN(INDEX(#REF!,A512-1))+LEN(INDEX(#REF!,A512-1))=0),$B$127,""),"")</f>
        <v/>
      </c>
      <c r="D512" s="195" t="str">
        <f>IFERROR(IF(AND(INDEX(#REF!,A512)="",OR(INDEX(#REF!,A512)&gt;0,INDEX(#REF!,A512)&gt;0,INDEX(#REF!,A512)&gt;0)),$B$154,""),"")</f>
        <v/>
      </c>
      <c r="E512" s="195" t="e">
        <f>SUBSTITUTE(IF(INDEX(#REF!,A512)&gt;IFERROR(INDEX(salaries_other_inst[Max hourly rate],MATCH(INDEX(#REF!,A512),salaries_other_inst[category],0),1),""),$B$153,""),"&lt;&lt;max_hourly_rate&gt;&gt;",TEXT(IFERROR(INDEX(salaries_other_inst[Max hourly rate],MATCH(INDEX(#REF!,A512),salaries_other_inst[category],0),1),""),"€ #"))</f>
        <v>#REF!</v>
      </c>
      <c r="F512" s="195" t="str">
        <f>IFERROR(IF(AND(INDEX(#REF!,A512)&lt;&gt;"",INDEX(#REF!,A512)=0),$B$155,""),"")</f>
        <v/>
      </c>
      <c r="G512" s="195" t="str">
        <f>IFERROR(IF(12*INDEX(#REF!,A512)/INDEX(#REF!,A512)&gt;pers_other_nrhours_year,checks!$A$156,""),"")</f>
        <v/>
      </c>
      <c r="H512" t="e">
        <f>IF(AND(organisation_type="yes",INDEX(#REF!,A408,1)&lt;&gt;"",ISBLANK(INDEX(#REF!,A408,1))),$B$146,"")</f>
        <v>#REF!</v>
      </c>
      <c r="I512" t="e">
        <f>IF(AND(organisation_name="yes",INDEX(#REF!,A512,1)&lt;&gt;"",ISBLANK(INDEX(#REF!,A512,1))),$B$147,"")</f>
        <v>#REF!</v>
      </c>
    </row>
    <row r="513" spans="1:10" hidden="1" outlineLevel="1" x14ac:dyDescent="0.35">
      <c r="A513" s="195">
        <v>98</v>
      </c>
      <c r="B513" s="195" t="str">
        <f t="array" ref="B513">IFERROR(INDEX(personnel_other_inst_21[[#This Row],[Empty lines]:[Name organisation]],1,MATCH(TRUE,LEN(personnel_other_inst_21[[#This Row],[Empty lines]:[Name organisation]])&gt;0,0)),"")</f>
        <v/>
      </c>
      <c r="C513" s="195" t="str">
        <f>IFERROR(IF(AND(LEN(INDEX(#REF!,A513))+LEN(INDEX(#REF!,A513))+LEN(INDEX(#REF!,A513))+LEN(INDEX(#REF!,A513))+LEN(INDEX(#REF!,A513))&gt;0,LEN(INDEX(#REF!,A513-1))++LEN(INDEX(#REF!,A513-1))+LEN(INDEX(#REF!,A513-1))+LEN(INDEX(#REF!,A513-1))+LEN(INDEX(#REF!,A513-1))=0),$B$127,""),"")</f>
        <v/>
      </c>
      <c r="D513" s="195" t="str">
        <f>IFERROR(IF(AND(INDEX(#REF!,A513)="",OR(INDEX(#REF!,A513)&gt;0,INDEX(#REF!,A513)&gt;0,INDEX(#REF!,A513)&gt;0)),$B$154,""),"")</f>
        <v/>
      </c>
      <c r="E513" s="195" t="e">
        <f>SUBSTITUTE(IF(INDEX(#REF!,A513)&gt;IFERROR(INDEX(salaries_other_inst[Max hourly rate],MATCH(INDEX(#REF!,A513),salaries_other_inst[category],0),1),""),$B$153,""),"&lt;&lt;max_hourly_rate&gt;&gt;",TEXT(IFERROR(INDEX(salaries_other_inst[Max hourly rate],MATCH(INDEX(#REF!,A513),salaries_other_inst[category],0),1),""),"€ #"))</f>
        <v>#REF!</v>
      </c>
      <c r="F513" s="195" t="str">
        <f>IFERROR(IF(AND(INDEX(#REF!,A513)&lt;&gt;"",INDEX(#REF!,A513)=0),$B$155,""),"")</f>
        <v/>
      </c>
      <c r="G513" s="195" t="str">
        <f>IFERROR(IF(12*INDEX(#REF!,A513)/INDEX(#REF!,A513)&gt;pers_other_nrhours_year,checks!$A$156,""),"")</f>
        <v/>
      </c>
      <c r="H513" t="e">
        <f>IF(AND(organisation_type="yes",INDEX(#REF!,A409,1)&lt;&gt;"",ISBLANK(INDEX(#REF!,A409,1))),$B$146,"")</f>
        <v>#REF!</v>
      </c>
      <c r="I513" t="e">
        <f>IF(AND(organisation_name="yes",INDEX(#REF!,A513,1)&lt;&gt;"",ISBLANK(INDEX(#REF!,A513,1))),$B$147,"")</f>
        <v>#REF!</v>
      </c>
    </row>
    <row r="514" spans="1:10" hidden="1" outlineLevel="1" x14ac:dyDescent="0.35">
      <c r="A514" s="195">
        <v>99</v>
      </c>
      <c r="B514" s="195" t="str">
        <f t="array" ref="B514">IFERROR(INDEX(personnel_other_inst_21[[#This Row],[Empty lines]:[Name organisation]],1,MATCH(TRUE,LEN(personnel_other_inst_21[[#This Row],[Empty lines]:[Name organisation]])&gt;0,0)),"")</f>
        <v/>
      </c>
      <c r="C514" s="195" t="str">
        <f>IFERROR(IF(AND(LEN(INDEX(#REF!,A514))+LEN(INDEX(#REF!,A514))+LEN(INDEX(#REF!,A514))+LEN(INDEX(#REF!,A514))+LEN(INDEX(#REF!,A514))&gt;0,LEN(INDEX(#REF!,A514-1))++LEN(INDEX(#REF!,A514-1))+LEN(INDEX(#REF!,A514-1))+LEN(INDEX(#REF!,A514-1))+LEN(INDEX(#REF!,A514-1))=0),$B$127,""),"")</f>
        <v/>
      </c>
      <c r="D514" s="195" t="str">
        <f>IFERROR(IF(AND(INDEX(#REF!,A514)="",OR(INDEX(#REF!,A514)&gt;0,INDEX(#REF!,A514)&gt;0,INDEX(#REF!,A514)&gt;0)),$B$154,""),"")</f>
        <v/>
      </c>
      <c r="E514" s="195" t="e">
        <f>SUBSTITUTE(IF(INDEX(#REF!,A514)&gt;IFERROR(INDEX(salaries_other_inst[Max hourly rate],MATCH(INDEX(#REF!,A514),salaries_other_inst[category],0),1),""),$B$153,""),"&lt;&lt;max_hourly_rate&gt;&gt;",TEXT(IFERROR(INDEX(salaries_other_inst[Max hourly rate],MATCH(INDEX(#REF!,A514),salaries_other_inst[category],0),1),""),"€ #"))</f>
        <v>#REF!</v>
      </c>
      <c r="F514" s="195" t="str">
        <f>IFERROR(IF(AND(INDEX(#REF!,A514)&lt;&gt;"",INDEX(#REF!,A514)=0),$B$155,""),"")</f>
        <v/>
      </c>
      <c r="G514" s="195" t="str">
        <f>IFERROR(IF(12*INDEX(#REF!,A514)/INDEX(#REF!,A514)&gt;pers_other_nrhours_year,checks!$A$156,""),"")</f>
        <v/>
      </c>
      <c r="H514" t="e">
        <f>IF(AND(organisation_type="yes",INDEX(#REF!,A410,1)&lt;&gt;"",ISBLANK(INDEX(#REF!,A410,1))),$B$146,"")</f>
        <v>#REF!</v>
      </c>
      <c r="I514" t="e">
        <f>IF(AND(organisation_name="yes",INDEX(#REF!,A514,1)&lt;&gt;"",ISBLANK(INDEX(#REF!,A514,1))),$B$147,"")</f>
        <v>#REF!</v>
      </c>
    </row>
    <row r="515" spans="1:10" hidden="1" outlineLevel="1" x14ac:dyDescent="0.35">
      <c r="A515" s="195">
        <v>100</v>
      </c>
      <c r="B515" s="195" t="str">
        <f t="array" ref="B515">IFERROR(INDEX(personnel_other_inst_21[[#This Row],[Empty lines]:[Name organisation]],1,MATCH(TRUE,LEN(personnel_other_inst_21[[#This Row],[Empty lines]:[Name organisation]])&gt;0,0)),"")</f>
        <v/>
      </c>
      <c r="C515" s="195" t="str">
        <f>IFERROR(IF(AND(LEN(INDEX(#REF!,A515))+LEN(INDEX(#REF!,A515))+LEN(INDEX(#REF!,A515))+LEN(INDEX(#REF!,A515))+LEN(INDEX(#REF!,A515))&gt;0,LEN(INDEX(#REF!,A515-1))++LEN(INDEX(#REF!,A515-1))+LEN(INDEX(#REF!,A515-1))+LEN(INDEX(#REF!,A515-1))+LEN(INDEX(#REF!,A515-1))=0),$B$127,""),"")</f>
        <v/>
      </c>
      <c r="D515" s="195" t="str">
        <f>IFERROR(IF(AND(INDEX(#REF!,A515)="",OR(INDEX(#REF!,A515)&gt;0,INDEX(#REF!,A515)&gt;0,INDEX(#REF!,A515)&gt;0)),$B$154,""),"")</f>
        <v/>
      </c>
      <c r="E515" s="195" t="e">
        <f>SUBSTITUTE(IF(INDEX(#REF!,A515)&gt;IFERROR(INDEX(salaries_other_inst[Max hourly rate],MATCH(INDEX(#REF!,A515),salaries_other_inst[category],0),1),""),$B$153,""),"&lt;&lt;max_hourly_rate&gt;&gt;",TEXT(IFERROR(INDEX(salaries_other_inst[Max hourly rate],MATCH(INDEX(#REF!,A515),salaries_other_inst[category],0),1),""),"€ #"))</f>
        <v>#REF!</v>
      </c>
      <c r="F515" s="195" t="str">
        <f>IFERROR(IF(AND(INDEX(#REF!,A515)&lt;&gt;"",INDEX(#REF!,A515)=0),$B$155,""),"")</f>
        <v/>
      </c>
      <c r="G515" s="195" t="str">
        <f>IFERROR(IF(12*INDEX(#REF!,A515)/INDEX(#REF!,A515)&gt;pers_other_nrhours_year,checks!$A$156,""),"")</f>
        <v/>
      </c>
      <c r="H515" t="e">
        <f>IF(AND(organisation_type="yes",INDEX(#REF!,A411,1)&lt;&gt;"",ISBLANK(INDEX(#REF!,A411,1))),$B$146,"")</f>
        <v>#REF!</v>
      </c>
      <c r="I515" t="e">
        <f>IF(AND(organisation_name="yes",INDEX(#REF!,A515,1)&lt;&gt;"",ISBLANK(INDEX(#REF!,A515,1))),$B$147,"")</f>
        <v>#REF!</v>
      </c>
    </row>
    <row r="516" spans="1:10" collapsed="1" x14ac:dyDescent="0.35"/>
    <row r="518" spans="1:10" ht="18.5" x14ac:dyDescent="0.45">
      <c r="A518" s="196" t="s">
        <v>746</v>
      </c>
    </row>
    <row r="519" spans="1:10" outlineLevel="1" x14ac:dyDescent="0.35">
      <c r="A519" s="316" t="s">
        <v>579</v>
      </c>
      <c r="B519" s="316" t="s">
        <v>592</v>
      </c>
      <c r="C519" s="195" t="s">
        <v>804</v>
      </c>
      <c r="D519" s="195" t="s">
        <v>690</v>
      </c>
      <c r="E519" s="195" t="s">
        <v>751</v>
      </c>
      <c r="F519" s="195" t="s">
        <v>750</v>
      </c>
      <c r="G519" s="195" t="s">
        <v>749</v>
      </c>
      <c r="H519" s="195" t="s">
        <v>753</v>
      </c>
      <c r="I519" s="195" t="s">
        <v>757</v>
      </c>
      <c r="J519" s="195" t="s">
        <v>758</v>
      </c>
    </row>
    <row r="520" spans="1:10" outlineLevel="1" x14ac:dyDescent="0.35">
      <c r="A520" s="317">
        <v>1</v>
      </c>
      <c r="B520" s="317" t="str">
        <f t="array" ref="B520">IFERROR(INDEX(Tabel33[[#This Row],[Empty line]:[organisation name]],1,MATCH(TRUE,LEN(Tabel33[[#This Row],[Empty line]:[organisation name]])&gt;0,0)),"")</f>
        <v/>
      </c>
      <c r="C520" s="195" t="str">
        <f>IFERROR(IF(AND(LEN(INDEX(MfC_pers_ac_inst[Category],$A520))+LEN(INDEX(MfC_pers_ac_inst[FTE],$A520))+LEN(INDEX(MfC_pers_ac_inst[Months],$A520))+LEN(INDEX(MfC_pers_ac_inst[Country],$A520))&gt;0,LEN(INDEX(MfC_pers_ac_inst[Category],$A520-1))+LEN(INDEX(MfC_pers_ac_inst[FTE],$A520-1))+LEN(INDEX(MfC_pers_ac_inst[Months],$A520-1))+LEN(INDEX(MfC_pers_ac_inst[Country],$A520-1))=0),$B$127,""),"")</f>
        <v/>
      </c>
      <c r="D520" s="195" t="str">
        <f>IFERROR(IF(AND(INDEX(MfC_pers_ac_inst[Category]="",$A520),OR(INDEX(MfC_pers_ac_inst[FTE],$A520)&gt;0,INDEX(MfC_pers_ac_inst[Months],$A520)&gt;0,INDEX(MfC_pers_ac_inst[Costs],$A520)&gt;0,LEN(INDEX(MfC_pers_ac_inst[Country],$A520))&gt;0)),$B$171,""),"")</f>
        <v/>
      </c>
      <c r="E520" s="195" t="str">
        <f>IF(AND(INDEX(MfC_pers_ac_inst[Category],A520)&lt;&gt;"",OR(INDEX(MfC_pers_ac_inst[FTE],A520)&lt;=0,INDEX(MfC_pers_ac_inst[Months],A520)&lt;=0)),INDEX(salaries_academic[],MATCH(INDEX(MfC_pers_ac_inst[Category],A520),salaries_academic[category],0),2),"")</f>
        <v/>
      </c>
      <c r="F520" s="195" t="str">
        <f>IFERROR(IF(Tabel33[Instruction]="",IF(AND(INDEX(MfC_pers_ac_inst[Country]="",A520),OR(INDEX(MfC_pers_ac_inst[Category],A520)&lt;&gt;"",INDEX(MfC_pers_ac_inst[FTE],A520)&gt;0,INDEX(MfC_pers_ac_inst[Months],A520)&gt;0,INDEX(MfC_pers_ac_inst[Costs],A520)&gt;0,LEN(INDEX(MfC_pers_ac_inst[Country],A520))&gt;0)),$B$173,""),""),"")</f>
        <v/>
      </c>
      <c r="G520" s="195" t="str">
        <f>IF(AND(Tabel33[Instruction]="",Tabel33[Country not specified]=""),IF(AND(INDEX(MfC_pers_ac_inst[Category],A520)&lt;&gt;"",INDEX(MfC_pers_ac_inst[Costs],A520)&lt;=0),IF(INDEX(salaries_academic[],MATCH(INDEX(MfC_pers_ac_inst[Category],A520),salaries_academic[category],0),3)="",$B$172,""),""),"")</f>
        <v/>
      </c>
      <c r="H520" s="218" t="str">
        <f>IFERROR(IF(AND(INDEX(salaries_academic[],MATCH(INDEX(MfC_pers_ac_inst[Category],A520),salaries_academic[category],0),3)&gt;0,INDEX(MfC_pers_ac_inst[Costs],A520)&gt;0),$B$174,""),"")</f>
        <v/>
      </c>
      <c r="I520" s="218" t="str">
        <f>IFERROR(IF(AND(organisation_type="yes",VALUE(INDEX(MfC_pers_ac_inst[Amount],A520))&gt;0,ISBLANK(INDEX(MfC_pers_ac_inst[Organisation type],A520))),$B$175,""),"")</f>
        <v/>
      </c>
      <c r="J520" s="218" t="str">
        <f>IFERROR(IF(AND(organisation_name="yes",VALUE(INDEX(MfC_pers_ac_inst[Amount],A520))&gt;0,ISBLANK(INDEX(MfC_pers_ac_inst[Name organisation],A520)),Tabel33[organisation type]=""),$B$176,""),"")</f>
        <v/>
      </c>
    </row>
    <row r="521" spans="1:10" outlineLevel="1" x14ac:dyDescent="0.35">
      <c r="A521" s="317">
        <v>2</v>
      </c>
      <c r="B521" s="317" t="str">
        <f t="array" ref="B521">IFERROR(INDEX(Tabel33[[#This Row],[Empty line]:[organisation name]],1,MATCH(TRUE,LEN(Tabel33[[#This Row],[Empty line]:[organisation name]])&gt;0,0)),"")</f>
        <v/>
      </c>
      <c r="C521" s="195" t="str">
        <f>IFERROR(IF(AND(LEN(INDEX(MfC_pers_ac_inst[Category],$A521))+LEN(INDEX(MfC_pers_ac_inst[FTE],$A521))+LEN(INDEX(MfC_pers_ac_inst[Months],$A521))+LEN(INDEX(MfC_pers_ac_inst[Country],$A521))&gt;0,LEN(INDEX(MfC_pers_ac_inst[Category],$A521-1))+LEN(INDEX(MfC_pers_ac_inst[FTE],$A521-1))+LEN(INDEX(MfC_pers_ac_inst[Months],$A521-1))+LEN(INDEX(MfC_pers_ac_inst[Country],$A521-1))=0),$B$127,""),"")</f>
        <v/>
      </c>
      <c r="D521" s="195" t="str">
        <f>IFERROR(IF(AND(INDEX(MfC_pers_ac_inst[Category]="",$A521),OR(INDEX(MfC_pers_ac_inst[FTE],$A521)&gt;0,INDEX(MfC_pers_ac_inst[Months],$A521)&gt;0,INDEX(MfC_pers_ac_inst[Costs],$A521)&gt;0,LEN(INDEX(MfC_pers_ac_inst[Country],$A521))&gt;0)),$B$171,""),"")</f>
        <v/>
      </c>
      <c r="E521" s="195" t="str">
        <f>IF(AND(INDEX(MfC_pers_ac_inst[Category],A521)&lt;&gt;"",OR(INDEX(MfC_pers_ac_inst[FTE],A521)&lt;=0,INDEX(MfC_pers_ac_inst[Months],A521)&lt;=0)),INDEX(salaries_academic[],MATCH(INDEX(MfC_pers_ac_inst[Category],A521),salaries_academic[category],0),2),"")</f>
        <v/>
      </c>
      <c r="F521" s="195" t="str">
        <f>IFERROR(IF(Tabel33[Instruction]="",IF(AND(INDEX(MfC_pers_ac_inst[Country]="",A521),OR(INDEX(MfC_pers_ac_inst[Category],A521)&lt;&gt;"",INDEX(MfC_pers_ac_inst[FTE],A521)&gt;0,INDEX(MfC_pers_ac_inst[Months],A521)&gt;0,INDEX(MfC_pers_ac_inst[Costs],A521)&gt;0,LEN(INDEX(MfC_pers_ac_inst[Country],A521))&gt;0)),$B$173,""),""),"")</f>
        <v/>
      </c>
      <c r="G521" s="195" t="str">
        <f>IF(AND(Tabel33[Instruction]="",Tabel33[Country not specified]=""),IF(AND(INDEX(MfC_pers_ac_inst[Category],A521)&lt;&gt;"",INDEX(MfC_pers_ac_inst[Costs],A521)&lt;=0),IF(INDEX(salaries_academic[],MATCH(INDEX(MfC_pers_ac_inst[Category],A521),salaries_academic[category],0),3)="",$B$172,""),""),"")</f>
        <v/>
      </c>
      <c r="H521" s="218" t="str">
        <f>IFERROR(IF(AND(INDEX(salaries_academic[],MATCH(INDEX(MfC_pers_ac_inst[Category],A521),salaries_academic[category],0),3)&gt;0,INDEX(MfC_pers_ac_inst[Costs],A521)&gt;0),$B$174,""),"")</f>
        <v/>
      </c>
      <c r="I521" s="218" t="str">
        <f>IFERROR(IF(AND(organisation_type="yes",VALUE(INDEX(MfC_pers_ac_inst[Amount],A521))&gt;0,ISBLANK(INDEX(MfC_pers_ac_inst[Organisation type],A521))),$B$175,""),"")</f>
        <v/>
      </c>
      <c r="J521" s="218" t="str">
        <f>IFERROR(IF(AND(organisation_name="yes",VALUE(INDEX(MfC_pers_ac_inst[Amount],A521))&gt;0,ISBLANK(INDEX(MfC_pers_ac_inst[Name organisation],A521)),Tabel33[organisation type]=""),$B$176,""),"")</f>
        <v/>
      </c>
    </row>
    <row r="522" spans="1:10" outlineLevel="1" x14ac:dyDescent="0.35">
      <c r="A522" s="317">
        <v>3</v>
      </c>
      <c r="B522" s="317" t="str">
        <f t="array" ref="B522">IFERROR(INDEX(Tabel33[[#This Row],[Empty line]:[organisation name]],1,MATCH(TRUE,LEN(Tabel33[[#This Row],[Empty line]:[organisation name]])&gt;0,0)),"")</f>
        <v/>
      </c>
      <c r="C522" s="195" t="str">
        <f>IFERROR(IF(AND(LEN(INDEX(MfC_pers_ac_inst[Category],$A522))+LEN(INDEX(MfC_pers_ac_inst[FTE],$A522))+LEN(INDEX(MfC_pers_ac_inst[Months],$A522))+LEN(INDEX(MfC_pers_ac_inst[Country],$A522))&gt;0,LEN(INDEX(MfC_pers_ac_inst[Category],$A522-1))+LEN(INDEX(MfC_pers_ac_inst[FTE],$A522-1))+LEN(INDEX(MfC_pers_ac_inst[Months],$A522-1))+LEN(INDEX(MfC_pers_ac_inst[Country],$A522-1))=0),$B$127,""),"")</f>
        <v/>
      </c>
      <c r="D522" s="195" t="str">
        <f>IFERROR(IF(AND(INDEX(MfC_pers_ac_inst[Category]="",$A522),OR(INDEX(MfC_pers_ac_inst[FTE],$A522)&gt;0,INDEX(MfC_pers_ac_inst[Months],$A522)&gt;0,INDEX(MfC_pers_ac_inst[Costs],$A522)&gt;0,LEN(INDEX(MfC_pers_ac_inst[Country],$A522))&gt;0)),$B$171,""),"")</f>
        <v/>
      </c>
      <c r="E522" s="195" t="str">
        <f>IF(AND(INDEX(MfC_pers_ac_inst[Category],A522)&lt;&gt;"",OR(INDEX(MfC_pers_ac_inst[FTE],A522)&lt;=0,INDEX(MfC_pers_ac_inst[Months],A522)&lt;=0)),INDEX(salaries_academic[],MATCH(INDEX(MfC_pers_ac_inst[Category],A522),salaries_academic[category],0),2),"")</f>
        <v/>
      </c>
      <c r="F522" s="195" t="str">
        <f>IFERROR(IF(Tabel33[Instruction]="",IF(AND(INDEX(MfC_pers_ac_inst[Country]="",A522),OR(INDEX(MfC_pers_ac_inst[Category],A522)&lt;&gt;"",INDEX(MfC_pers_ac_inst[FTE],A522)&gt;0,INDEX(MfC_pers_ac_inst[Months],A522)&gt;0,INDEX(MfC_pers_ac_inst[Costs],A522)&gt;0,LEN(INDEX(MfC_pers_ac_inst[Country],A522))&gt;0)),$B$173,""),""),"")</f>
        <v/>
      </c>
      <c r="G522" s="195" t="str">
        <f>IF(AND(Tabel33[Instruction]="",Tabel33[Country not specified]=""),IF(AND(INDEX(MfC_pers_ac_inst[Category],A522)&lt;&gt;"",INDEX(MfC_pers_ac_inst[Costs],A522)&lt;=0),IF(INDEX(salaries_academic[],MATCH(INDEX(MfC_pers_ac_inst[Category],A522),salaries_academic[category],0),3)="",$B$172,""),""),"")</f>
        <v/>
      </c>
      <c r="H522" s="218" t="str">
        <f>IFERROR(IF(AND(INDEX(salaries_academic[],MATCH(INDEX(MfC_pers_ac_inst[Category],A522),salaries_academic[category],0),3)&gt;0,INDEX(MfC_pers_ac_inst[Costs],A522)&gt;0),$B$174,""),"")</f>
        <v/>
      </c>
      <c r="I522" s="218" t="str">
        <f>IFERROR(IF(AND(organisation_type="yes",VALUE(INDEX(MfC_pers_ac_inst[Amount],A522))&gt;0,ISBLANK(INDEX(MfC_pers_ac_inst[Organisation type],A522))),$B$175,""),"")</f>
        <v/>
      </c>
      <c r="J522" s="218" t="str">
        <f>IFERROR(IF(AND(organisation_name="yes",VALUE(INDEX(MfC_pers_ac_inst[Amount],A522))&gt;0,ISBLANK(INDEX(MfC_pers_ac_inst[Name organisation],A522)),Tabel33[organisation type]=""),$B$176,""),"")</f>
        <v/>
      </c>
    </row>
    <row r="523" spans="1:10" outlineLevel="1" x14ac:dyDescent="0.35">
      <c r="A523" s="317">
        <v>4</v>
      </c>
      <c r="B523" s="317" t="str">
        <f t="array" ref="B523">IFERROR(INDEX(Tabel33[[#This Row],[Empty line]:[organisation name]],1,MATCH(TRUE,LEN(Tabel33[[#This Row],[Empty line]:[organisation name]])&gt;0,0)),"")</f>
        <v/>
      </c>
      <c r="C523" s="195" t="str">
        <f>IFERROR(IF(AND(LEN(INDEX(MfC_pers_ac_inst[Category],$A523))+LEN(INDEX(MfC_pers_ac_inst[FTE],$A523))+LEN(INDEX(MfC_pers_ac_inst[Months],$A523))+LEN(INDEX(MfC_pers_ac_inst[Country],$A523))&gt;0,LEN(INDEX(MfC_pers_ac_inst[Category],$A523-1))+LEN(INDEX(MfC_pers_ac_inst[FTE],$A523-1))+LEN(INDEX(MfC_pers_ac_inst[Months],$A523-1))+LEN(INDEX(MfC_pers_ac_inst[Country],$A523-1))=0),$B$127,""),"")</f>
        <v/>
      </c>
      <c r="D523" s="195" t="str">
        <f>IFERROR(IF(AND(INDEX(MfC_pers_ac_inst[Category]="",$A523),OR(INDEX(MfC_pers_ac_inst[FTE],$A523)&gt;0,INDEX(MfC_pers_ac_inst[Months],$A523)&gt;0,INDEX(MfC_pers_ac_inst[Costs],$A523)&gt;0,LEN(INDEX(MfC_pers_ac_inst[Country],$A523))&gt;0)),$B$171,""),"")</f>
        <v/>
      </c>
      <c r="E523" s="195" t="str">
        <f>IF(AND(INDEX(MfC_pers_ac_inst[Category],A523)&lt;&gt;"",OR(INDEX(MfC_pers_ac_inst[FTE],A523)&lt;=0,INDEX(MfC_pers_ac_inst[Months],A523)&lt;=0)),INDEX(salaries_academic[],MATCH(INDEX(MfC_pers_ac_inst[Category],A523),salaries_academic[category],0),2),"")</f>
        <v/>
      </c>
      <c r="F523" s="195" t="str">
        <f>IFERROR(IF(Tabel33[Instruction]="",IF(AND(INDEX(MfC_pers_ac_inst[Country]="",A523),OR(INDEX(MfC_pers_ac_inst[Category],A523)&lt;&gt;"",INDEX(MfC_pers_ac_inst[FTE],A523)&gt;0,INDEX(MfC_pers_ac_inst[Months],A523)&gt;0,INDEX(MfC_pers_ac_inst[Costs],A523)&gt;0,LEN(INDEX(MfC_pers_ac_inst[Country],A523))&gt;0)),$B$173,""),""),"")</f>
        <v/>
      </c>
      <c r="G523" s="195" t="str">
        <f>IF(AND(Tabel33[Instruction]="",Tabel33[Country not specified]=""),IF(AND(INDEX(MfC_pers_ac_inst[Category],A523)&lt;&gt;"",INDEX(MfC_pers_ac_inst[Costs],A523)&lt;=0),IF(INDEX(salaries_academic[],MATCH(INDEX(MfC_pers_ac_inst[Category],A523),salaries_academic[category],0),3)="",$B$172,""),""),"")</f>
        <v/>
      </c>
      <c r="H523" s="218" t="str">
        <f>IFERROR(IF(AND(INDEX(salaries_academic[],MATCH(INDEX(MfC_pers_ac_inst[Category],A523),salaries_academic[category],0),3)&gt;0,INDEX(MfC_pers_ac_inst[Costs],A523)&gt;0),$B$174,""),"")</f>
        <v/>
      </c>
      <c r="I523" s="218" t="str">
        <f>IFERROR(IF(AND(organisation_type="yes",VALUE(INDEX(MfC_pers_ac_inst[Amount],A523))&gt;0,ISBLANK(INDEX(MfC_pers_ac_inst[Organisation type],A523))),$B$175,""),"")</f>
        <v/>
      </c>
      <c r="J523" s="218" t="str">
        <f>IFERROR(IF(AND(organisation_name="yes",VALUE(INDEX(MfC_pers_ac_inst[Amount],A523))&gt;0,ISBLANK(INDEX(MfC_pers_ac_inst[Name organisation],A523)),Tabel33[organisation type]=""),$B$176,""),"")</f>
        <v/>
      </c>
    </row>
    <row r="524" spans="1:10" outlineLevel="1" x14ac:dyDescent="0.35">
      <c r="A524" s="317">
        <v>5</v>
      </c>
      <c r="B524" s="317" t="str">
        <f t="array" ref="B524">IFERROR(INDEX(Tabel33[[#This Row],[Empty line]:[organisation name]],1,MATCH(TRUE,LEN(Tabel33[[#This Row],[Empty line]:[organisation name]])&gt;0,0)),"")</f>
        <v/>
      </c>
      <c r="C524" s="195" t="str">
        <f>IFERROR(IF(AND(LEN(INDEX(MfC_pers_ac_inst[Category],$A524))+LEN(INDEX(MfC_pers_ac_inst[FTE],$A524))+LEN(INDEX(MfC_pers_ac_inst[Months],$A524))+LEN(INDEX(MfC_pers_ac_inst[Country],$A524))&gt;0,LEN(INDEX(MfC_pers_ac_inst[Category],$A524-1))+LEN(INDEX(MfC_pers_ac_inst[FTE],$A524-1))+LEN(INDEX(MfC_pers_ac_inst[Months],$A524-1))+LEN(INDEX(MfC_pers_ac_inst[Country],$A524-1))=0),$B$127,""),"")</f>
        <v/>
      </c>
      <c r="D524" s="195" t="str">
        <f>IFERROR(IF(AND(INDEX(MfC_pers_ac_inst[Category]="",$A524),OR(INDEX(MfC_pers_ac_inst[FTE],$A524)&gt;0,INDEX(MfC_pers_ac_inst[Months],$A524)&gt;0,INDEX(MfC_pers_ac_inst[Costs],$A524)&gt;0,LEN(INDEX(MfC_pers_ac_inst[Country],$A524))&gt;0)),$B$171,""),"")</f>
        <v/>
      </c>
      <c r="E524" s="195" t="str">
        <f>IF(AND(INDEX(MfC_pers_ac_inst[Category],A524)&lt;&gt;"",OR(INDEX(MfC_pers_ac_inst[FTE],A524)&lt;=0,INDEX(MfC_pers_ac_inst[Months],A524)&lt;=0)),INDEX(salaries_academic[],MATCH(INDEX(MfC_pers_ac_inst[Category],A524),salaries_academic[category],0),2),"")</f>
        <v/>
      </c>
      <c r="F524" s="195" t="str">
        <f>IFERROR(IF(Tabel33[Instruction]="",IF(AND(INDEX(MfC_pers_ac_inst[Country]="",A524),OR(INDEX(MfC_pers_ac_inst[Category],A524)&lt;&gt;"",INDEX(MfC_pers_ac_inst[FTE],A524)&gt;0,INDEX(MfC_pers_ac_inst[Months],A524)&gt;0,INDEX(MfC_pers_ac_inst[Costs],A524)&gt;0,LEN(INDEX(MfC_pers_ac_inst[Country],A524))&gt;0)),$B$173,""),""),"")</f>
        <v/>
      </c>
      <c r="G524" s="195" t="str">
        <f>IF(AND(Tabel33[Instruction]="",Tabel33[Country not specified]=""),IF(AND(INDEX(MfC_pers_ac_inst[Category],A524)&lt;&gt;"",INDEX(MfC_pers_ac_inst[Costs],A524)&lt;=0),IF(INDEX(salaries_academic[],MATCH(INDEX(MfC_pers_ac_inst[Category],A524),salaries_academic[category],0),3)="",$B$172,""),""),"")</f>
        <v/>
      </c>
      <c r="H524" s="218" t="str">
        <f>IFERROR(IF(AND(INDEX(salaries_academic[],MATCH(INDEX(MfC_pers_ac_inst[Category],A524),salaries_academic[category],0),3)&gt;0,INDEX(MfC_pers_ac_inst[Costs],A524)&gt;0),$B$174,""),"")</f>
        <v/>
      </c>
      <c r="I524" s="218" t="str">
        <f>IFERROR(IF(AND(organisation_type="yes",VALUE(INDEX(MfC_pers_ac_inst[Amount],A524))&gt;0,ISBLANK(INDEX(MfC_pers_ac_inst[Organisation type],A524))),$B$175,""),"")</f>
        <v/>
      </c>
      <c r="J524" s="218" t="str">
        <f>IFERROR(IF(AND(organisation_name="yes",VALUE(INDEX(MfC_pers_ac_inst[Amount],A524))&gt;0,ISBLANK(INDEX(MfC_pers_ac_inst[Name organisation],A524)),Tabel33[organisation type]=""),$B$176,""),"")</f>
        <v/>
      </c>
    </row>
    <row r="525" spans="1:10" outlineLevel="1" x14ac:dyDescent="0.35">
      <c r="A525" s="317">
        <v>6</v>
      </c>
      <c r="B525" s="317" t="str">
        <f t="array" ref="B525">IFERROR(INDEX(Tabel33[[#This Row],[Empty line]:[organisation name]],1,MATCH(TRUE,LEN(Tabel33[[#This Row],[Empty line]:[organisation name]])&gt;0,0)),"")</f>
        <v/>
      </c>
      <c r="C525" s="195" t="str">
        <f>IFERROR(IF(AND(LEN(INDEX(MfC_pers_ac_inst[Category],$A525))+LEN(INDEX(MfC_pers_ac_inst[FTE],$A525))+LEN(INDEX(MfC_pers_ac_inst[Months],$A525))+LEN(INDEX(MfC_pers_ac_inst[Country],$A525))&gt;0,LEN(INDEX(MfC_pers_ac_inst[Category],$A525-1))+LEN(INDEX(MfC_pers_ac_inst[FTE],$A525-1))+LEN(INDEX(MfC_pers_ac_inst[Months],$A525-1))+LEN(INDEX(MfC_pers_ac_inst[Country],$A525-1))=0),$B$127,""),"")</f>
        <v/>
      </c>
      <c r="D525" s="195" t="str">
        <f>IFERROR(IF(AND(INDEX(MfC_pers_ac_inst[Category]="",$A525),OR(INDEX(MfC_pers_ac_inst[FTE],$A525)&gt;0,INDEX(MfC_pers_ac_inst[Months],$A525)&gt;0,INDEX(MfC_pers_ac_inst[Costs],$A525)&gt;0,LEN(INDEX(MfC_pers_ac_inst[Country],$A525))&gt;0)),$B$171,""),"")</f>
        <v/>
      </c>
      <c r="E525" s="195" t="str">
        <f>IF(AND(INDEX(MfC_pers_ac_inst[Category],A525)&lt;&gt;"",OR(INDEX(MfC_pers_ac_inst[FTE],A525)&lt;=0,INDEX(MfC_pers_ac_inst[Months],A525)&lt;=0)),INDEX(salaries_academic[],MATCH(INDEX(MfC_pers_ac_inst[Category],A525),salaries_academic[category],0),2),"")</f>
        <v/>
      </c>
      <c r="F525" s="195" t="str">
        <f>IFERROR(IF(Tabel33[Instruction]="",IF(AND(INDEX(MfC_pers_ac_inst[Country]="",A525),OR(INDEX(MfC_pers_ac_inst[Category],A525)&lt;&gt;"",INDEX(MfC_pers_ac_inst[FTE],A525)&gt;0,INDEX(MfC_pers_ac_inst[Months],A525)&gt;0,INDEX(MfC_pers_ac_inst[Costs],A525)&gt;0,LEN(INDEX(MfC_pers_ac_inst[Country],A525))&gt;0)),$B$173,""),""),"")</f>
        <v/>
      </c>
      <c r="G525" s="195" t="str">
        <f>IF(AND(Tabel33[Instruction]="",Tabel33[Country not specified]=""),IF(AND(INDEX(MfC_pers_ac_inst[Category],A525)&lt;&gt;"",INDEX(MfC_pers_ac_inst[Costs],A525)&lt;=0),IF(INDEX(salaries_academic[],MATCH(INDEX(MfC_pers_ac_inst[Category],A525),salaries_academic[category],0),3)="",$B$172,""),""),"")</f>
        <v/>
      </c>
      <c r="H525" s="218" t="str">
        <f>IFERROR(IF(AND(INDEX(salaries_academic[],MATCH(INDEX(MfC_pers_ac_inst[Category],A525),salaries_academic[category],0),3)&gt;0,INDEX(MfC_pers_ac_inst[Costs],A525)&gt;0),$B$174,""),"")</f>
        <v/>
      </c>
      <c r="I525" s="218" t="str">
        <f>IFERROR(IF(AND(organisation_type="yes",VALUE(INDEX(MfC_pers_ac_inst[Amount],A525))&gt;0,ISBLANK(INDEX(MfC_pers_ac_inst[Organisation type],A525))),$B$175,""),"")</f>
        <v/>
      </c>
      <c r="J525" s="218" t="str">
        <f>IFERROR(IF(AND(organisation_name="yes",VALUE(INDEX(MfC_pers_ac_inst[Amount],A525))&gt;0,ISBLANK(INDEX(MfC_pers_ac_inst[Name organisation],A525)),Tabel33[organisation type]=""),$B$176,""),"")</f>
        <v/>
      </c>
    </row>
    <row r="526" spans="1:10" outlineLevel="1" x14ac:dyDescent="0.35">
      <c r="A526" s="317">
        <v>7</v>
      </c>
      <c r="B526" s="317" t="str">
        <f t="array" ref="B526">IFERROR(INDEX(Tabel33[[#This Row],[Empty line]:[organisation name]],1,MATCH(TRUE,LEN(Tabel33[[#This Row],[Empty line]:[organisation name]])&gt;0,0)),"")</f>
        <v/>
      </c>
      <c r="C526" s="195" t="str">
        <f>IFERROR(IF(AND(LEN(INDEX(MfC_pers_ac_inst[Category],$A526))+LEN(INDEX(MfC_pers_ac_inst[FTE],$A526))+LEN(INDEX(MfC_pers_ac_inst[Months],$A526))+LEN(INDEX(MfC_pers_ac_inst[Country],$A526))&gt;0,LEN(INDEX(MfC_pers_ac_inst[Category],$A526-1))+LEN(INDEX(MfC_pers_ac_inst[FTE],$A526-1))+LEN(INDEX(MfC_pers_ac_inst[Months],$A526-1))+LEN(INDEX(MfC_pers_ac_inst[Country],$A526-1))=0),$B$127,""),"")</f>
        <v/>
      </c>
      <c r="D526" s="195" t="str">
        <f>IFERROR(IF(AND(INDEX(MfC_pers_ac_inst[Category]="",$A526),OR(INDEX(MfC_pers_ac_inst[FTE],$A526)&gt;0,INDEX(MfC_pers_ac_inst[Months],$A526)&gt;0,INDEX(MfC_pers_ac_inst[Costs],$A526)&gt;0,LEN(INDEX(MfC_pers_ac_inst[Country],$A526))&gt;0)),$B$171,""),"")</f>
        <v/>
      </c>
      <c r="E526" s="195" t="str">
        <f>IF(AND(INDEX(MfC_pers_ac_inst[Category],A526)&lt;&gt;"",OR(INDEX(MfC_pers_ac_inst[FTE],A526)&lt;=0,INDEX(MfC_pers_ac_inst[Months],A526)&lt;=0)),INDEX(salaries_academic[],MATCH(INDEX(MfC_pers_ac_inst[Category],A526),salaries_academic[category],0),2),"")</f>
        <v/>
      </c>
      <c r="F526" s="195" t="str">
        <f>IFERROR(IF(Tabel33[Instruction]="",IF(AND(INDEX(MfC_pers_ac_inst[Country]="",A526),OR(INDEX(MfC_pers_ac_inst[Category],A526)&lt;&gt;"",INDEX(MfC_pers_ac_inst[FTE],A526)&gt;0,INDEX(MfC_pers_ac_inst[Months],A526)&gt;0,INDEX(MfC_pers_ac_inst[Costs],A526)&gt;0,LEN(INDEX(MfC_pers_ac_inst[Country],A526))&gt;0)),$B$173,""),""),"")</f>
        <v/>
      </c>
      <c r="G526" s="195" t="str">
        <f>IF(AND(Tabel33[Instruction]="",Tabel33[Country not specified]=""),IF(AND(INDEX(MfC_pers_ac_inst[Category],A526)&lt;&gt;"",INDEX(MfC_pers_ac_inst[Costs],A526)&lt;=0),IF(INDEX(salaries_academic[],MATCH(INDEX(MfC_pers_ac_inst[Category],A526),salaries_academic[category],0),3)="",$B$172,""),""),"")</f>
        <v/>
      </c>
      <c r="H526" s="218" t="str">
        <f>IFERROR(IF(AND(INDEX(salaries_academic[],MATCH(INDEX(MfC_pers_ac_inst[Category],A526),salaries_academic[category],0),3)&gt;0,INDEX(MfC_pers_ac_inst[Costs],A526)&gt;0),$B$174,""),"")</f>
        <v/>
      </c>
      <c r="I526" s="218" t="str">
        <f>IFERROR(IF(AND(organisation_type="yes",VALUE(INDEX(MfC_pers_ac_inst[Amount],A526))&gt;0,ISBLANK(INDEX(MfC_pers_ac_inst[Organisation type],A526))),$B$175,""),"")</f>
        <v/>
      </c>
      <c r="J526" s="218" t="str">
        <f>IFERROR(IF(AND(organisation_name="yes",VALUE(INDEX(MfC_pers_ac_inst[Amount],A526))&gt;0,ISBLANK(INDEX(MfC_pers_ac_inst[Name organisation],A526)),Tabel33[organisation type]=""),$B$176,""),"")</f>
        <v/>
      </c>
    </row>
    <row r="527" spans="1:10" outlineLevel="1" x14ac:dyDescent="0.35">
      <c r="A527" s="317">
        <v>8</v>
      </c>
      <c r="B527" s="317" t="str">
        <f t="array" ref="B527">IFERROR(INDEX(Tabel33[[#This Row],[Empty line]:[organisation name]],1,MATCH(TRUE,LEN(Tabel33[[#This Row],[Empty line]:[organisation name]])&gt;0,0)),"")</f>
        <v/>
      </c>
      <c r="C527" s="195" t="str">
        <f>IFERROR(IF(AND(LEN(INDEX(MfC_pers_ac_inst[Category],$A527))+LEN(INDEX(MfC_pers_ac_inst[FTE],$A527))+LEN(INDEX(MfC_pers_ac_inst[Months],$A527))+LEN(INDEX(MfC_pers_ac_inst[Country],$A527))&gt;0,LEN(INDEX(MfC_pers_ac_inst[Category],$A527-1))+LEN(INDEX(MfC_pers_ac_inst[FTE],$A527-1))+LEN(INDEX(MfC_pers_ac_inst[Months],$A527-1))+LEN(INDEX(MfC_pers_ac_inst[Country],$A527-1))=0),$B$127,""),"")</f>
        <v/>
      </c>
      <c r="D527" s="195" t="str">
        <f>IFERROR(IF(AND(INDEX(MfC_pers_ac_inst[Category]="",$A527),OR(INDEX(MfC_pers_ac_inst[FTE],$A527)&gt;0,INDEX(MfC_pers_ac_inst[Months],$A527)&gt;0,INDEX(MfC_pers_ac_inst[Costs],$A527)&gt;0,LEN(INDEX(MfC_pers_ac_inst[Country],$A527))&gt;0)),$B$171,""),"")</f>
        <v/>
      </c>
      <c r="E527" s="195" t="str">
        <f>IF(AND(INDEX(MfC_pers_ac_inst[Category],A527)&lt;&gt;"",OR(INDEX(MfC_pers_ac_inst[FTE],A527)&lt;=0,INDEX(MfC_pers_ac_inst[Months],A527)&lt;=0)),INDEX(salaries_academic[],MATCH(INDEX(MfC_pers_ac_inst[Category],A527),salaries_academic[category],0),2),"")</f>
        <v/>
      </c>
      <c r="F527" s="195" t="str">
        <f>IFERROR(IF(Tabel33[Instruction]="",IF(AND(INDEX(MfC_pers_ac_inst[Country]="",A527),OR(INDEX(MfC_pers_ac_inst[Category],A527)&lt;&gt;"",INDEX(MfC_pers_ac_inst[FTE],A527)&gt;0,INDEX(MfC_pers_ac_inst[Months],A527)&gt;0,INDEX(MfC_pers_ac_inst[Costs],A527)&gt;0,LEN(INDEX(MfC_pers_ac_inst[Country],A527))&gt;0)),$B$173,""),""),"")</f>
        <v/>
      </c>
      <c r="G527" s="195" t="str">
        <f>IF(AND(Tabel33[Instruction]="",Tabel33[Country not specified]=""),IF(AND(INDEX(MfC_pers_ac_inst[Category],A527)&lt;&gt;"",INDEX(MfC_pers_ac_inst[Costs],A527)&lt;=0),IF(INDEX(salaries_academic[],MATCH(INDEX(MfC_pers_ac_inst[Category],A527),salaries_academic[category],0),3)="",$B$172,""),""),"")</f>
        <v/>
      </c>
      <c r="H527" s="218" t="str">
        <f>IFERROR(IF(AND(INDEX(salaries_academic[],MATCH(INDEX(MfC_pers_ac_inst[Category],A527),salaries_academic[category],0),3)&gt;0,INDEX(MfC_pers_ac_inst[Costs],A527)&gt;0),$B$174,""),"")</f>
        <v/>
      </c>
      <c r="I527" s="218" t="str">
        <f>IFERROR(IF(AND(organisation_type="yes",VALUE(INDEX(MfC_pers_ac_inst[Amount],A527))&gt;0,ISBLANK(INDEX(MfC_pers_ac_inst[Organisation type],A527))),$B$175,""),"")</f>
        <v/>
      </c>
      <c r="J527" s="218" t="str">
        <f>IFERROR(IF(AND(organisation_name="yes",VALUE(INDEX(MfC_pers_ac_inst[Amount],A527))&gt;0,ISBLANK(INDEX(MfC_pers_ac_inst[Name organisation],A527)),Tabel33[organisation type]=""),$B$176,""),"")</f>
        <v/>
      </c>
    </row>
    <row r="528" spans="1:10" outlineLevel="1" x14ac:dyDescent="0.35">
      <c r="A528" s="317">
        <v>9</v>
      </c>
      <c r="B528" s="317" t="str">
        <f t="array" ref="B528">IFERROR(INDEX(Tabel33[[#This Row],[Empty line]:[organisation name]],1,MATCH(TRUE,LEN(Tabel33[[#This Row],[Empty line]:[organisation name]])&gt;0,0)),"")</f>
        <v/>
      </c>
      <c r="C528" s="195" t="str">
        <f>IFERROR(IF(AND(LEN(INDEX(MfC_pers_ac_inst[Category],$A528))+LEN(INDEX(MfC_pers_ac_inst[FTE],$A528))+LEN(INDEX(MfC_pers_ac_inst[Months],$A528))+LEN(INDEX(MfC_pers_ac_inst[Country],$A528))&gt;0,LEN(INDEX(MfC_pers_ac_inst[Category],$A528-1))+LEN(INDEX(MfC_pers_ac_inst[FTE],$A528-1))+LEN(INDEX(MfC_pers_ac_inst[Months],$A528-1))+LEN(INDEX(MfC_pers_ac_inst[Country],$A528-1))=0),$B$127,""),"")</f>
        <v/>
      </c>
      <c r="D528" s="195" t="str">
        <f>IFERROR(IF(AND(INDEX(MfC_pers_ac_inst[Category]="",$A528),OR(INDEX(MfC_pers_ac_inst[FTE],$A528)&gt;0,INDEX(MfC_pers_ac_inst[Months],$A528)&gt;0,INDEX(MfC_pers_ac_inst[Costs],$A528)&gt;0,LEN(INDEX(MfC_pers_ac_inst[Country],$A528))&gt;0)),$B$171,""),"")</f>
        <v/>
      </c>
      <c r="E528" s="195" t="str">
        <f>IF(AND(INDEX(MfC_pers_ac_inst[Category],A528)&lt;&gt;"",OR(INDEX(MfC_pers_ac_inst[FTE],A528)&lt;=0,INDEX(MfC_pers_ac_inst[Months],A528)&lt;=0)),INDEX(salaries_academic[],MATCH(INDEX(MfC_pers_ac_inst[Category],A528),salaries_academic[category],0),2),"")</f>
        <v/>
      </c>
      <c r="F528" s="195" t="str">
        <f>IFERROR(IF(Tabel33[Instruction]="",IF(AND(INDEX(MfC_pers_ac_inst[Country]="",A528),OR(INDEX(MfC_pers_ac_inst[Category],A528)&lt;&gt;"",INDEX(MfC_pers_ac_inst[FTE],A528)&gt;0,INDEX(MfC_pers_ac_inst[Months],A528)&gt;0,INDEX(MfC_pers_ac_inst[Costs],A528)&gt;0,LEN(INDEX(MfC_pers_ac_inst[Country],A528))&gt;0)),$B$173,""),""),"")</f>
        <v/>
      </c>
      <c r="G528" s="195" t="str">
        <f>IF(AND(Tabel33[Instruction]="",Tabel33[Country not specified]=""),IF(AND(INDEX(MfC_pers_ac_inst[Category],A528)&lt;&gt;"",INDEX(MfC_pers_ac_inst[Costs],A528)&lt;=0),IF(INDEX(salaries_academic[],MATCH(INDEX(MfC_pers_ac_inst[Category],A528),salaries_academic[category],0),3)="",$B$172,""),""),"")</f>
        <v/>
      </c>
      <c r="H528" s="218" t="str">
        <f>IFERROR(IF(AND(INDEX(salaries_academic[],MATCH(INDEX(MfC_pers_ac_inst[Category],A528),salaries_academic[category],0),3)&gt;0,INDEX(MfC_pers_ac_inst[Costs],A528)&gt;0),$B$174,""),"")</f>
        <v/>
      </c>
      <c r="I528" s="218" t="str">
        <f>IFERROR(IF(AND(organisation_type="yes",VALUE(INDEX(MfC_pers_ac_inst[Amount],A528))&gt;0,ISBLANK(INDEX(MfC_pers_ac_inst[Organisation type],A528))),$B$175,""),"")</f>
        <v/>
      </c>
      <c r="J528" s="218" t="str">
        <f>IFERROR(IF(AND(organisation_name="yes",VALUE(INDEX(MfC_pers_ac_inst[Amount],A528))&gt;0,ISBLANK(INDEX(MfC_pers_ac_inst[Name organisation],A528)),Tabel33[organisation type]=""),$B$176,""),"")</f>
        <v/>
      </c>
    </row>
    <row r="529" spans="1:10" outlineLevel="1" x14ac:dyDescent="0.35">
      <c r="A529" s="317">
        <v>10</v>
      </c>
      <c r="B529" s="317" t="str">
        <f t="array" ref="B529">IFERROR(INDEX(Tabel33[[#This Row],[Empty line]:[organisation name]],1,MATCH(TRUE,LEN(Tabel33[[#This Row],[Empty line]:[organisation name]])&gt;0,0)),"")</f>
        <v/>
      </c>
      <c r="C529" s="195" t="str">
        <f>IFERROR(IF(AND(LEN(INDEX(MfC_pers_ac_inst[Category],$A529))+LEN(INDEX(MfC_pers_ac_inst[FTE],$A529))+LEN(INDEX(MfC_pers_ac_inst[Months],$A529))+LEN(INDEX(MfC_pers_ac_inst[Country],$A529))&gt;0,LEN(INDEX(MfC_pers_ac_inst[Category],$A529-1))+LEN(INDEX(MfC_pers_ac_inst[FTE],$A529-1))+LEN(INDEX(MfC_pers_ac_inst[Months],$A529-1))+LEN(INDEX(MfC_pers_ac_inst[Country],$A529-1))=0),$B$127,""),"")</f>
        <v/>
      </c>
      <c r="D529" s="195" t="str">
        <f>IFERROR(IF(AND(INDEX(MfC_pers_ac_inst[Category]="",$A529),OR(INDEX(MfC_pers_ac_inst[FTE],$A529)&gt;0,INDEX(MfC_pers_ac_inst[Months],$A529)&gt;0,INDEX(MfC_pers_ac_inst[Costs],$A529)&gt;0,LEN(INDEX(MfC_pers_ac_inst[Country],$A529))&gt;0)),$B$171,""),"")</f>
        <v/>
      </c>
      <c r="E529" s="195" t="str">
        <f>IF(AND(INDEX(MfC_pers_ac_inst[Category],A529)&lt;&gt;"",OR(INDEX(MfC_pers_ac_inst[FTE],A529)&lt;=0,INDEX(MfC_pers_ac_inst[Months],A529)&lt;=0)),INDEX(salaries_academic[],MATCH(INDEX(MfC_pers_ac_inst[Category],A529),salaries_academic[category],0),2),"")</f>
        <v/>
      </c>
      <c r="F529" s="195" t="str">
        <f>IFERROR(IF(Tabel33[Instruction]="",IF(AND(INDEX(MfC_pers_ac_inst[Country]="",A529),OR(INDEX(MfC_pers_ac_inst[Category],A529)&lt;&gt;"",INDEX(MfC_pers_ac_inst[FTE],A529)&gt;0,INDEX(MfC_pers_ac_inst[Months],A529)&gt;0,INDEX(MfC_pers_ac_inst[Costs],A529)&gt;0,LEN(INDEX(MfC_pers_ac_inst[Country],A529))&gt;0)),$B$173,""),""),"")</f>
        <v/>
      </c>
      <c r="G529" s="195" t="str">
        <f>IF(AND(Tabel33[Instruction]="",Tabel33[Country not specified]=""),IF(AND(INDEX(MfC_pers_ac_inst[Category],A529)&lt;&gt;"",INDEX(MfC_pers_ac_inst[Costs],A529)&lt;=0),IF(INDEX(salaries_academic[],MATCH(INDEX(MfC_pers_ac_inst[Category],A529),salaries_academic[category],0),3)="",$B$172,""),""),"")</f>
        <v/>
      </c>
      <c r="H529" s="218" t="str">
        <f>IFERROR(IF(AND(INDEX(salaries_academic[],MATCH(INDEX(MfC_pers_ac_inst[Category],A529),salaries_academic[category],0),3)&gt;0,INDEX(MfC_pers_ac_inst[Costs],A529)&gt;0),$B$174,""),"")</f>
        <v/>
      </c>
      <c r="I529" s="218" t="str">
        <f>IFERROR(IF(AND(organisation_type="yes",VALUE(INDEX(MfC_pers_ac_inst[Amount],A529))&gt;0,ISBLANK(INDEX(MfC_pers_ac_inst[Organisation type],A529))),$B$175,""),"")</f>
        <v/>
      </c>
      <c r="J529" s="218" t="str">
        <f>IFERROR(IF(AND(organisation_name="yes",VALUE(INDEX(MfC_pers_ac_inst[Amount],A529))&gt;0,ISBLANK(INDEX(MfC_pers_ac_inst[Name organisation],A529)),Tabel33[organisation type]=""),$B$176,""),"")</f>
        <v/>
      </c>
    </row>
    <row r="530" spans="1:10" outlineLevel="1" x14ac:dyDescent="0.35">
      <c r="A530" s="317">
        <v>11</v>
      </c>
      <c r="B530" s="317" t="str">
        <f t="array" ref="B530">IFERROR(INDEX(Tabel33[[#This Row],[Empty line]:[organisation name]],1,MATCH(TRUE,LEN(Tabel33[[#This Row],[Empty line]:[organisation name]])&gt;0,0)),"")</f>
        <v/>
      </c>
      <c r="C530" s="195" t="str">
        <f>IFERROR(IF(AND(LEN(INDEX(MfC_pers_ac_inst[Category],$A530))+LEN(INDEX(MfC_pers_ac_inst[FTE],$A530))+LEN(INDEX(MfC_pers_ac_inst[Months],$A530))+LEN(INDEX(MfC_pers_ac_inst[Country],$A530))&gt;0,LEN(INDEX(MfC_pers_ac_inst[Category],$A530-1))+LEN(INDEX(MfC_pers_ac_inst[FTE],$A530-1))+LEN(INDEX(MfC_pers_ac_inst[Months],$A530-1))+LEN(INDEX(MfC_pers_ac_inst[Country],$A530-1))=0),$B$127,""),"")</f>
        <v/>
      </c>
      <c r="D530" s="195" t="str">
        <f>IFERROR(IF(AND(INDEX(MfC_pers_ac_inst[Category]="",$A530),OR(INDEX(MfC_pers_ac_inst[FTE],$A530)&gt;0,INDEX(MfC_pers_ac_inst[Months],$A530)&gt;0,INDEX(MfC_pers_ac_inst[Costs],$A530)&gt;0,LEN(INDEX(MfC_pers_ac_inst[Country],$A530))&gt;0)),$B$171,""),"")</f>
        <v/>
      </c>
      <c r="E530" s="195" t="e">
        <f>IF(AND(INDEX(MfC_pers_ac_inst[Category],A530)&lt;&gt;"",OR(INDEX(MfC_pers_ac_inst[FTE],A530)&lt;=0,INDEX(MfC_pers_ac_inst[Months],A530)&lt;=0)),INDEX(salaries_academic[],MATCH(INDEX(MfC_pers_ac_inst[Category],A530),salaries_academic[category],0),2),"")</f>
        <v>#REF!</v>
      </c>
      <c r="F530" s="195" t="str">
        <f>IFERROR(IF(Tabel33[Instruction]="",IF(AND(INDEX(MfC_pers_ac_inst[Country]="",A530),OR(INDEX(MfC_pers_ac_inst[Category],A530)&lt;&gt;"",INDEX(MfC_pers_ac_inst[FTE],A530)&gt;0,INDEX(MfC_pers_ac_inst[Months],A530)&gt;0,INDEX(MfC_pers_ac_inst[Costs],A530)&gt;0,LEN(INDEX(MfC_pers_ac_inst[Country],A530))&gt;0)),$B$173,""),""),"")</f>
        <v/>
      </c>
      <c r="G530" s="195" t="e">
        <f>IF(AND(Tabel33[Instruction]="",Tabel33[Country not specified]=""),IF(AND(INDEX(MfC_pers_ac_inst[Category],A530)&lt;&gt;"",INDEX(MfC_pers_ac_inst[Costs],A530)&lt;=0),IF(INDEX(salaries_academic[],MATCH(INDEX(MfC_pers_ac_inst[Category],A530),salaries_academic[category],0),3)="",$B$172,""),""),"")</f>
        <v>#REF!</v>
      </c>
      <c r="H530" s="218" t="str">
        <f>IFERROR(IF(AND(INDEX(salaries_academic[],MATCH(INDEX(MfC_pers_ac_inst[Category],A530),salaries_academic[category],0),3)&gt;0,INDEX(MfC_pers_ac_inst[Costs],A530)&gt;0),$B$174,""),"")</f>
        <v/>
      </c>
      <c r="I530" s="218" t="str">
        <f>IFERROR(IF(AND(organisation_type="yes",VALUE(INDEX(MfC_pers_ac_inst[Amount],A530))&gt;0,ISBLANK(INDEX(MfC_pers_ac_inst[Organisation type],A530))),$B$175,""),"")</f>
        <v/>
      </c>
      <c r="J530" s="218" t="str">
        <f>IFERROR(IF(AND(organisation_name="yes",VALUE(INDEX(MfC_pers_ac_inst[Amount],A530))&gt;0,ISBLANK(INDEX(MfC_pers_ac_inst[Name organisation],A530)),Tabel33[organisation type]=""),$B$176,""),"")</f>
        <v/>
      </c>
    </row>
    <row r="531" spans="1:10" outlineLevel="1" x14ac:dyDescent="0.35">
      <c r="A531" s="317">
        <v>12</v>
      </c>
      <c r="B531" s="317" t="str">
        <f t="array" ref="B531">IFERROR(INDEX(Tabel33[[#This Row],[Empty line]:[organisation name]],1,MATCH(TRUE,LEN(Tabel33[[#This Row],[Empty line]:[organisation name]])&gt;0,0)),"")</f>
        <v/>
      </c>
      <c r="C531" s="195" t="str">
        <f>IFERROR(IF(AND(LEN(INDEX(MfC_pers_ac_inst[Category],$A531))+LEN(INDEX(MfC_pers_ac_inst[FTE],$A531))+LEN(INDEX(MfC_pers_ac_inst[Months],$A531))+LEN(INDEX(MfC_pers_ac_inst[Country],$A531))&gt;0,LEN(INDEX(MfC_pers_ac_inst[Category],$A531-1))+LEN(INDEX(MfC_pers_ac_inst[FTE],$A531-1))+LEN(INDEX(MfC_pers_ac_inst[Months],$A531-1))+LEN(INDEX(MfC_pers_ac_inst[Country],$A531-1))=0),$B$127,""),"")</f>
        <v/>
      </c>
      <c r="D531" s="195" t="str">
        <f>IFERROR(IF(AND(INDEX(MfC_pers_ac_inst[Category]="",$A531),OR(INDEX(MfC_pers_ac_inst[FTE],$A531)&gt;0,INDEX(MfC_pers_ac_inst[Months],$A531)&gt;0,INDEX(MfC_pers_ac_inst[Costs],$A531)&gt;0,LEN(INDEX(MfC_pers_ac_inst[Country],$A531))&gt;0)),$B$171,""),"")</f>
        <v/>
      </c>
      <c r="E531" s="195" t="e">
        <f>IF(AND(INDEX(MfC_pers_ac_inst[Category],A531)&lt;&gt;"",OR(INDEX(MfC_pers_ac_inst[FTE],A531)&lt;=0,INDEX(MfC_pers_ac_inst[Months],A531)&lt;=0)),INDEX(salaries_academic[],MATCH(INDEX(MfC_pers_ac_inst[Category],A531),salaries_academic[category],0),2),"")</f>
        <v>#REF!</v>
      </c>
      <c r="F531" s="195" t="str">
        <f>IFERROR(IF(Tabel33[Instruction]="",IF(AND(INDEX(MfC_pers_ac_inst[Country]="",A531),OR(INDEX(MfC_pers_ac_inst[Category],A531)&lt;&gt;"",INDEX(MfC_pers_ac_inst[FTE],A531)&gt;0,INDEX(MfC_pers_ac_inst[Months],A531)&gt;0,INDEX(MfC_pers_ac_inst[Costs],A531)&gt;0,LEN(INDEX(MfC_pers_ac_inst[Country],A531))&gt;0)),$B$173,""),""),"")</f>
        <v/>
      </c>
      <c r="G531" s="195" t="e">
        <f>IF(AND(Tabel33[Instruction]="",Tabel33[Country not specified]=""),IF(AND(INDEX(MfC_pers_ac_inst[Category],A531)&lt;&gt;"",INDEX(MfC_pers_ac_inst[Costs],A531)&lt;=0),IF(INDEX(salaries_academic[],MATCH(INDEX(MfC_pers_ac_inst[Category],A531),salaries_academic[category],0),3)="",$B$172,""),""),"")</f>
        <v>#REF!</v>
      </c>
      <c r="H531" s="218" t="str">
        <f>IFERROR(IF(AND(INDEX(salaries_academic[],MATCH(INDEX(MfC_pers_ac_inst[Category],A531),salaries_academic[category],0),3)&gt;0,INDEX(MfC_pers_ac_inst[Costs],A531)&gt;0),$B$174,""),"")</f>
        <v/>
      </c>
      <c r="I531" s="218" t="str">
        <f>IFERROR(IF(AND(organisation_type="yes",VALUE(INDEX(MfC_pers_ac_inst[Amount],A531))&gt;0,ISBLANK(INDEX(MfC_pers_ac_inst[Organisation type],A531))),$B$175,""),"")</f>
        <v/>
      </c>
      <c r="J531" s="218" t="str">
        <f>IFERROR(IF(AND(organisation_name="yes",VALUE(INDEX(MfC_pers_ac_inst[Amount],A531))&gt;0,ISBLANK(INDEX(MfC_pers_ac_inst[Name organisation],A531)),Tabel33[organisation type]=""),$B$176,""),"")</f>
        <v/>
      </c>
    </row>
    <row r="532" spans="1:10" outlineLevel="1" x14ac:dyDescent="0.35">
      <c r="A532" s="317">
        <v>13</v>
      </c>
      <c r="B532" s="317" t="str">
        <f t="array" ref="B532">IFERROR(INDEX(Tabel33[[#This Row],[Empty line]:[organisation name]],1,MATCH(TRUE,LEN(Tabel33[[#This Row],[Empty line]:[organisation name]])&gt;0,0)),"")</f>
        <v/>
      </c>
      <c r="C532" s="195" t="str">
        <f>IFERROR(IF(AND(LEN(INDEX(MfC_pers_ac_inst[Category],$A532))+LEN(INDEX(MfC_pers_ac_inst[FTE],$A532))+LEN(INDEX(MfC_pers_ac_inst[Months],$A532))+LEN(INDEX(MfC_pers_ac_inst[Country],$A532))&gt;0,LEN(INDEX(MfC_pers_ac_inst[Category],$A532-1))+LEN(INDEX(MfC_pers_ac_inst[FTE],$A532-1))+LEN(INDEX(MfC_pers_ac_inst[Months],$A532-1))+LEN(INDEX(MfC_pers_ac_inst[Country],$A532-1))=0),$B$127,""),"")</f>
        <v/>
      </c>
      <c r="D532" s="195" t="str">
        <f>IFERROR(IF(AND(INDEX(MfC_pers_ac_inst[Category]="",$A532),OR(INDEX(MfC_pers_ac_inst[FTE],$A532)&gt;0,INDEX(MfC_pers_ac_inst[Months],$A532)&gt;0,INDEX(MfC_pers_ac_inst[Costs],$A532)&gt;0,LEN(INDEX(MfC_pers_ac_inst[Country],$A532))&gt;0)),$B$171,""),"")</f>
        <v/>
      </c>
      <c r="E532" s="195" t="e">
        <f>IF(AND(INDEX(MfC_pers_ac_inst[Category],A532)&lt;&gt;"",OR(INDEX(MfC_pers_ac_inst[FTE],A532)&lt;=0,INDEX(MfC_pers_ac_inst[Months],A532)&lt;=0)),INDEX(salaries_academic[],MATCH(INDEX(MfC_pers_ac_inst[Category],A532),salaries_academic[category],0),2),"")</f>
        <v>#REF!</v>
      </c>
      <c r="F532" s="195" t="str">
        <f>IFERROR(IF(Tabel33[Instruction]="",IF(AND(INDEX(MfC_pers_ac_inst[Country]="",A532),OR(INDEX(MfC_pers_ac_inst[Category],A532)&lt;&gt;"",INDEX(MfC_pers_ac_inst[FTE],A532)&gt;0,INDEX(MfC_pers_ac_inst[Months],A532)&gt;0,INDEX(MfC_pers_ac_inst[Costs],A532)&gt;0,LEN(INDEX(MfC_pers_ac_inst[Country],A532))&gt;0)),$B$173,""),""),"")</f>
        <v/>
      </c>
      <c r="G532" s="195" t="e">
        <f>IF(AND(Tabel33[Instruction]="",Tabel33[Country not specified]=""),IF(AND(INDEX(MfC_pers_ac_inst[Category],A532)&lt;&gt;"",INDEX(MfC_pers_ac_inst[Costs],A532)&lt;=0),IF(INDEX(salaries_academic[],MATCH(INDEX(MfC_pers_ac_inst[Category],A532),salaries_academic[category],0),3)="",$B$172,""),""),"")</f>
        <v>#REF!</v>
      </c>
      <c r="H532" s="218" t="str">
        <f>IFERROR(IF(AND(INDEX(salaries_academic[],MATCH(INDEX(MfC_pers_ac_inst[Category],A532),salaries_academic[category],0),3)&gt;0,INDEX(MfC_pers_ac_inst[Costs],A532)&gt;0),$B$174,""),"")</f>
        <v/>
      </c>
      <c r="I532" s="218" t="str">
        <f>IFERROR(IF(AND(organisation_type="yes",VALUE(INDEX(MfC_pers_ac_inst[Amount],A532))&gt;0,ISBLANK(INDEX(MfC_pers_ac_inst[Organisation type],A532))),$B$175,""),"")</f>
        <v/>
      </c>
      <c r="J532" s="218" t="str">
        <f>IFERROR(IF(AND(organisation_name="yes",VALUE(INDEX(MfC_pers_ac_inst[Amount],A532))&gt;0,ISBLANK(INDEX(MfC_pers_ac_inst[Name organisation],A532)),Tabel33[organisation type]=""),$B$176,""),"")</f>
        <v/>
      </c>
    </row>
    <row r="533" spans="1:10" outlineLevel="1" x14ac:dyDescent="0.35">
      <c r="A533" s="317">
        <v>14</v>
      </c>
      <c r="B533" s="317" t="str">
        <f t="array" ref="B533">IFERROR(INDEX(Tabel33[[#This Row],[Empty line]:[organisation name]],1,MATCH(TRUE,LEN(Tabel33[[#This Row],[Empty line]:[organisation name]])&gt;0,0)),"")</f>
        <v/>
      </c>
      <c r="C533" s="195" t="str">
        <f>IFERROR(IF(AND(LEN(INDEX(MfC_pers_ac_inst[Category],$A533))+LEN(INDEX(MfC_pers_ac_inst[FTE],$A533))+LEN(INDEX(MfC_pers_ac_inst[Months],$A533))+LEN(INDEX(MfC_pers_ac_inst[Country],$A533))&gt;0,LEN(INDEX(MfC_pers_ac_inst[Category],$A533-1))+LEN(INDEX(MfC_pers_ac_inst[FTE],$A533-1))+LEN(INDEX(MfC_pers_ac_inst[Months],$A533-1))+LEN(INDEX(MfC_pers_ac_inst[Country],$A533-1))=0),$B$127,""),"")</f>
        <v/>
      </c>
      <c r="D533" s="195" t="str">
        <f>IFERROR(IF(AND(INDEX(MfC_pers_ac_inst[Category]="",$A533),OR(INDEX(MfC_pers_ac_inst[FTE],$A533)&gt;0,INDEX(MfC_pers_ac_inst[Months],$A533)&gt;0,INDEX(MfC_pers_ac_inst[Costs],$A533)&gt;0,LEN(INDEX(MfC_pers_ac_inst[Country],$A533))&gt;0)),$B$171,""),"")</f>
        <v/>
      </c>
      <c r="E533" s="195" t="e">
        <f>IF(AND(INDEX(MfC_pers_ac_inst[Category],A533)&lt;&gt;"",OR(INDEX(MfC_pers_ac_inst[FTE],A533)&lt;=0,INDEX(MfC_pers_ac_inst[Months],A533)&lt;=0)),INDEX(salaries_academic[],MATCH(INDEX(MfC_pers_ac_inst[Category],A533),salaries_academic[category],0),2),"")</f>
        <v>#REF!</v>
      </c>
      <c r="F533" s="195" t="str">
        <f>IFERROR(IF(Tabel33[Instruction]="",IF(AND(INDEX(MfC_pers_ac_inst[Country]="",A533),OR(INDEX(MfC_pers_ac_inst[Category],A533)&lt;&gt;"",INDEX(MfC_pers_ac_inst[FTE],A533)&gt;0,INDEX(MfC_pers_ac_inst[Months],A533)&gt;0,INDEX(MfC_pers_ac_inst[Costs],A533)&gt;0,LEN(INDEX(MfC_pers_ac_inst[Country],A533))&gt;0)),$B$173,""),""),"")</f>
        <v/>
      </c>
      <c r="G533" s="195" t="e">
        <f>IF(AND(Tabel33[Instruction]="",Tabel33[Country not specified]=""),IF(AND(INDEX(MfC_pers_ac_inst[Category],A533)&lt;&gt;"",INDEX(MfC_pers_ac_inst[Costs],A533)&lt;=0),IF(INDEX(salaries_academic[],MATCH(INDEX(MfC_pers_ac_inst[Category],A533),salaries_academic[category],0),3)="",$B$172,""),""),"")</f>
        <v>#REF!</v>
      </c>
      <c r="H533" s="218" t="str">
        <f>IFERROR(IF(AND(INDEX(salaries_academic[],MATCH(INDEX(MfC_pers_ac_inst[Category],A533),salaries_academic[category],0),3)&gt;0,INDEX(MfC_pers_ac_inst[Costs],A533)&gt;0),$B$174,""),"")</f>
        <v/>
      </c>
      <c r="I533" s="218" t="str">
        <f>IFERROR(IF(AND(organisation_type="yes",VALUE(INDEX(MfC_pers_ac_inst[Amount],A533))&gt;0,ISBLANK(INDEX(MfC_pers_ac_inst[Organisation type],A533))),$B$175,""),"")</f>
        <v/>
      </c>
      <c r="J533" s="218" t="str">
        <f>IFERROR(IF(AND(organisation_name="yes",VALUE(INDEX(MfC_pers_ac_inst[Amount],A533))&gt;0,ISBLANK(INDEX(MfC_pers_ac_inst[Name organisation],A533)),Tabel33[organisation type]=""),$B$176,""),"")</f>
        <v/>
      </c>
    </row>
    <row r="534" spans="1:10" outlineLevel="1" x14ac:dyDescent="0.35">
      <c r="A534" s="317">
        <v>15</v>
      </c>
      <c r="B534" s="317" t="str">
        <f t="array" ref="B534">IFERROR(INDEX(Tabel33[[#This Row],[Empty line]:[organisation name]],1,MATCH(TRUE,LEN(Tabel33[[#This Row],[Empty line]:[organisation name]])&gt;0,0)),"")</f>
        <v/>
      </c>
      <c r="C534" s="195" t="str">
        <f>IFERROR(IF(AND(LEN(INDEX(MfC_pers_ac_inst[Category],$A534))+LEN(INDEX(MfC_pers_ac_inst[FTE],$A534))+LEN(INDEX(MfC_pers_ac_inst[Months],$A534))+LEN(INDEX(MfC_pers_ac_inst[Country],$A534))&gt;0,LEN(INDEX(MfC_pers_ac_inst[Category],$A534-1))+LEN(INDEX(MfC_pers_ac_inst[FTE],$A534-1))+LEN(INDEX(MfC_pers_ac_inst[Months],$A534-1))+LEN(INDEX(MfC_pers_ac_inst[Country],$A534-1))=0),$B$127,""),"")</f>
        <v/>
      </c>
      <c r="D534" s="195" t="str">
        <f>IFERROR(IF(AND(INDEX(MfC_pers_ac_inst[Category]="",$A534),OR(INDEX(MfC_pers_ac_inst[FTE],$A534)&gt;0,INDEX(MfC_pers_ac_inst[Months],$A534)&gt;0,INDEX(MfC_pers_ac_inst[Costs],$A534)&gt;0,LEN(INDEX(MfC_pers_ac_inst[Country],$A534))&gt;0)),$B$171,""),"")</f>
        <v/>
      </c>
      <c r="E534" s="195" t="e">
        <f>IF(AND(INDEX(MfC_pers_ac_inst[Category],A534)&lt;&gt;"",OR(INDEX(MfC_pers_ac_inst[FTE],A534)&lt;=0,INDEX(MfC_pers_ac_inst[Months],A534)&lt;=0)),INDEX(salaries_academic[],MATCH(INDEX(MfC_pers_ac_inst[Category],A534),salaries_academic[category],0),2),"")</f>
        <v>#REF!</v>
      </c>
      <c r="F534" s="195" t="str">
        <f>IFERROR(IF(Tabel33[Instruction]="",IF(AND(INDEX(MfC_pers_ac_inst[Country]="",A534),OR(INDEX(MfC_pers_ac_inst[Category],A534)&lt;&gt;"",INDEX(MfC_pers_ac_inst[FTE],A534)&gt;0,INDEX(MfC_pers_ac_inst[Months],A534)&gt;0,INDEX(MfC_pers_ac_inst[Costs],A534)&gt;0,LEN(INDEX(MfC_pers_ac_inst[Country],A534))&gt;0)),$B$173,""),""),"")</f>
        <v/>
      </c>
      <c r="G534" s="195" t="e">
        <f>IF(AND(Tabel33[Instruction]="",Tabel33[Country not specified]=""),IF(AND(INDEX(MfC_pers_ac_inst[Category],A534)&lt;&gt;"",INDEX(MfC_pers_ac_inst[Costs],A534)&lt;=0),IF(INDEX(salaries_academic[],MATCH(INDEX(MfC_pers_ac_inst[Category],A534),salaries_academic[category],0),3)="",$B$172,""),""),"")</f>
        <v>#REF!</v>
      </c>
      <c r="H534" s="218" t="str">
        <f>IFERROR(IF(AND(INDEX(salaries_academic[],MATCH(INDEX(MfC_pers_ac_inst[Category],A534),salaries_academic[category],0),3)&gt;0,INDEX(MfC_pers_ac_inst[Costs],A534)&gt;0),$B$174,""),"")</f>
        <v/>
      </c>
      <c r="I534" s="218" t="str">
        <f>IFERROR(IF(AND(organisation_type="yes",VALUE(INDEX(MfC_pers_ac_inst[Amount],A534))&gt;0,ISBLANK(INDEX(MfC_pers_ac_inst[Organisation type],A534))),$B$175,""),"")</f>
        <v/>
      </c>
      <c r="J534" s="218" t="str">
        <f>IFERROR(IF(AND(organisation_name="yes",VALUE(INDEX(MfC_pers_ac_inst[Amount],A534))&gt;0,ISBLANK(INDEX(MfC_pers_ac_inst[Name organisation],A534)),Tabel33[organisation type]=""),$B$176,""),"")</f>
        <v/>
      </c>
    </row>
    <row r="535" spans="1:10" outlineLevel="1" x14ac:dyDescent="0.35">
      <c r="A535" s="317">
        <v>16</v>
      </c>
      <c r="B535" s="317" t="str">
        <f t="array" ref="B535">IFERROR(INDEX(Tabel33[[#This Row],[Empty line]:[organisation name]],1,MATCH(TRUE,LEN(Tabel33[[#This Row],[Empty line]:[organisation name]])&gt;0,0)),"")</f>
        <v/>
      </c>
      <c r="C535" s="195" t="str">
        <f>IFERROR(IF(AND(LEN(INDEX(MfC_pers_ac_inst[Category],$A535))+LEN(INDEX(MfC_pers_ac_inst[FTE],$A535))+LEN(INDEX(MfC_pers_ac_inst[Months],$A535))+LEN(INDEX(MfC_pers_ac_inst[Country],$A535))&gt;0,LEN(INDEX(MfC_pers_ac_inst[Category],$A535-1))+LEN(INDEX(MfC_pers_ac_inst[FTE],$A535-1))+LEN(INDEX(MfC_pers_ac_inst[Months],$A535-1))+LEN(INDEX(MfC_pers_ac_inst[Country],$A535-1))=0),$B$127,""),"")</f>
        <v/>
      </c>
      <c r="D535" s="195" t="str">
        <f>IFERROR(IF(AND(INDEX(MfC_pers_ac_inst[Category]="",$A535),OR(INDEX(MfC_pers_ac_inst[FTE],$A535)&gt;0,INDEX(MfC_pers_ac_inst[Months],$A535)&gt;0,INDEX(MfC_pers_ac_inst[Costs],$A535)&gt;0,LEN(INDEX(MfC_pers_ac_inst[Country],$A535))&gt;0)),$B$171,""),"")</f>
        <v/>
      </c>
      <c r="E535" s="195" t="e">
        <f>IF(AND(INDEX(MfC_pers_ac_inst[Category],A535)&lt;&gt;"",OR(INDEX(MfC_pers_ac_inst[FTE],A535)&lt;=0,INDEX(MfC_pers_ac_inst[Months],A535)&lt;=0)),INDEX(salaries_academic[],MATCH(INDEX(MfC_pers_ac_inst[Category],A535),salaries_academic[category],0),2),"")</f>
        <v>#REF!</v>
      </c>
      <c r="F535" s="195" t="str">
        <f>IFERROR(IF(Tabel33[Instruction]="",IF(AND(INDEX(MfC_pers_ac_inst[Country]="",A535),OR(INDEX(MfC_pers_ac_inst[Category],A535)&lt;&gt;"",INDEX(MfC_pers_ac_inst[FTE],A535)&gt;0,INDEX(MfC_pers_ac_inst[Months],A535)&gt;0,INDEX(MfC_pers_ac_inst[Costs],A535)&gt;0,LEN(INDEX(MfC_pers_ac_inst[Country],A535))&gt;0)),$B$173,""),""),"")</f>
        <v/>
      </c>
      <c r="G535" s="195" t="e">
        <f>IF(AND(Tabel33[Instruction]="",Tabel33[Country not specified]=""),IF(AND(INDEX(MfC_pers_ac_inst[Category],A535)&lt;&gt;"",INDEX(MfC_pers_ac_inst[Costs],A535)&lt;=0),IF(INDEX(salaries_academic[],MATCH(INDEX(MfC_pers_ac_inst[Category],A535),salaries_academic[category],0),3)="",$B$172,""),""),"")</f>
        <v>#REF!</v>
      </c>
      <c r="H535" s="218" t="str">
        <f>IFERROR(IF(AND(INDEX(salaries_academic[],MATCH(INDEX(MfC_pers_ac_inst[Category],A535),salaries_academic[category],0),3)&gt;0,INDEX(MfC_pers_ac_inst[Costs],A535)&gt;0),$B$174,""),"")</f>
        <v/>
      </c>
      <c r="I535" s="218" t="str">
        <f>IFERROR(IF(AND(organisation_type="yes",VALUE(INDEX(MfC_pers_ac_inst[Amount],A535))&gt;0,ISBLANK(INDEX(MfC_pers_ac_inst[Organisation type],A535))),$B$175,""),"")</f>
        <v/>
      </c>
      <c r="J535" s="218" t="str">
        <f>IFERROR(IF(AND(organisation_name="yes",VALUE(INDEX(MfC_pers_ac_inst[Amount],A535))&gt;0,ISBLANK(INDEX(MfC_pers_ac_inst[Name organisation],A535)),Tabel33[organisation type]=""),$B$176,""),"")</f>
        <v/>
      </c>
    </row>
    <row r="536" spans="1:10" outlineLevel="1" x14ac:dyDescent="0.35">
      <c r="A536" s="317">
        <v>17</v>
      </c>
      <c r="B536" s="317" t="str">
        <f t="array" ref="B536">IFERROR(INDEX(Tabel33[[#This Row],[Empty line]:[organisation name]],1,MATCH(TRUE,LEN(Tabel33[[#This Row],[Empty line]:[organisation name]])&gt;0,0)),"")</f>
        <v/>
      </c>
      <c r="C536" s="195" t="str">
        <f>IFERROR(IF(AND(LEN(INDEX(MfC_pers_ac_inst[Category],$A536))+LEN(INDEX(MfC_pers_ac_inst[FTE],$A536))+LEN(INDEX(MfC_pers_ac_inst[Months],$A536))+LEN(INDEX(MfC_pers_ac_inst[Country],$A536))&gt;0,LEN(INDEX(MfC_pers_ac_inst[Category],$A536-1))+LEN(INDEX(MfC_pers_ac_inst[FTE],$A536-1))+LEN(INDEX(MfC_pers_ac_inst[Months],$A536-1))+LEN(INDEX(MfC_pers_ac_inst[Country],$A536-1))=0),$B$127,""),"")</f>
        <v/>
      </c>
      <c r="D536" s="195" t="str">
        <f>IFERROR(IF(AND(INDEX(MfC_pers_ac_inst[Category]="",$A536),OR(INDEX(MfC_pers_ac_inst[FTE],$A536)&gt;0,INDEX(MfC_pers_ac_inst[Months],$A536)&gt;0,INDEX(MfC_pers_ac_inst[Costs],$A536)&gt;0,LEN(INDEX(MfC_pers_ac_inst[Country],$A536))&gt;0)),$B$171,""),"")</f>
        <v/>
      </c>
      <c r="E536" s="195" t="e">
        <f>IF(AND(INDEX(MfC_pers_ac_inst[Category],A536)&lt;&gt;"",OR(INDEX(MfC_pers_ac_inst[FTE],A536)&lt;=0,INDEX(MfC_pers_ac_inst[Months],A536)&lt;=0)),INDEX(salaries_academic[],MATCH(INDEX(MfC_pers_ac_inst[Category],A536),salaries_academic[category],0),2),"")</f>
        <v>#REF!</v>
      </c>
      <c r="F536" s="195" t="str">
        <f>IFERROR(IF(Tabel33[Instruction]="",IF(AND(INDEX(MfC_pers_ac_inst[Country]="",A536),OR(INDEX(MfC_pers_ac_inst[Category],A536)&lt;&gt;"",INDEX(MfC_pers_ac_inst[FTE],A536)&gt;0,INDEX(MfC_pers_ac_inst[Months],A536)&gt;0,INDEX(MfC_pers_ac_inst[Costs],A536)&gt;0,LEN(INDEX(MfC_pers_ac_inst[Country],A536))&gt;0)),$B$173,""),""),"")</f>
        <v/>
      </c>
      <c r="G536" s="195" t="e">
        <f>IF(AND(Tabel33[Instruction]="",Tabel33[Country not specified]=""),IF(AND(INDEX(MfC_pers_ac_inst[Category],A536)&lt;&gt;"",INDEX(MfC_pers_ac_inst[Costs],A536)&lt;=0),IF(INDEX(salaries_academic[],MATCH(INDEX(MfC_pers_ac_inst[Category],A536),salaries_academic[category],0),3)="",$B$172,""),""),"")</f>
        <v>#REF!</v>
      </c>
      <c r="H536" s="218" t="str">
        <f>IFERROR(IF(AND(INDEX(salaries_academic[],MATCH(INDEX(MfC_pers_ac_inst[Category],A536),salaries_academic[category],0),3)&gt;0,INDEX(MfC_pers_ac_inst[Costs],A536)&gt;0),$B$174,""),"")</f>
        <v/>
      </c>
      <c r="I536" s="218" t="str">
        <f>IFERROR(IF(AND(organisation_type="yes",VALUE(INDEX(MfC_pers_ac_inst[Amount],A536))&gt;0,ISBLANK(INDEX(MfC_pers_ac_inst[Organisation type],A536))),$B$175,""),"")</f>
        <v/>
      </c>
      <c r="J536" s="218" t="str">
        <f>IFERROR(IF(AND(organisation_name="yes",VALUE(INDEX(MfC_pers_ac_inst[Amount],A536))&gt;0,ISBLANK(INDEX(MfC_pers_ac_inst[Name organisation],A536)),Tabel33[organisation type]=""),$B$176,""),"")</f>
        <v/>
      </c>
    </row>
    <row r="537" spans="1:10" outlineLevel="1" x14ac:dyDescent="0.35">
      <c r="A537" s="317">
        <v>18</v>
      </c>
      <c r="B537" s="317" t="str">
        <f t="array" ref="B537">IFERROR(INDEX(Tabel33[[#This Row],[Empty line]:[organisation name]],1,MATCH(TRUE,LEN(Tabel33[[#This Row],[Empty line]:[organisation name]])&gt;0,0)),"")</f>
        <v/>
      </c>
      <c r="C537" s="195" t="str">
        <f>IFERROR(IF(AND(LEN(INDEX(MfC_pers_ac_inst[Category],$A537))+LEN(INDEX(MfC_pers_ac_inst[FTE],$A537))+LEN(INDEX(MfC_pers_ac_inst[Months],$A537))+LEN(INDEX(MfC_pers_ac_inst[Country],$A537))&gt;0,LEN(INDEX(MfC_pers_ac_inst[Category],$A537-1))+LEN(INDEX(MfC_pers_ac_inst[FTE],$A537-1))+LEN(INDEX(MfC_pers_ac_inst[Months],$A537-1))+LEN(INDEX(MfC_pers_ac_inst[Country],$A537-1))=0),$B$127,""),"")</f>
        <v/>
      </c>
      <c r="D537" s="195" t="str">
        <f>IFERROR(IF(AND(INDEX(MfC_pers_ac_inst[Category]="",$A537),OR(INDEX(MfC_pers_ac_inst[FTE],$A537)&gt;0,INDEX(MfC_pers_ac_inst[Months],$A537)&gt;0,INDEX(MfC_pers_ac_inst[Costs],$A537)&gt;0,LEN(INDEX(MfC_pers_ac_inst[Country],$A537))&gt;0)),$B$171,""),"")</f>
        <v/>
      </c>
      <c r="E537" s="195" t="e">
        <f>IF(AND(INDEX(MfC_pers_ac_inst[Category],A537)&lt;&gt;"",OR(INDEX(MfC_pers_ac_inst[FTE],A537)&lt;=0,INDEX(MfC_pers_ac_inst[Months],A537)&lt;=0)),INDEX(salaries_academic[],MATCH(INDEX(MfC_pers_ac_inst[Category],A537),salaries_academic[category],0),2),"")</f>
        <v>#REF!</v>
      </c>
      <c r="F537" s="195" t="str">
        <f>IFERROR(IF(Tabel33[Instruction]="",IF(AND(INDEX(MfC_pers_ac_inst[Country]="",A537),OR(INDEX(MfC_pers_ac_inst[Category],A537)&lt;&gt;"",INDEX(MfC_pers_ac_inst[FTE],A537)&gt;0,INDEX(MfC_pers_ac_inst[Months],A537)&gt;0,INDEX(MfC_pers_ac_inst[Costs],A537)&gt;0,LEN(INDEX(MfC_pers_ac_inst[Country],A537))&gt;0)),$B$173,""),""),"")</f>
        <v/>
      </c>
      <c r="G537" s="195" t="e">
        <f>IF(AND(Tabel33[Instruction]="",Tabel33[Country not specified]=""),IF(AND(INDEX(MfC_pers_ac_inst[Category],A537)&lt;&gt;"",INDEX(MfC_pers_ac_inst[Costs],A537)&lt;=0),IF(INDEX(salaries_academic[],MATCH(INDEX(MfC_pers_ac_inst[Category],A537),salaries_academic[category],0),3)="",$B$172,""),""),"")</f>
        <v>#REF!</v>
      </c>
      <c r="H537" s="218" t="str">
        <f>IFERROR(IF(AND(INDEX(salaries_academic[],MATCH(INDEX(MfC_pers_ac_inst[Category],A537),salaries_academic[category],0),3)&gt;0,INDEX(MfC_pers_ac_inst[Costs],A537)&gt;0),$B$174,""),"")</f>
        <v/>
      </c>
      <c r="I537" s="218" t="str">
        <f>IFERROR(IF(AND(organisation_type="yes",VALUE(INDEX(MfC_pers_ac_inst[Amount],A537))&gt;0,ISBLANK(INDEX(MfC_pers_ac_inst[Organisation type],A537))),$B$175,""),"")</f>
        <v/>
      </c>
      <c r="J537" s="218" t="str">
        <f>IFERROR(IF(AND(organisation_name="yes",VALUE(INDEX(MfC_pers_ac_inst[Amount],A537))&gt;0,ISBLANK(INDEX(MfC_pers_ac_inst[Name organisation],A537)),Tabel33[organisation type]=""),$B$176,""),"")</f>
        <v/>
      </c>
    </row>
    <row r="538" spans="1:10" outlineLevel="1" x14ac:dyDescent="0.35">
      <c r="A538" s="317">
        <v>19</v>
      </c>
      <c r="B538" s="317" t="str">
        <f t="array" ref="B538">IFERROR(INDEX(Tabel33[[#This Row],[Empty line]:[organisation name]],1,MATCH(TRUE,LEN(Tabel33[[#This Row],[Empty line]:[organisation name]])&gt;0,0)),"")</f>
        <v/>
      </c>
      <c r="C538" s="195" t="str">
        <f>IFERROR(IF(AND(LEN(INDEX(MfC_pers_ac_inst[Category],$A538))+LEN(INDEX(MfC_pers_ac_inst[FTE],$A538))+LEN(INDEX(MfC_pers_ac_inst[Months],$A538))+LEN(INDEX(MfC_pers_ac_inst[Country],$A538))&gt;0,LEN(INDEX(MfC_pers_ac_inst[Category],$A538-1))+LEN(INDEX(MfC_pers_ac_inst[FTE],$A538-1))+LEN(INDEX(MfC_pers_ac_inst[Months],$A538-1))+LEN(INDEX(MfC_pers_ac_inst[Country],$A538-1))=0),$B$127,""),"")</f>
        <v/>
      </c>
      <c r="D538" s="195" t="str">
        <f>IFERROR(IF(AND(INDEX(MfC_pers_ac_inst[Category]="",$A538),OR(INDEX(MfC_pers_ac_inst[FTE],$A538)&gt;0,INDEX(MfC_pers_ac_inst[Months],$A538)&gt;0,INDEX(MfC_pers_ac_inst[Costs],$A538)&gt;0,LEN(INDEX(MfC_pers_ac_inst[Country],$A538))&gt;0)),$B$171,""),"")</f>
        <v/>
      </c>
      <c r="E538" s="195" t="e">
        <f>IF(AND(INDEX(MfC_pers_ac_inst[Category],A538)&lt;&gt;"",OR(INDEX(MfC_pers_ac_inst[FTE],A538)&lt;=0,INDEX(MfC_pers_ac_inst[Months],A538)&lt;=0)),INDEX(salaries_academic[],MATCH(INDEX(MfC_pers_ac_inst[Category],A538),salaries_academic[category],0),2),"")</f>
        <v>#REF!</v>
      </c>
      <c r="F538" s="195" t="str">
        <f>IFERROR(IF(Tabel33[Instruction]="",IF(AND(INDEX(MfC_pers_ac_inst[Country]="",A538),OR(INDEX(MfC_pers_ac_inst[Category],A538)&lt;&gt;"",INDEX(MfC_pers_ac_inst[FTE],A538)&gt;0,INDEX(MfC_pers_ac_inst[Months],A538)&gt;0,INDEX(MfC_pers_ac_inst[Costs],A538)&gt;0,LEN(INDEX(MfC_pers_ac_inst[Country],A538))&gt;0)),$B$173,""),""),"")</f>
        <v/>
      </c>
      <c r="G538" s="195" t="e">
        <f>IF(AND(Tabel33[Instruction]="",Tabel33[Country not specified]=""),IF(AND(INDEX(MfC_pers_ac_inst[Category],A538)&lt;&gt;"",INDEX(MfC_pers_ac_inst[Costs],A538)&lt;=0),IF(INDEX(salaries_academic[],MATCH(INDEX(MfC_pers_ac_inst[Category],A538),salaries_academic[category],0),3)="",$B$172,""),""),"")</f>
        <v>#REF!</v>
      </c>
      <c r="H538" s="218" t="str">
        <f>IFERROR(IF(AND(INDEX(salaries_academic[],MATCH(INDEX(MfC_pers_ac_inst[Category],A538),salaries_academic[category],0),3)&gt;0,INDEX(MfC_pers_ac_inst[Costs],A538)&gt;0),$B$174,""),"")</f>
        <v/>
      </c>
      <c r="I538" s="218" t="str">
        <f>IFERROR(IF(AND(organisation_type="yes",VALUE(INDEX(MfC_pers_ac_inst[Amount],A538))&gt;0,ISBLANK(INDEX(MfC_pers_ac_inst[Organisation type],A538))),$B$175,""),"")</f>
        <v/>
      </c>
      <c r="J538" s="218" t="str">
        <f>IFERROR(IF(AND(organisation_name="yes",VALUE(INDEX(MfC_pers_ac_inst[Amount],A538))&gt;0,ISBLANK(INDEX(MfC_pers_ac_inst[Name organisation],A538)),Tabel33[organisation type]=""),$B$176,""),"")</f>
        <v/>
      </c>
    </row>
    <row r="539" spans="1:10" outlineLevel="1" x14ac:dyDescent="0.35">
      <c r="A539" s="317">
        <v>20</v>
      </c>
      <c r="B539" s="317" t="str">
        <f t="array" ref="B539">IFERROR(INDEX(Tabel33[[#This Row],[Empty line]:[organisation name]],1,MATCH(TRUE,LEN(Tabel33[[#This Row],[Empty line]:[organisation name]])&gt;0,0)),"")</f>
        <v/>
      </c>
      <c r="C539" s="195" t="str">
        <f>IFERROR(IF(AND(LEN(INDEX(MfC_pers_ac_inst[Category],$A539))+LEN(INDEX(MfC_pers_ac_inst[FTE],$A539))+LEN(INDEX(MfC_pers_ac_inst[Months],$A539))+LEN(INDEX(MfC_pers_ac_inst[Country],$A539))&gt;0,LEN(INDEX(MfC_pers_ac_inst[Category],$A539-1))+LEN(INDEX(MfC_pers_ac_inst[FTE],$A539-1))+LEN(INDEX(MfC_pers_ac_inst[Months],$A539-1))+LEN(INDEX(MfC_pers_ac_inst[Country],$A539-1))=0),$B$127,""),"")</f>
        <v/>
      </c>
      <c r="D539" s="195" t="str">
        <f>IFERROR(IF(AND(INDEX(MfC_pers_ac_inst[Category]="",$A539),OR(INDEX(MfC_pers_ac_inst[FTE],$A539)&gt;0,INDEX(MfC_pers_ac_inst[Months],$A539)&gt;0,INDEX(MfC_pers_ac_inst[Costs],$A539)&gt;0,LEN(INDEX(MfC_pers_ac_inst[Country],$A539))&gt;0)),$B$171,""),"")</f>
        <v/>
      </c>
      <c r="E539" s="195" t="e">
        <f>IF(AND(INDEX(MfC_pers_ac_inst[Category],A539)&lt;&gt;"",OR(INDEX(MfC_pers_ac_inst[FTE],A539)&lt;=0,INDEX(MfC_pers_ac_inst[Months],A539)&lt;=0)),INDEX(salaries_academic[],MATCH(INDEX(MfC_pers_ac_inst[Category],A539),salaries_academic[category],0),2),"")</f>
        <v>#REF!</v>
      </c>
      <c r="F539" s="195" t="str">
        <f>IFERROR(IF(Tabel33[Instruction]="",IF(AND(INDEX(MfC_pers_ac_inst[Country]="",A539),OR(INDEX(MfC_pers_ac_inst[Category],A539)&lt;&gt;"",INDEX(MfC_pers_ac_inst[FTE],A539)&gt;0,INDEX(MfC_pers_ac_inst[Months],A539)&gt;0,INDEX(MfC_pers_ac_inst[Costs],A539)&gt;0,LEN(INDEX(MfC_pers_ac_inst[Country],A539))&gt;0)),$B$173,""),""),"")</f>
        <v/>
      </c>
      <c r="G539" s="195" t="e">
        <f>IF(AND(Tabel33[Instruction]="",Tabel33[Country not specified]=""),IF(AND(INDEX(MfC_pers_ac_inst[Category],A539)&lt;&gt;"",INDEX(MfC_pers_ac_inst[Costs],A539)&lt;=0),IF(INDEX(salaries_academic[],MATCH(INDEX(MfC_pers_ac_inst[Category],A539),salaries_academic[category],0),3)="",$B$172,""),""),"")</f>
        <v>#REF!</v>
      </c>
      <c r="H539" s="218" t="str">
        <f>IFERROR(IF(AND(INDEX(salaries_academic[],MATCH(INDEX(MfC_pers_ac_inst[Category],A539),salaries_academic[category],0),3)&gt;0,INDEX(MfC_pers_ac_inst[Costs],A539)&gt;0),$B$174,""),"")</f>
        <v/>
      </c>
      <c r="I539" s="218" t="str">
        <f>IFERROR(IF(AND(organisation_type="yes",VALUE(INDEX(MfC_pers_ac_inst[Amount],A539))&gt;0,ISBLANK(INDEX(MfC_pers_ac_inst[Organisation type],A539))),$B$175,""),"")</f>
        <v/>
      </c>
      <c r="J539" s="218" t="str">
        <f>IFERROR(IF(AND(organisation_name="yes",VALUE(INDEX(MfC_pers_ac_inst[Amount],A539))&gt;0,ISBLANK(INDEX(MfC_pers_ac_inst[Name organisation],A539)),Tabel33[organisation type]=""),$B$176,""),"")</f>
        <v/>
      </c>
    </row>
    <row r="540" spans="1:10" outlineLevel="1" x14ac:dyDescent="0.35">
      <c r="A540" s="317">
        <v>21</v>
      </c>
      <c r="B540" s="317" t="str">
        <f t="array" ref="B540">IFERROR(INDEX(Tabel33[[#This Row],[Empty line]:[organisation name]],1,MATCH(TRUE,LEN(Tabel33[[#This Row],[Empty line]:[organisation name]])&gt;0,0)),"")</f>
        <v/>
      </c>
      <c r="C540" s="195" t="str">
        <f>IFERROR(IF(AND(LEN(INDEX(MfC_pers_ac_inst[Category],$A540))+LEN(INDEX(MfC_pers_ac_inst[FTE],$A540))+LEN(INDEX(MfC_pers_ac_inst[Months],$A540))+LEN(INDEX(MfC_pers_ac_inst[Country],$A540))&gt;0,LEN(INDEX(MfC_pers_ac_inst[Category],$A540-1))+LEN(INDEX(MfC_pers_ac_inst[FTE],$A540-1))+LEN(INDEX(MfC_pers_ac_inst[Months],$A540-1))+LEN(INDEX(MfC_pers_ac_inst[Country],$A540-1))=0),$B$127,""),"")</f>
        <v/>
      </c>
      <c r="D540" s="195" t="str">
        <f>IFERROR(IF(AND(INDEX(MfC_pers_ac_inst[Category]="",$A540),OR(INDEX(MfC_pers_ac_inst[FTE],$A540)&gt;0,INDEX(MfC_pers_ac_inst[Months],$A540)&gt;0,INDEX(MfC_pers_ac_inst[Costs],$A540)&gt;0,LEN(INDEX(MfC_pers_ac_inst[Country],$A540))&gt;0)),$B$171,""),"")</f>
        <v/>
      </c>
      <c r="E540" s="195" t="e">
        <f>IF(AND(INDEX(MfC_pers_ac_inst[Category],A540)&lt;&gt;"",OR(INDEX(MfC_pers_ac_inst[FTE],A540)&lt;=0,INDEX(MfC_pers_ac_inst[Months],A540)&lt;=0)),INDEX(salaries_academic[],MATCH(INDEX(MfC_pers_ac_inst[Category],A540),salaries_academic[category],0),2),"")</f>
        <v>#REF!</v>
      </c>
      <c r="F540" s="195" t="str">
        <f>IFERROR(IF(Tabel33[Instruction]="",IF(AND(INDEX(MfC_pers_ac_inst[Country]="",A540),OR(INDEX(MfC_pers_ac_inst[Category],A540)&lt;&gt;"",INDEX(MfC_pers_ac_inst[FTE],A540)&gt;0,INDEX(MfC_pers_ac_inst[Months],A540)&gt;0,INDEX(MfC_pers_ac_inst[Costs],A540)&gt;0,LEN(INDEX(MfC_pers_ac_inst[Country],A540))&gt;0)),$B$173,""),""),"")</f>
        <v/>
      </c>
      <c r="G540" s="195" t="e">
        <f>IF(AND(Tabel33[Instruction]="",Tabel33[Country not specified]=""),IF(AND(INDEX(MfC_pers_ac_inst[Category],A540)&lt;&gt;"",INDEX(MfC_pers_ac_inst[Costs],A540)&lt;=0),IF(INDEX(salaries_academic[],MATCH(INDEX(MfC_pers_ac_inst[Category],A540),salaries_academic[category],0),3)="",$B$172,""),""),"")</f>
        <v>#REF!</v>
      </c>
      <c r="H540" s="218" t="str">
        <f>IFERROR(IF(AND(INDEX(salaries_academic[],MATCH(INDEX(MfC_pers_ac_inst[Category],A540),salaries_academic[category],0),3)&gt;0,INDEX(MfC_pers_ac_inst[Costs],A540)&gt;0),$B$174,""),"")</f>
        <v/>
      </c>
      <c r="I540" s="218" t="str">
        <f>IFERROR(IF(AND(organisation_type="yes",VALUE(INDEX(MfC_pers_ac_inst[Amount],A540))&gt;0,ISBLANK(INDEX(MfC_pers_ac_inst[Organisation type],A540))),$B$175,""),"")</f>
        <v/>
      </c>
      <c r="J540" s="218" t="str">
        <f>IFERROR(IF(AND(organisation_name="yes",VALUE(INDEX(MfC_pers_ac_inst[Amount],A540))&gt;0,ISBLANK(INDEX(MfC_pers_ac_inst[Name organisation],A540)),Tabel33[organisation type]=""),$B$176,""),"")</f>
        <v/>
      </c>
    </row>
    <row r="541" spans="1:10" outlineLevel="1" x14ac:dyDescent="0.35">
      <c r="A541" s="317">
        <v>22</v>
      </c>
      <c r="B541" s="317" t="str">
        <f t="array" ref="B541">IFERROR(INDEX(Tabel33[[#This Row],[Empty line]:[organisation name]],1,MATCH(TRUE,LEN(Tabel33[[#This Row],[Empty line]:[organisation name]])&gt;0,0)),"")</f>
        <v/>
      </c>
      <c r="C541" s="195" t="str">
        <f>IFERROR(IF(AND(LEN(INDEX(MfC_pers_ac_inst[Category],$A541))+LEN(INDEX(MfC_pers_ac_inst[FTE],$A541))+LEN(INDEX(MfC_pers_ac_inst[Months],$A541))+LEN(INDEX(MfC_pers_ac_inst[Country],$A541))&gt;0,LEN(INDEX(MfC_pers_ac_inst[Category],$A541-1))+LEN(INDEX(MfC_pers_ac_inst[FTE],$A541-1))+LEN(INDEX(MfC_pers_ac_inst[Months],$A541-1))+LEN(INDEX(MfC_pers_ac_inst[Country],$A541-1))=0),$B$127,""),"")</f>
        <v/>
      </c>
      <c r="D541" s="195" t="str">
        <f>IFERROR(IF(AND(INDEX(MfC_pers_ac_inst[Category]="",$A541),OR(INDEX(MfC_pers_ac_inst[FTE],$A541)&gt;0,INDEX(MfC_pers_ac_inst[Months],$A541)&gt;0,INDEX(MfC_pers_ac_inst[Costs],$A541)&gt;0,LEN(INDEX(MfC_pers_ac_inst[Country],$A541))&gt;0)),$B$171,""),"")</f>
        <v/>
      </c>
      <c r="E541" s="195" t="e">
        <f>IF(AND(INDEX(MfC_pers_ac_inst[Category],A541)&lt;&gt;"",OR(INDEX(MfC_pers_ac_inst[FTE],A541)&lt;=0,INDEX(MfC_pers_ac_inst[Months],A541)&lt;=0)),INDEX(salaries_academic[],MATCH(INDEX(MfC_pers_ac_inst[Category],A541),salaries_academic[category],0),2),"")</f>
        <v>#REF!</v>
      </c>
      <c r="F541" s="195" t="str">
        <f>IFERROR(IF(Tabel33[Instruction]="",IF(AND(INDEX(MfC_pers_ac_inst[Country]="",A541),OR(INDEX(MfC_pers_ac_inst[Category],A541)&lt;&gt;"",INDEX(MfC_pers_ac_inst[FTE],A541)&gt;0,INDEX(MfC_pers_ac_inst[Months],A541)&gt;0,INDEX(MfC_pers_ac_inst[Costs],A541)&gt;0,LEN(INDEX(MfC_pers_ac_inst[Country],A541))&gt;0)),$B$173,""),""),"")</f>
        <v/>
      </c>
      <c r="G541" s="195" t="e">
        <f>IF(AND(Tabel33[Instruction]="",Tabel33[Country not specified]=""),IF(AND(INDEX(MfC_pers_ac_inst[Category],A541)&lt;&gt;"",INDEX(MfC_pers_ac_inst[Costs],A541)&lt;=0),IF(INDEX(salaries_academic[],MATCH(INDEX(MfC_pers_ac_inst[Category],A541),salaries_academic[category],0),3)="",$B$172,""),""),"")</f>
        <v>#REF!</v>
      </c>
      <c r="H541" s="218" t="str">
        <f>IFERROR(IF(AND(INDEX(salaries_academic[],MATCH(INDEX(MfC_pers_ac_inst[Category],A541),salaries_academic[category],0),3)&gt;0,INDEX(MfC_pers_ac_inst[Costs],A541)&gt;0),$B$174,""),"")</f>
        <v/>
      </c>
      <c r="I541" s="218" t="str">
        <f>IFERROR(IF(AND(organisation_type="yes",VALUE(INDEX(MfC_pers_ac_inst[Amount],A541))&gt;0,ISBLANK(INDEX(MfC_pers_ac_inst[Organisation type],A541))),$B$175,""),"")</f>
        <v/>
      </c>
      <c r="J541" s="218" t="str">
        <f>IFERROR(IF(AND(organisation_name="yes",VALUE(INDEX(MfC_pers_ac_inst[Amount],A541))&gt;0,ISBLANK(INDEX(MfC_pers_ac_inst[Name organisation],A541)),Tabel33[organisation type]=""),$B$176,""),"")</f>
        <v/>
      </c>
    </row>
    <row r="542" spans="1:10" outlineLevel="1" x14ac:dyDescent="0.35">
      <c r="A542" s="317">
        <v>23</v>
      </c>
      <c r="B542" s="317" t="str">
        <f t="array" ref="B542">IFERROR(INDEX(Tabel33[[#This Row],[Empty line]:[organisation name]],1,MATCH(TRUE,LEN(Tabel33[[#This Row],[Empty line]:[organisation name]])&gt;0,0)),"")</f>
        <v/>
      </c>
      <c r="C542" s="195" t="str">
        <f>IFERROR(IF(AND(LEN(INDEX(MfC_pers_ac_inst[Category],$A542))+LEN(INDEX(MfC_pers_ac_inst[FTE],$A542))+LEN(INDEX(MfC_pers_ac_inst[Months],$A542))+LEN(INDEX(MfC_pers_ac_inst[Country],$A542))&gt;0,LEN(INDEX(MfC_pers_ac_inst[Category],$A542-1))+LEN(INDEX(MfC_pers_ac_inst[FTE],$A542-1))+LEN(INDEX(MfC_pers_ac_inst[Months],$A542-1))+LEN(INDEX(MfC_pers_ac_inst[Country],$A542-1))=0),$B$127,""),"")</f>
        <v/>
      </c>
      <c r="D542" s="195" t="str">
        <f>IFERROR(IF(AND(INDEX(MfC_pers_ac_inst[Category]="",$A542),OR(INDEX(MfC_pers_ac_inst[FTE],$A542)&gt;0,INDEX(MfC_pers_ac_inst[Months],$A542)&gt;0,INDEX(MfC_pers_ac_inst[Costs],$A542)&gt;0,LEN(INDEX(MfC_pers_ac_inst[Country],$A542))&gt;0)),$B$171,""),"")</f>
        <v/>
      </c>
      <c r="E542" s="195" t="e">
        <f>IF(AND(INDEX(MfC_pers_ac_inst[Category],A542)&lt;&gt;"",OR(INDEX(MfC_pers_ac_inst[FTE],A542)&lt;=0,INDEX(MfC_pers_ac_inst[Months],A542)&lt;=0)),INDEX(salaries_academic[],MATCH(INDEX(MfC_pers_ac_inst[Category],A542),salaries_academic[category],0),2),"")</f>
        <v>#REF!</v>
      </c>
      <c r="F542" s="195" t="str">
        <f>IFERROR(IF(Tabel33[Instruction]="",IF(AND(INDEX(MfC_pers_ac_inst[Country]="",A542),OR(INDEX(MfC_pers_ac_inst[Category],A542)&lt;&gt;"",INDEX(MfC_pers_ac_inst[FTE],A542)&gt;0,INDEX(MfC_pers_ac_inst[Months],A542)&gt;0,INDEX(MfC_pers_ac_inst[Costs],A542)&gt;0,LEN(INDEX(MfC_pers_ac_inst[Country],A542))&gt;0)),$B$173,""),""),"")</f>
        <v/>
      </c>
      <c r="G542" s="195" t="e">
        <f>IF(AND(Tabel33[Instruction]="",Tabel33[Country not specified]=""),IF(AND(INDEX(MfC_pers_ac_inst[Category],A542)&lt;&gt;"",INDEX(MfC_pers_ac_inst[Costs],A542)&lt;=0),IF(INDEX(salaries_academic[],MATCH(INDEX(MfC_pers_ac_inst[Category],A542),salaries_academic[category],0),3)="",$B$172,""),""),"")</f>
        <v>#REF!</v>
      </c>
      <c r="H542" s="218" t="str">
        <f>IFERROR(IF(AND(INDEX(salaries_academic[],MATCH(INDEX(MfC_pers_ac_inst[Category],A542),salaries_academic[category],0),3)&gt;0,INDEX(MfC_pers_ac_inst[Costs],A542)&gt;0),$B$174,""),"")</f>
        <v/>
      </c>
      <c r="I542" s="218" t="str">
        <f>IFERROR(IF(AND(organisation_type="yes",VALUE(INDEX(MfC_pers_ac_inst[Amount],A542))&gt;0,ISBLANK(INDEX(MfC_pers_ac_inst[Organisation type],A542))),$B$175,""),"")</f>
        <v/>
      </c>
      <c r="J542" s="218" t="str">
        <f>IFERROR(IF(AND(organisation_name="yes",VALUE(INDEX(MfC_pers_ac_inst[Amount],A542))&gt;0,ISBLANK(INDEX(MfC_pers_ac_inst[Name organisation],A542)),Tabel33[organisation type]=""),$B$176,""),"")</f>
        <v/>
      </c>
    </row>
    <row r="543" spans="1:10" outlineLevel="1" x14ac:dyDescent="0.35">
      <c r="A543" s="317">
        <v>24</v>
      </c>
      <c r="B543" s="317" t="str">
        <f t="array" ref="B543">IFERROR(INDEX(Tabel33[[#This Row],[Empty line]:[organisation name]],1,MATCH(TRUE,LEN(Tabel33[[#This Row],[Empty line]:[organisation name]])&gt;0,0)),"")</f>
        <v/>
      </c>
      <c r="C543" s="195" t="str">
        <f>IFERROR(IF(AND(LEN(INDEX(MfC_pers_ac_inst[Category],$A543))+LEN(INDEX(MfC_pers_ac_inst[FTE],$A543))+LEN(INDEX(MfC_pers_ac_inst[Months],$A543))+LEN(INDEX(MfC_pers_ac_inst[Country],$A543))&gt;0,LEN(INDEX(MfC_pers_ac_inst[Category],$A543-1))+LEN(INDEX(MfC_pers_ac_inst[FTE],$A543-1))+LEN(INDEX(MfC_pers_ac_inst[Months],$A543-1))+LEN(INDEX(MfC_pers_ac_inst[Country],$A543-1))=0),$B$127,""),"")</f>
        <v/>
      </c>
      <c r="D543" s="195" t="str">
        <f>IFERROR(IF(AND(INDEX(MfC_pers_ac_inst[Category]="",$A543),OR(INDEX(MfC_pers_ac_inst[FTE],$A543)&gt;0,INDEX(MfC_pers_ac_inst[Months],$A543)&gt;0,INDEX(MfC_pers_ac_inst[Costs],$A543)&gt;0,LEN(INDEX(MfC_pers_ac_inst[Country],$A543))&gt;0)),$B$171,""),"")</f>
        <v/>
      </c>
      <c r="E543" s="195" t="e">
        <f>IF(AND(INDEX(MfC_pers_ac_inst[Category],A543)&lt;&gt;"",OR(INDEX(MfC_pers_ac_inst[FTE],A543)&lt;=0,INDEX(MfC_pers_ac_inst[Months],A543)&lt;=0)),INDEX(salaries_academic[],MATCH(INDEX(MfC_pers_ac_inst[Category],A543),salaries_academic[category],0),2),"")</f>
        <v>#REF!</v>
      </c>
      <c r="F543" s="195" t="str">
        <f>IFERROR(IF(Tabel33[Instruction]="",IF(AND(INDEX(MfC_pers_ac_inst[Country]="",A543),OR(INDEX(MfC_pers_ac_inst[Category],A543)&lt;&gt;"",INDEX(MfC_pers_ac_inst[FTE],A543)&gt;0,INDEX(MfC_pers_ac_inst[Months],A543)&gt;0,INDEX(MfC_pers_ac_inst[Costs],A543)&gt;0,LEN(INDEX(MfC_pers_ac_inst[Country],A543))&gt;0)),$B$173,""),""),"")</f>
        <v/>
      </c>
      <c r="G543" s="195" t="e">
        <f>IF(AND(Tabel33[Instruction]="",Tabel33[Country not specified]=""),IF(AND(INDEX(MfC_pers_ac_inst[Category],A543)&lt;&gt;"",INDEX(MfC_pers_ac_inst[Costs],A543)&lt;=0),IF(INDEX(salaries_academic[],MATCH(INDEX(MfC_pers_ac_inst[Category],A543),salaries_academic[category],0),3)="",$B$172,""),""),"")</f>
        <v>#REF!</v>
      </c>
      <c r="H543" s="218" t="str">
        <f>IFERROR(IF(AND(INDEX(salaries_academic[],MATCH(INDEX(MfC_pers_ac_inst[Category],A543),salaries_academic[category],0),3)&gt;0,INDEX(MfC_pers_ac_inst[Costs],A543)&gt;0),$B$174,""),"")</f>
        <v/>
      </c>
      <c r="I543" s="218" t="str">
        <f>IFERROR(IF(AND(organisation_type="yes",VALUE(INDEX(MfC_pers_ac_inst[Amount],A543))&gt;0,ISBLANK(INDEX(MfC_pers_ac_inst[Organisation type],A543))),$B$175,""),"")</f>
        <v/>
      </c>
      <c r="J543" s="218" t="str">
        <f>IFERROR(IF(AND(organisation_name="yes",VALUE(INDEX(MfC_pers_ac_inst[Amount],A543))&gt;0,ISBLANK(INDEX(MfC_pers_ac_inst[Name organisation],A543)),Tabel33[organisation type]=""),$B$176,""),"")</f>
        <v/>
      </c>
    </row>
    <row r="544" spans="1:10" outlineLevel="1" x14ac:dyDescent="0.35">
      <c r="A544" s="317">
        <v>25</v>
      </c>
      <c r="B544" s="317" t="str">
        <f t="array" ref="B544">IFERROR(INDEX(Tabel33[[#This Row],[Empty line]:[organisation name]],1,MATCH(TRUE,LEN(Tabel33[[#This Row],[Empty line]:[organisation name]])&gt;0,0)),"")</f>
        <v/>
      </c>
      <c r="C544" s="195" t="str">
        <f>IFERROR(IF(AND(LEN(INDEX(MfC_pers_ac_inst[Category],$A544))+LEN(INDEX(MfC_pers_ac_inst[FTE],$A544))+LEN(INDEX(MfC_pers_ac_inst[Months],$A544))+LEN(INDEX(MfC_pers_ac_inst[Country],$A544))&gt;0,LEN(INDEX(MfC_pers_ac_inst[Category],$A544-1))+LEN(INDEX(MfC_pers_ac_inst[FTE],$A544-1))+LEN(INDEX(MfC_pers_ac_inst[Months],$A544-1))+LEN(INDEX(MfC_pers_ac_inst[Country],$A544-1))=0),$B$127,""),"")</f>
        <v/>
      </c>
      <c r="D544" s="195" t="str">
        <f>IFERROR(IF(AND(INDEX(MfC_pers_ac_inst[Category]="",$A544),OR(INDEX(MfC_pers_ac_inst[FTE],$A544)&gt;0,INDEX(MfC_pers_ac_inst[Months],$A544)&gt;0,INDEX(MfC_pers_ac_inst[Costs],$A544)&gt;0,LEN(INDEX(MfC_pers_ac_inst[Country],$A544))&gt;0)),$B$171,""),"")</f>
        <v/>
      </c>
      <c r="E544" s="195" t="e">
        <f>IF(AND(INDEX(MfC_pers_ac_inst[Category],A544)&lt;&gt;"",OR(INDEX(MfC_pers_ac_inst[FTE],A544)&lt;=0,INDEX(MfC_pers_ac_inst[Months],A544)&lt;=0)),INDEX(salaries_academic[],MATCH(INDEX(MfC_pers_ac_inst[Category],A544),salaries_academic[category],0),2),"")</f>
        <v>#REF!</v>
      </c>
      <c r="F544" s="195" t="str">
        <f>IFERROR(IF(Tabel33[Instruction]="",IF(AND(INDEX(MfC_pers_ac_inst[Country]="",A544),OR(INDEX(MfC_pers_ac_inst[Category],A544)&lt;&gt;"",INDEX(MfC_pers_ac_inst[FTE],A544)&gt;0,INDEX(MfC_pers_ac_inst[Months],A544)&gt;0,INDEX(MfC_pers_ac_inst[Costs],A544)&gt;0,LEN(INDEX(MfC_pers_ac_inst[Country],A544))&gt;0)),$B$173,""),""),"")</f>
        <v/>
      </c>
      <c r="G544" s="195" t="e">
        <f>IF(AND(Tabel33[Instruction]="",Tabel33[Country not specified]=""),IF(AND(INDEX(MfC_pers_ac_inst[Category],A544)&lt;&gt;"",INDEX(MfC_pers_ac_inst[Costs],A544)&lt;=0),IF(INDEX(salaries_academic[],MATCH(INDEX(MfC_pers_ac_inst[Category],A544),salaries_academic[category],0),3)="",$B$172,""),""),"")</f>
        <v>#REF!</v>
      </c>
      <c r="H544" s="218" t="str">
        <f>IFERROR(IF(AND(INDEX(salaries_academic[],MATCH(INDEX(MfC_pers_ac_inst[Category],A544),salaries_academic[category],0),3)&gt;0,INDEX(MfC_pers_ac_inst[Costs],A544)&gt;0),$B$174,""),"")</f>
        <v/>
      </c>
      <c r="I544" s="218" t="str">
        <f>IFERROR(IF(AND(organisation_type="yes",VALUE(INDEX(MfC_pers_ac_inst[Amount],A544))&gt;0,ISBLANK(INDEX(MfC_pers_ac_inst[Organisation type],A544))),$B$175,""),"")</f>
        <v/>
      </c>
      <c r="J544" s="218" t="str">
        <f>IFERROR(IF(AND(organisation_name="yes",VALUE(INDEX(MfC_pers_ac_inst[Amount],A544))&gt;0,ISBLANK(INDEX(MfC_pers_ac_inst[Name organisation],A544)),Tabel33[organisation type]=""),$B$176,""),"")</f>
        <v/>
      </c>
    </row>
    <row r="545" spans="1:10" outlineLevel="1" x14ac:dyDescent="0.35">
      <c r="A545" s="317">
        <v>26</v>
      </c>
      <c r="B545" s="317" t="str">
        <f t="array" ref="B545">IFERROR(INDEX(Tabel33[[#This Row],[Empty line]:[organisation name]],1,MATCH(TRUE,LEN(Tabel33[[#This Row],[Empty line]:[organisation name]])&gt;0,0)),"")</f>
        <v/>
      </c>
      <c r="C545" s="195" t="str">
        <f>IFERROR(IF(AND(LEN(INDEX(MfC_pers_ac_inst[Category],$A545))+LEN(INDEX(MfC_pers_ac_inst[FTE],$A545))+LEN(INDEX(MfC_pers_ac_inst[Months],$A545))+LEN(INDEX(MfC_pers_ac_inst[Country],$A545))&gt;0,LEN(INDEX(MfC_pers_ac_inst[Category],$A545-1))+LEN(INDEX(MfC_pers_ac_inst[FTE],$A545-1))+LEN(INDEX(MfC_pers_ac_inst[Months],$A545-1))+LEN(INDEX(MfC_pers_ac_inst[Country],$A545-1))=0),$B$127,""),"")</f>
        <v/>
      </c>
      <c r="D545" s="195" t="str">
        <f>IFERROR(IF(AND(INDEX(MfC_pers_ac_inst[Category]="",$A545),OR(INDEX(MfC_pers_ac_inst[FTE],$A545)&gt;0,INDEX(MfC_pers_ac_inst[Months],$A545)&gt;0,INDEX(MfC_pers_ac_inst[Costs],$A545)&gt;0,LEN(INDEX(MfC_pers_ac_inst[Country],$A545))&gt;0)),$B$171,""),"")</f>
        <v/>
      </c>
      <c r="E545" s="195" t="e">
        <f>IF(AND(INDEX(MfC_pers_ac_inst[Category],A545)&lt;&gt;"",OR(INDEX(MfC_pers_ac_inst[FTE],A545)&lt;=0,INDEX(MfC_pers_ac_inst[Months],A545)&lt;=0)),INDEX(salaries_academic[],MATCH(INDEX(MfC_pers_ac_inst[Category],A545),salaries_academic[category],0),2),"")</f>
        <v>#REF!</v>
      </c>
      <c r="F545" s="195" t="str">
        <f>IFERROR(IF(Tabel33[Instruction]="",IF(AND(INDEX(MfC_pers_ac_inst[Country]="",A545),OR(INDEX(MfC_pers_ac_inst[Category],A545)&lt;&gt;"",INDEX(MfC_pers_ac_inst[FTE],A545)&gt;0,INDEX(MfC_pers_ac_inst[Months],A545)&gt;0,INDEX(MfC_pers_ac_inst[Costs],A545)&gt;0,LEN(INDEX(MfC_pers_ac_inst[Country],A545))&gt;0)),$B$173,""),""),"")</f>
        <v/>
      </c>
      <c r="G545" s="195" t="e">
        <f>IF(AND(Tabel33[Instruction]="",Tabel33[Country not specified]=""),IF(AND(INDEX(MfC_pers_ac_inst[Category],A545)&lt;&gt;"",INDEX(MfC_pers_ac_inst[Costs],A545)&lt;=0),IF(INDEX(salaries_academic[],MATCH(INDEX(MfC_pers_ac_inst[Category],A545),salaries_academic[category],0),3)="",$B$172,""),""),"")</f>
        <v>#REF!</v>
      </c>
      <c r="H545" s="218" t="str">
        <f>IFERROR(IF(AND(INDEX(salaries_academic[],MATCH(INDEX(MfC_pers_ac_inst[Category],A545),salaries_academic[category],0),3)&gt;0,INDEX(MfC_pers_ac_inst[Costs],A545)&gt;0),$B$174,""),"")</f>
        <v/>
      </c>
      <c r="I545" s="218" t="str">
        <f>IFERROR(IF(AND(organisation_type="yes",VALUE(INDEX(MfC_pers_ac_inst[Amount],A545))&gt;0,ISBLANK(INDEX(MfC_pers_ac_inst[Organisation type],A545))),$B$175,""),"")</f>
        <v/>
      </c>
      <c r="J545" s="218" t="str">
        <f>IFERROR(IF(AND(organisation_name="yes",VALUE(INDEX(MfC_pers_ac_inst[Amount],A545))&gt;0,ISBLANK(INDEX(MfC_pers_ac_inst[Name organisation],A545)),Tabel33[organisation type]=""),$B$176,""),"")</f>
        <v/>
      </c>
    </row>
    <row r="546" spans="1:10" outlineLevel="1" x14ac:dyDescent="0.35">
      <c r="A546" s="317">
        <v>27</v>
      </c>
      <c r="B546" s="317" t="str">
        <f t="array" ref="B546">IFERROR(INDEX(Tabel33[[#This Row],[Empty line]:[organisation name]],1,MATCH(TRUE,LEN(Tabel33[[#This Row],[Empty line]:[organisation name]])&gt;0,0)),"")</f>
        <v/>
      </c>
      <c r="C546" s="195" t="str">
        <f>IFERROR(IF(AND(LEN(INDEX(MfC_pers_ac_inst[Category],$A546))+LEN(INDEX(MfC_pers_ac_inst[FTE],$A546))+LEN(INDEX(MfC_pers_ac_inst[Months],$A546))+LEN(INDEX(MfC_pers_ac_inst[Country],$A546))&gt;0,LEN(INDEX(MfC_pers_ac_inst[Category],$A546-1))+LEN(INDEX(MfC_pers_ac_inst[FTE],$A546-1))+LEN(INDEX(MfC_pers_ac_inst[Months],$A546-1))+LEN(INDEX(MfC_pers_ac_inst[Country],$A546-1))=0),$B$127,""),"")</f>
        <v/>
      </c>
      <c r="D546" s="195" t="str">
        <f>IFERROR(IF(AND(INDEX(MfC_pers_ac_inst[Category]="",$A546),OR(INDEX(MfC_pers_ac_inst[FTE],$A546)&gt;0,INDEX(MfC_pers_ac_inst[Months],$A546)&gt;0,INDEX(MfC_pers_ac_inst[Costs],$A546)&gt;0,LEN(INDEX(MfC_pers_ac_inst[Country],$A546))&gt;0)),$B$171,""),"")</f>
        <v/>
      </c>
      <c r="E546" s="195" t="e">
        <f>IF(AND(INDEX(MfC_pers_ac_inst[Category],A546)&lt;&gt;"",OR(INDEX(MfC_pers_ac_inst[FTE],A546)&lt;=0,INDEX(MfC_pers_ac_inst[Months],A546)&lt;=0)),INDEX(salaries_academic[],MATCH(INDEX(MfC_pers_ac_inst[Category],A546),salaries_academic[category],0),2),"")</f>
        <v>#REF!</v>
      </c>
      <c r="F546" s="195" t="str">
        <f>IFERROR(IF(Tabel33[Instruction]="",IF(AND(INDEX(MfC_pers_ac_inst[Country]="",A546),OR(INDEX(MfC_pers_ac_inst[Category],A546)&lt;&gt;"",INDEX(MfC_pers_ac_inst[FTE],A546)&gt;0,INDEX(MfC_pers_ac_inst[Months],A546)&gt;0,INDEX(MfC_pers_ac_inst[Costs],A546)&gt;0,LEN(INDEX(MfC_pers_ac_inst[Country],A546))&gt;0)),$B$173,""),""),"")</f>
        <v/>
      </c>
      <c r="G546" s="195" t="e">
        <f>IF(AND(Tabel33[Instruction]="",Tabel33[Country not specified]=""),IF(AND(INDEX(MfC_pers_ac_inst[Category],A546)&lt;&gt;"",INDEX(MfC_pers_ac_inst[Costs],A546)&lt;=0),IF(INDEX(salaries_academic[],MATCH(INDEX(MfC_pers_ac_inst[Category],A546),salaries_academic[category],0),3)="",$B$172,""),""),"")</f>
        <v>#REF!</v>
      </c>
      <c r="H546" s="218" t="str">
        <f>IFERROR(IF(AND(INDEX(salaries_academic[],MATCH(INDEX(MfC_pers_ac_inst[Category],A546),salaries_academic[category],0),3)&gt;0,INDEX(MfC_pers_ac_inst[Costs],A546)&gt;0),$B$174,""),"")</f>
        <v/>
      </c>
      <c r="I546" s="218" t="str">
        <f>IFERROR(IF(AND(organisation_type="yes",VALUE(INDEX(MfC_pers_ac_inst[Amount],A546))&gt;0,ISBLANK(INDEX(MfC_pers_ac_inst[Organisation type],A546))),$B$175,""),"")</f>
        <v/>
      </c>
      <c r="J546" s="218" t="str">
        <f>IFERROR(IF(AND(organisation_name="yes",VALUE(INDEX(MfC_pers_ac_inst[Amount],A546))&gt;0,ISBLANK(INDEX(MfC_pers_ac_inst[Name organisation],A546)),Tabel33[organisation type]=""),$B$176,""),"")</f>
        <v/>
      </c>
    </row>
    <row r="547" spans="1:10" outlineLevel="1" x14ac:dyDescent="0.35">
      <c r="A547" s="317">
        <v>28</v>
      </c>
      <c r="B547" s="317" t="str">
        <f t="array" ref="B547">IFERROR(INDEX(Tabel33[[#This Row],[Empty line]:[organisation name]],1,MATCH(TRUE,LEN(Tabel33[[#This Row],[Empty line]:[organisation name]])&gt;0,0)),"")</f>
        <v/>
      </c>
      <c r="C547" s="195" t="str">
        <f>IFERROR(IF(AND(LEN(INDEX(MfC_pers_ac_inst[Category],$A547))+LEN(INDEX(MfC_pers_ac_inst[FTE],$A547))+LEN(INDEX(MfC_pers_ac_inst[Months],$A547))+LEN(INDEX(MfC_pers_ac_inst[Country],$A547))&gt;0,LEN(INDEX(MfC_pers_ac_inst[Category],$A547-1))+LEN(INDEX(MfC_pers_ac_inst[FTE],$A547-1))+LEN(INDEX(MfC_pers_ac_inst[Months],$A547-1))+LEN(INDEX(MfC_pers_ac_inst[Country],$A547-1))=0),$B$127,""),"")</f>
        <v/>
      </c>
      <c r="D547" s="195" t="str">
        <f>IFERROR(IF(AND(INDEX(MfC_pers_ac_inst[Category]="",$A547),OR(INDEX(MfC_pers_ac_inst[FTE],$A547)&gt;0,INDEX(MfC_pers_ac_inst[Months],$A547)&gt;0,INDEX(MfC_pers_ac_inst[Costs],$A547)&gt;0,LEN(INDEX(MfC_pers_ac_inst[Country],$A547))&gt;0)),$B$171,""),"")</f>
        <v/>
      </c>
      <c r="E547" s="195" t="e">
        <f>IF(AND(INDEX(MfC_pers_ac_inst[Category],A547)&lt;&gt;"",OR(INDEX(MfC_pers_ac_inst[FTE],A547)&lt;=0,INDEX(MfC_pers_ac_inst[Months],A547)&lt;=0)),INDEX(salaries_academic[],MATCH(INDEX(MfC_pers_ac_inst[Category],A547),salaries_academic[category],0),2),"")</f>
        <v>#REF!</v>
      </c>
      <c r="F547" s="195" t="str">
        <f>IFERROR(IF(Tabel33[Instruction]="",IF(AND(INDEX(MfC_pers_ac_inst[Country]="",A547),OR(INDEX(MfC_pers_ac_inst[Category],A547)&lt;&gt;"",INDEX(MfC_pers_ac_inst[FTE],A547)&gt;0,INDEX(MfC_pers_ac_inst[Months],A547)&gt;0,INDEX(MfC_pers_ac_inst[Costs],A547)&gt;0,LEN(INDEX(MfC_pers_ac_inst[Country],A547))&gt;0)),$B$173,""),""),"")</f>
        <v/>
      </c>
      <c r="G547" s="195" t="e">
        <f>IF(AND(Tabel33[Instruction]="",Tabel33[Country not specified]=""),IF(AND(INDEX(MfC_pers_ac_inst[Category],A547)&lt;&gt;"",INDEX(MfC_pers_ac_inst[Costs],A547)&lt;=0),IF(INDEX(salaries_academic[],MATCH(INDEX(MfC_pers_ac_inst[Category],A547),salaries_academic[category],0),3)="",$B$172,""),""),"")</f>
        <v>#REF!</v>
      </c>
      <c r="H547" s="218" t="str">
        <f>IFERROR(IF(AND(INDEX(salaries_academic[],MATCH(INDEX(MfC_pers_ac_inst[Category],A547),salaries_academic[category],0),3)&gt;0,INDEX(MfC_pers_ac_inst[Costs],A547)&gt;0),$B$174,""),"")</f>
        <v/>
      </c>
      <c r="I547" s="218" t="str">
        <f>IFERROR(IF(AND(organisation_type="yes",VALUE(INDEX(MfC_pers_ac_inst[Amount],A547))&gt;0,ISBLANK(INDEX(MfC_pers_ac_inst[Organisation type],A547))),$B$175,""),"")</f>
        <v/>
      </c>
      <c r="J547" s="218" t="str">
        <f>IFERROR(IF(AND(organisation_name="yes",VALUE(INDEX(MfC_pers_ac_inst[Amount],A547))&gt;0,ISBLANK(INDEX(MfC_pers_ac_inst[Name organisation],A547)),Tabel33[organisation type]=""),$B$176,""),"")</f>
        <v/>
      </c>
    </row>
    <row r="548" spans="1:10" outlineLevel="1" x14ac:dyDescent="0.35">
      <c r="A548" s="317">
        <v>29</v>
      </c>
      <c r="B548" s="317" t="str">
        <f t="array" ref="B548">IFERROR(INDEX(Tabel33[[#This Row],[Empty line]:[organisation name]],1,MATCH(TRUE,LEN(Tabel33[[#This Row],[Empty line]:[organisation name]])&gt;0,0)),"")</f>
        <v/>
      </c>
      <c r="C548" s="195" t="str">
        <f>IFERROR(IF(AND(LEN(INDEX(MfC_pers_ac_inst[Category],$A548))+LEN(INDEX(MfC_pers_ac_inst[FTE],$A548))+LEN(INDEX(MfC_pers_ac_inst[Months],$A548))+LEN(INDEX(MfC_pers_ac_inst[Country],$A548))&gt;0,LEN(INDEX(MfC_pers_ac_inst[Category],$A548-1))+LEN(INDEX(MfC_pers_ac_inst[FTE],$A548-1))+LEN(INDEX(MfC_pers_ac_inst[Months],$A548-1))+LEN(INDEX(MfC_pers_ac_inst[Country],$A548-1))=0),$B$127,""),"")</f>
        <v/>
      </c>
      <c r="D548" s="195" t="str">
        <f>IFERROR(IF(AND(INDEX(MfC_pers_ac_inst[Category]="",$A548),OR(INDEX(MfC_pers_ac_inst[FTE],$A548)&gt;0,INDEX(MfC_pers_ac_inst[Months],$A548)&gt;0,INDEX(MfC_pers_ac_inst[Costs],$A548)&gt;0,LEN(INDEX(MfC_pers_ac_inst[Country],$A548))&gt;0)),$B$171,""),"")</f>
        <v/>
      </c>
      <c r="E548" s="195" t="e">
        <f>IF(AND(INDEX(MfC_pers_ac_inst[Category],A548)&lt;&gt;"",OR(INDEX(MfC_pers_ac_inst[FTE],A548)&lt;=0,INDEX(MfC_pers_ac_inst[Months],A548)&lt;=0)),INDEX(salaries_academic[],MATCH(INDEX(MfC_pers_ac_inst[Category],A548),salaries_academic[category],0),2),"")</f>
        <v>#REF!</v>
      </c>
      <c r="F548" s="195" t="str">
        <f>IFERROR(IF(Tabel33[Instruction]="",IF(AND(INDEX(MfC_pers_ac_inst[Country]="",A548),OR(INDEX(MfC_pers_ac_inst[Category],A548)&lt;&gt;"",INDEX(MfC_pers_ac_inst[FTE],A548)&gt;0,INDEX(MfC_pers_ac_inst[Months],A548)&gt;0,INDEX(MfC_pers_ac_inst[Costs],A548)&gt;0,LEN(INDEX(MfC_pers_ac_inst[Country],A548))&gt;0)),$B$173,""),""),"")</f>
        <v/>
      </c>
      <c r="G548" s="195" t="e">
        <f>IF(AND(Tabel33[Instruction]="",Tabel33[Country not specified]=""),IF(AND(INDEX(MfC_pers_ac_inst[Category],A548)&lt;&gt;"",INDEX(MfC_pers_ac_inst[Costs],A548)&lt;=0),IF(INDEX(salaries_academic[],MATCH(INDEX(MfC_pers_ac_inst[Category],A548),salaries_academic[category],0),3)="",$B$172,""),""),"")</f>
        <v>#REF!</v>
      </c>
      <c r="H548" s="218" t="str">
        <f>IFERROR(IF(AND(INDEX(salaries_academic[],MATCH(INDEX(MfC_pers_ac_inst[Category],A548),salaries_academic[category],0),3)&gt;0,INDEX(MfC_pers_ac_inst[Costs],A548)&gt;0),$B$174,""),"")</f>
        <v/>
      </c>
      <c r="I548" s="218" t="str">
        <f>IFERROR(IF(AND(organisation_type="yes",VALUE(INDEX(MfC_pers_ac_inst[Amount],A548))&gt;0,ISBLANK(INDEX(MfC_pers_ac_inst[Organisation type],A548))),$B$175,""),"")</f>
        <v/>
      </c>
      <c r="J548" s="218" t="str">
        <f>IFERROR(IF(AND(organisation_name="yes",VALUE(INDEX(MfC_pers_ac_inst[Amount],A548))&gt;0,ISBLANK(INDEX(MfC_pers_ac_inst[Name organisation],A548)),Tabel33[organisation type]=""),$B$176,""),"")</f>
        <v/>
      </c>
    </row>
    <row r="549" spans="1:10" outlineLevel="1" x14ac:dyDescent="0.35">
      <c r="A549" s="317">
        <v>30</v>
      </c>
      <c r="B549" s="317" t="str">
        <f t="array" ref="B549">IFERROR(INDEX(Tabel33[[#This Row],[Empty line]:[organisation name]],1,MATCH(TRUE,LEN(Tabel33[[#This Row],[Empty line]:[organisation name]])&gt;0,0)),"")</f>
        <v/>
      </c>
      <c r="C549" s="195" t="str">
        <f>IFERROR(IF(AND(LEN(INDEX(MfC_pers_ac_inst[Category],$A549))+LEN(INDEX(MfC_pers_ac_inst[FTE],$A549))+LEN(INDEX(MfC_pers_ac_inst[Months],$A549))+LEN(INDEX(MfC_pers_ac_inst[Country],$A549))&gt;0,LEN(INDEX(MfC_pers_ac_inst[Category],$A549-1))+LEN(INDEX(MfC_pers_ac_inst[FTE],$A549-1))+LEN(INDEX(MfC_pers_ac_inst[Months],$A549-1))+LEN(INDEX(MfC_pers_ac_inst[Country],$A549-1))=0),$B$127,""),"")</f>
        <v/>
      </c>
      <c r="D549" s="195" t="str">
        <f>IFERROR(IF(AND(INDEX(MfC_pers_ac_inst[Category]="",$A549),OR(INDEX(MfC_pers_ac_inst[FTE],$A549)&gt;0,INDEX(MfC_pers_ac_inst[Months],$A549)&gt;0,INDEX(MfC_pers_ac_inst[Costs],$A549)&gt;0,LEN(INDEX(MfC_pers_ac_inst[Country],$A549))&gt;0)),$B$171,""),"")</f>
        <v/>
      </c>
      <c r="E549" s="195" t="e">
        <f>IF(AND(INDEX(MfC_pers_ac_inst[Category],A549)&lt;&gt;"",OR(INDEX(MfC_pers_ac_inst[FTE],A549)&lt;=0,INDEX(MfC_pers_ac_inst[Months],A549)&lt;=0)),INDEX(salaries_academic[],MATCH(INDEX(MfC_pers_ac_inst[Category],A549),salaries_academic[category],0),2),"")</f>
        <v>#REF!</v>
      </c>
      <c r="F549" s="195" t="str">
        <f>IFERROR(IF(Tabel33[Instruction]="",IF(AND(INDEX(MfC_pers_ac_inst[Country]="",A549),OR(INDEX(MfC_pers_ac_inst[Category],A549)&lt;&gt;"",INDEX(MfC_pers_ac_inst[FTE],A549)&gt;0,INDEX(MfC_pers_ac_inst[Months],A549)&gt;0,INDEX(MfC_pers_ac_inst[Costs],A549)&gt;0,LEN(INDEX(MfC_pers_ac_inst[Country],A549))&gt;0)),$B$173,""),""),"")</f>
        <v/>
      </c>
      <c r="G549" s="195" t="e">
        <f>IF(AND(Tabel33[Instruction]="",Tabel33[Country not specified]=""),IF(AND(INDEX(MfC_pers_ac_inst[Category],A549)&lt;&gt;"",INDEX(MfC_pers_ac_inst[Costs],A549)&lt;=0),IF(INDEX(salaries_academic[],MATCH(INDEX(MfC_pers_ac_inst[Category],A549),salaries_academic[category],0),3)="",$B$172,""),""),"")</f>
        <v>#REF!</v>
      </c>
      <c r="H549" s="218" t="str">
        <f>IFERROR(IF(AND(INDEX(salaries_academic[],MATCH(INDEX(MfC_pers_ac_inst[Category],A549),salaries_academic[category],0),3)&gt;0,INDEX(MfC_pers_ac_inst[Costs],A549)&gt;0),$B$174,""),"")</f>
        <v/>
      </c>
      <c r="I549" s="218" t="str">
        <f>IFERROR(IF(AND(organisation_type="yes",VALUE(INDEX(MfC_pers_ac_inst[Amount],A549))&gt;0,ISBLANK(INDEX(MfC_pers_ac_inst[Organisation type],A549))),$B$175,""),"")</f>
        <v/>
      </c>
      <c r="J549" s="218" t="str">
        <f>IFERROR(IF(AND(organisation_name="yes",VALUE(INDEX(MfC_pers_ac_inst[Amount],A549))&gt;0,ISBLANK(INDEX(MfC_pers_ac_inst[Name organisation],A549)),Tabel33[organisation type]=""),$B$176,""),"")</f>
        <v/>
      </c>
    </row>
    <row r="550" spans="1:10" outlineLevel="1" x14ac:dyDescent="0.35">
      <c r="A550" s="317">
        <v>31</v>
      </c>
      <c r="B550" s="317" t="str">
        <f t="array" ref="B550">IFERROR(INDEX(Tabel33[[#This Row],[Empty line]:[organisation name]],1,MATCH(TRUE,LEN(Tabel33[[#This Row],[Empty line]:[organisation name]])&gt;0,0)),"")</f>
        <v/>
      </c>
      <c r="C550" s="195" t="str">
        <f>IFERROR(IF(AND(LEN(INDEX(MfC_pers_ac_inst[Category],$A550))+LEN(INDEX(MfC_pers_ac_inst[FTE],$A550))+LEN(INDEX(MfC_pers_ac_inst[Months],$A550))+LEN(INDEX(MfC_pers_ac_inst[Country],$A550))&gt;0,LEN(INDEX(MfC_pers_ac_inst[Category],$A550-1))+LEN(INDEX(MfC_pers_ac_inst[FTE],$A550-1))+LEN(INDEX(MfC_pers_ac_inst[Months],$A550-1))+LEN(INDEX(MfC_pers_ac_inst[Country],$A550-1))=0),$B$127,""),"")</f>
        <v/>
      </c>
      <c r="D550" s="195" t="str">
        <f>IFERROR(IF(AND(INDEX(MfC_pers_ac_inst[Category]="",$A550),OR(INDEX(MfC_pers_ac_inst[FTE],$A550)&gt;0,INDEX(MfC_pers_ac_inst[Months],$A550)&gt;0,INDEX(MfC_pers_ac_inst[Costs],$A550)&gt;0,LEN(INDEX(MfC_pers_ac_inst[Country],$A550))&gt;0)),$B$171,""),"")</f>
        <v/>
      </c>
      <c r="E550" s="195" t="e">
        <f>IF(AND(INDEX(MfC_pers_ac_inst[Category],A550)&lt;&gt;"",OR(INDEX(MfC_pers_ac_inst[FTE],A550)&lt;=0,INDEX(MfC_pers_ac_inst[Months],A550)&lt;=0)),INDEX(salaries_academic[],MATCH(INDEX(MfC_pers_ac_inst[Category],A550),salaries_academic[category],0),2),"")</f>
        <v>#REF!</v>
      </c>
      <c r="F550" s="195" t="str">
        <f>IFERROR(IF(Tabel33[Instruction]="",IF(AND(INDEX(MfC_pers_ac_inst[Country]="",A550),OR(INDEX(MfC_pers_ac_inst[Category],A550)&lt;&gt;"",INDEX(MfC_pers_ac_inst[FTE],A550)&gt;0,INDEX(MfC_pers_ac_inst[Months],A550)&gt;0,INDEX(MfC_pers_ac_inst[Costs],A550)&gt;0,LEN(INDEX(MfC_pers_ac_inst[Country],A550))&gt;0)),$B$173,""),""),"")</f>
        <v/>
      </c>
      <c r="G550" s="195" t="e">
        <f>IF(AND(Tabel33[Instruction]="",Tabel33[Country not specified]=""),IF(AND(INDEX(MfC_pers_ac_inst[Category],A550)&lt;&gt;"",INDEX(MfC_pers_ac_inst[Costs],A550)&lt;=0),IF(INDEX(salaries_academic[],MATCH(INDEX(MfC_pers_ac_inst[Category],A550),salaries_academic[category],0),3)="",$B$172,""),""),"")</f>
        <v>#REF!</v>
      </c>
      <c r="H550" s="218" t="str">
        <f>IFERROR(IF(AND(INDEX(salaries_academic[],MATCH(INDEX(MfC_pers_ac_inst[Category],A550),salaries_academic[category],0),3)&gt;0,INDEX(MfC_pers_ac_inst[Costs],A550)&gt;0),$B$174,""),"")</f>
        <v/>
      </c>
      <c r="I550" s="218" t="str">
        <f>IFERROR(IF(AND(organisation_type="yes",VALUE(INDEX(MfC_pers_ac_inst[Amount],A550))&gt;0,ISBLANK(INDEX(MfC_pers_ac_inst[Organisation type],A550))),$B$175,""),"")</f>
        <v/>
      </c>
      <c r="J550" s="218" t="str">
        <f>IFERROR(IF(AND(organisation_name="yes",VALUE(INDEX(MfC_pers_ac_inst[Amount],A550))&gt;0,ISBLANK(INDEX(MfC_pers_ac_inst[Name organisation],A550)),Tabel33[organisation type]=""),$B$176,""),"")</f>
        <v/>
      </c>
    </row>
    <row r="551" spans="1:10" outlineLevel="1" x14ac:dyDescent="0.35">
      <c r="A551" s="317">
        <v>32</v>
      </c>
      <c r="B551" s="317" t="str">
        <f t="array" ref="B551">IFERROR(INDEX(Tabel33[[#This Row],[Empty line]:[organisation name]],1,MATCH(TRUE,LEN(Tabel33[[#This Row],[Empty line]:[organisation name]])&gt;0,0)),"")</f>
        <v/>
      </c>
      <c r="C551" s="195" t="str">
        <f>IFERROR(IF(AND(LEN(INDEX(MfC_pers_ac_inst[Category],$A551))+LEN(INDEX(MfC_pers_ac_inst[FTE],$A551))+LEN(INDEX(MfC_pers_ac_inst[Months],$A551))+LEN(INDEX(MfC_pers_ac_inst[Country],$A551))&gt;0,LEN(INDEX(MfC_pers_ac_inst[Category],$A551-1))+LEN(INDEX(MfC_pers_ac_inst[FTE],$A551-1))+LEN(INDEX(MfC_pers_ac_inst[Months],$A551-1))+LEN(INDEX(MfC_pers_ac_inst[Country],$A551-1))=0),$B$127,""),"")</f>
        <v/>
      </c>
      <c r="D551" s="195" t="str">
        <f>IFERROR(IF(AND(INDEX(MfC_pers_ac_inst[Category]="",$A551),OR(INDEX(MfC_pers_ac_inst[FTE],$A551)&gt;0,INDEX(MfC_pers_ac_inst[Months],$A551)&gt;0,INDEX(MfC_pers_ac_inst[Costs],$A551)&gt;0,LEN(INDEX(MfC_pers_ac_inst[Country],$A551))&gt;0)),$B$171,""),"")</f>
        <v/>
      </c>
      <c r="E551" s="195" t="e">
        <f>IF(AND(INDEX(MfC_pers_ac_inst[Category],A551)&lt;&gt;"",OR(INDEX(MfC_pers_ac_inst[FTE],A551)&lt;=0,INDEX(MfC_pers_ac_inst[Months],A551)&lt;=0)),INDEX(salaries_academic[],MATCH(INDEX(MfC_pers_ac_inst[Category],A551),salaries_academic[category],0),2),"")</f>
        <v>#REF!</v>
      </c>
      <c r="F551" s="195" t="str">
        <f>IFERROR(IF(Tabel33[Instruction]="",IF(AND(INDEX(MfC_pers_ac_inst[Country]="",A551),OR(INDEX(MfC_pers_ac_inst[Category],A551)&lt;&gt;"",INDEX(MfC_pers_ac_inst[FTE],A551)&gt;0,INDEX(MfC_pers_ac_inst[Months],A551)&gt;0,INDEX(MfC_pers_ac_inst[Costs],A551)&gt;0,LEN(INDEX(MfC_pers_ac_inst[Country],A551))&gt;0)),$B$173,""),""),"")</f>
        <v/>
      </c>
      <c r="G551" s="195" t="e">
        <f>IF(AND(Tabel33[Instruction]="",Tabel33[Country not specified]=""),IF(AND(INDEX(MfC_pers_ac_inst[Category],A551)&lt;&gt;"",INDEX(MfC_pers_ac_inst[Costs],A551)&lt;=0),IF(INDEX(salaries_academic[],MATCH(INDEX(MfC_pers_ac_inst[Category],A551),salaries_academic[category],0),3)="",$B$172,""),""),"")</f>
        <v>#REF!</v>
      </c>
      <c r="H551" s="218" t="str">
        <f>IFERROR(IF(AND(INDEX(salaries_academic[],MATCH(INDEX(MfC_pers_ac_inst[Category],A551),salaries_academic[category],0),3)&gt;0,INDEX(MfC_pers_ac_inst[Costs],A551)&gt;0),$B$174,""),"")</f>
        <v/>
      </c>
      <c r="I551" s="218" t="str">
        <f>IFERROR(IF(AND(organisation_type="yes",VALUE(INDEX(MfC_pers_ac_inst[Amount],A551))&gt;0,ISBLANK(INDEX(MfC_pers_ac_inst[Organisation type],A551))),$B$175,""),"")</f>
        <v/>
      </c>
      <c r="J551" s="218" t="str">
        <f>IFERROR(IF(AND(organisation_name="yes",VALUE(INDEX(MfC_pers_ac_inst[Amount],A551))&gt;0,ISBLANK(INDEX(MfC_pers_ac_inst[Name organisation],A551)),Tabel33[organisation type]=""),$B$176,""),"")</f>
        <v/>
      </c>
    </row>
    <row r="552" spans="1:10" outlineLevel="1" x14ac:dyDescent="0.35">
      <c r="A552" s="317">
        <v>33</v>
      </c>
      <c r="B552" s="317" t="str">
        <f t="array" ref="B552">IFERROR(INDEX(Tabel33[[#This Row],[Empty line]:[organisation name]],1,MATCH(TRUE,LEN(Tabel33[[#This Row],[Empty line]:[organisation name]])&gt;0,0)),"")</f>
        <v/>
      </c>
      <c r="C552" s="195" t="str">
        <f>IFERROR(IF(AND(LEN(INDEX(MfC_pers_ac_inst[Category],$A552))+LEN(INDEX(MfC_pers_ac_inst[FTE],$A552))+LEN(INDEX(MfC_pers_ac_inst[Months],$A552))+LEN(INDEX(MfC_pers_ac_inst[Country],$A552))&gt;0,LEN(INDEX(MfC_pers_ac_inst[Category],$A552-1))+LEN(INDEX(MfC_pers_ac_inst[FTE],$A552-1))+LEN(INDEX(MfC_pers_ac_inst[Months],$A552-1))+LEN(INDEX(MfC_pers_ac_inst[Country],$A552-1))=0),$B$127,""),"")</f>
        <v/>
      </c>
      <c r="D552" s="195" t="str">
        <f>IFERROR(IF(AND(INDEX(MfC_pers_ac_inst[Category]="",$A552),OR(INDEX(MfC_pers_ac_inst[FTE],$A552)&gt;0,INDEX(MfC_pers_ac_inst[Months],$A552)&gt;0,INDEX(MfC_pers_ac_inst[Costs],$A552)&gt;0,LEN(INDEX(MfC_pers_ac_inst[Country],$A552))&gt;0)),$B$171,""),"")</f>
        <v/>
      </c>
      <c r="E552" s="195" t="e">
        <f>IF(AND(INDEX(MfC_pers_ac_inst[Category],A552)&lt;&gt;"",OR(INDEX(MfC_pers_ac_inst[FTE],A552)&lt;=0,INDEX(MfC_pers_ac_inst[Months],A552)&lt;=0)),INDEX(salaries_academic[],MATCH(INDEX(MfC_pers_ac_inst[Category],A552),salaries_academic[category],0),2),"")</f>
        <v>#REF!</v>
      </c>
      <c r="F552" s="195" t="str">
        <f>IFERROR(IF(Tabel33[Instruction]="",IF(AND(INDEX(MfC_pers_ac_inst[Country]="",A552),OR(INDEX(MfC_pers_ac_inst[Category],A552)&lt;&gt;"",INDEX(MfC_pers_ac_inst[FTE],A552)&gt;0,INDEX(MfC_pers_ac_inst[Months],A552)&gt;0,INDEX(MfC_pers_ac_inst[Costs],A552)&gt;0,LEN(INDEX(MfC_pers_ac_inst[Country],A552))&gt;0)),$B$173,""),""),"")</f>
        <v/>
      </c>
      <c r="G552" s="195" t="e">
        <f>IF(AND(Tabel33[Instruction]="",Tabel33[Country not specified]=""),IF(AND(INDEX(MfC_pers_ac_inst[Category],A552)&lt;&gt;"",INDEX(MfC_pers_ac_inst[Costs],A552)&lt;=0),IF(INDEX(salaries_academic[],MATCH(INDEX(MfC_pers_ac_inst[Category],A552),salaries_academic[category],0),3)="",$B$172,""),""),"")</f>
        <v>#REF!</v>
      </c>
      <c r="H552" s="218" t="str">
        <f>IFERROR(IF(AND(INDEX(salaries_academic[],MATCH(INDEX(MfC_pers_ac_inst[Category],A552),salaries_academic[category],0),3)&gt;0,INDEX(MfC_pers_ac_inst[Costs],A552)&gt;0),$B$174,""),"")</f>
        <v/>
      </c>
      <c r="I552" s="218" t="str">
        <f>IFERROR(IF(AND(organisation_type="yes",VALUE(INDEX(MfC_pers_ac_inst[Amount],A552))&gt;0,ISBLANK(INDEX(MfC_pers_ac_inst[Organisation type],A552))),$B$175,""),"")</f>
        <v/>
      </c>
      <c r="J552" s="218" t="str">
        <f>IFERROR(IF(AND(organisation_name="yes",VALUE(INDEX(MfC_pers_ac_inst[Amount],A552))&gt;0,ISBLANK(INDEX(MfC_pers_ac_inst[Name organisation],A552)),Tabel33[organisation type]=""),$B$176,""),"")</f>
        <v/>
      </c>
    </row>
    <row r="553" spans="1:10" outlineLevel="1" x14ac:dyDescent="0.35">
      <c r="A553" s="317">
        <v>34</v>
      </c>
      <c r="B553" s="317" t="str">
        <f t="array" ref="B553">IFERROR(INDEX(Tabel33[[#This Row],[Empty line]:[organisation name]],1,MATCH(TRUE,LEN(Tabel33[[#This Row],[Empty line]:[organisation name]])&gt;0,0)),"")</f>
        <v/>
      </c>
      <c r="C553" s="195" t="str">
        <f>IFERROR(IF(AND(LEN(INDEX(MfC_pers_ac_inst[Category],$A553))+LEN(INDEX(MfC_pers_ac_inst[FTE],$A553))+LEN(INDEX(MfC_pers_ac_inst[Months],$A553))+LEN(INDEX(MfC_pers_ac_inst[Country],$A553))&gt;0,LEN(INDEX(MfC_pers_ac_inst[Category],$A553-1))+LEN(INDEX(MfC_pers_ac_inst[FTE],$A553-1))+LEN(INDEX(MfC_pers_ac_inst[Months],$A553-1))+LEN(INDEX(MfC_pers_ac_inst[Country],$A553-1))=0),$B$127,""),"")</f>
        <v/>
      </c>
      <c r="D553" s="195" t="str">
        <f>IFERROR(IF(AND(INDEX(MfC_pers_ac_inst[Category]="",$A553),OR(INDEX(MfC_pers_ac_inst[FTE],$A553)&gt;0,INDEX(MfC_pers_ac_inst[Months],$A553)&gt;0,INDEX(MfC_pers_ac_inst[Costs],$A553)&gt;0,LEN(INDEX(MfC_pers_ac_inst[Country],$A553))&gt;0)),$B$171,""),"")</f>
        <v/>
      </c>
      <c r="E553" s="195" t="e">
        <f>IF(AND(INDEX(MfC_pers_ac_inst[Category],A553)&lt;&gt;"",OR(INDEX(MfC_pers_ac_inst[FTE],A553)&lt;=0,INDEX(MfC_pers_ac_inst[Months],A553)&lt;=0)),INDEX(salaries_academic[],MATCH(INDEX(MfC_pers_ac_inst[Category],A553),salaries_academic[category],0),2),"")</f>
        <v>#REF!</v>
      </c>
      <c r="F553" s="195" t="str">
        <f>IFERROR(IF(Tabel33[Instruction]="",IF(AND(INDEX(MfC_pers_ac_inst[Country]="",A553),OR(INDEX(MfC_pers_ac_inst[Category],A553)&lt;&gt;"",INDEX(MfC_pers_ac_inst[FTE],A553)&gt;0,INDEX(MfC_pers_ac_inst[Months],A553)&gt;0,INDEX(MfC_pers_ac_inst[Costs],A553)&gt;0,LEN(INDEX(MfC_pers_ac_inst[Country],A553))&gt;0)),$B$173,""),""),"")</f>
        <v/>
      </c>
      <c r="G553" s="195" t="e">
        <f>IF(AND(Tabel33[Instruction]="",Tabel33[Country not specified]=""),IF(AND(INDEX(MfC_pers_ac_inst[Category],A553)&lt;&gt;"",INDEX(MfC_pers_ac_inst[Costs],A553)&lt;=0),IF(INDEX(salaries_academic[],MATCH(INDEX(MfC_pers_ac_inst[Category],A553),salaries_academic[category],0),3)="",$B$172,""),""),"")</f>
        <v>#REF!</v>
      </c>
      <c r="H553" s="218" t="str">
        <f>IFERROR(IF(AND(INDEX(salaries_academic[],MATCH(INDEX(MfC_pers_ac_inst[Category],A553),salaries_academic[category],0),3)&gt;0,INDEX(MfC_pers_ac_inst[Costs],A553)&gt;0),$B$174,""),"")</f>
        <v/>
      </c>
      <c r="I553" s="218" t="str">
        <f>IFERROR(IF(AND(organisation_type="yes",VALUE(INDEX(MfC_pers_ac_inst[Amount],A553))&gt;0,ISBLANK(INDEX(MfC_pers_ac_inst[Organisation type],A553))),$B$175,""),"")</f>
        <v/>
      </c>
      <c r="J553" s="218" t="str">
        <f>IFERROR(IF(AND(organisation_name="yes",VALUE(INDEX(MfC_pers_ac_inst[Amount],A553))&gt;0,ISBLANK(INDEX(MfC_pers_ac_inst[Name organisation],A553)),Tabel33[organisation type]=""),$B$176,""),"")</f>
        <v/>
      </c>
    </row>
    <row r="554" spans="1:10" outlineLevel="1" x14ac:dyDescent="0.35">
      <c r="A554" s="317">
        <v>35</v>
      </c>
      <c r="B554" s="317" t="str">
        <f t="array" ref="B554">IFERROR(INDEX(Tabel33[[#This Row],[Empty line]:[organisation name]],1,MATCH(TRUE,LEN(Tabel33[[#This Row],[Empty line]:[organisation name]])&gt;0,0)),"")</f>
        <v/>
      </c>
      <c r="C554" s="195" t="str">
        <f>IFERROR(IF(AND(LEN(INDEX(MfC_pers_ac_inst[Category],$A554))+LEN(INDEX(MfC_pers_ac_inst[FTE],$A554))+LEN(INDEX(MfC_pers_ac_inst[Months],$A554))+LEN(INDEX(MfC_pers_ac_inst[Country],$A554))&gt;0,LEN(INDEX(MfC_pers_ac_inst[Category],$A554-1))+LEN(INDEX(MfC_pers_ac_inst[FTE],$A554-1))+LEN(INDEX(MfC_pers_ac_inst[Months],$A554-1))+LEN(INDEX(MfC_pers_ac_inst[Country],$A554-1))=0),$B$127,""),"")</f>
        <v/>
      </c>
      <c r="D554" s="195" t="str">
        <f>IFERROR(IF(AND(INDEX(MfC_pers_ac_inst[Category]="",$A554),OR(INDEX(MfC_pers_ac_inst[FTE],$A554)&gt;0,INDEX(MfC_pers_ac_inst[Months],$A554)&gt;0,INDEX(MfC_pers_ac_inst[Costs],$A554)&gt;0,LEN(INDEX(MfC_pers_ac_inst[Country],$A554))&gt;0)),$B$171,""),"")</f>
        <v/>
      </c>
      <c r="E554" s="195" t="e">
        <f>IF(AND(INDEX(MfC_pers_ac_inst[Category],A554)&lt;&gt;"",OR(INDEX(MfC_pers_ac_inst[FTE],A554)&lt;=0,INDEX(MfC_pers_ac_inst[Months],A554)&lt;=0)),INDEX(salaries_academic[],MATCH(INDEX(MfC_pers_ac_inst[Category],A554),salaries_academic[category],0),2),"")</f>
        <v>#REF!</v>
      </c>
      <c r="F554" s="195" t="str">
        <f>IFERROR(IF(Tabel33[Instruction]="",IF(AND(INDEX(MfC_pers_ac_inst[Country]="",A554),OR(INDEX(MfC_pers_ac_inst[Category],A554)&lt;&gt;"",INDEX(MfC_pers_ac_inst[FTE],A554)&gt;0,INDEX(MfC_pers_ac_inst[Months],A554)&gt;0,INDEX(MfC_pers_ac_inst[Costs],A554)&gt;0,LEN(INDEX(MfC_pers_ac_inst[Country],A554))&gt;0)),$B$173,""),""),"")</f>
        <v/>
      </c>
      <c r="G554" s="195" t="e">
        <f>IF(AND(Tabel33[Instruction]="",Tabel33[Country not specified]=""),IF(AND(INDEX(MfC_pers_ac_inst[Category],A554)&lt;&gt;"",INDEX(MfC_pers_ac_inst[Costs],A554)&lt;=0),IF(INDEX(salaries_academic[],MATCH(INDEX(MfC_pers_ac_inst[Category],A554),salaries_academic[category],0),3)="",$B$172,""),""),"")</f>
        <v>#REF!</v>
      </c>
      <c r="H554" s="218" t="str">
        <f>IFERROR(IF(AND(INDEX(salaries_academic[],MATCH(INDEX(MfC_pers_ac_inst[Category],A554),salaries_academic[category],0),3)&gt;0,INDEX(MfC_pers_ac_inst[Costs],A554)&gt;0),$B$174,""),"")</f>
        <v/>
      </c>
      <c r="I554" s="218" t="str">
        <f>IFERROR(IF(AND(organisation_type="yes",VALUE(INDEX(MfC_pers_ac_inst[Amount],A554))&gt;0,ISBLANK(INDEX(MfC_pers_ac_inst[Organisation type],A554))),$B$175,""),"")</f>
        <v/>
      </c>
      <c r="J554" s="218" t="str">
        <f>IFERROR(IF(AND(organisation_name="yes",VALUE(INDEX(MfC_pers_ac_inst[Amount],A554))&gt;0,ISBLANK(INDEX(MfC_pers_ac_inst[Name organisation],A554)),Tabel33[organisation type]=""),$B$176,""),"")</f>
        <v/>
      </c>
    </row>
    <row r="555" spans="1:10" outlineLevel="1" x14ac:dyDescent="0.35">
      <c r="A555" s="317">
        <v>36</v>
      </c>
      <c r="B555" s="317" t="str">
        <f t="array" ref="B555">IFERROR(INDEX(Tabel33[[#This Row],[Empty line]:[organisation name]],1,MATCH(TRUE,LEN(Tabel33[[#This Row],[Empty line]:[organisation name]])&gt;0,0)),"")</f>
        <v/>
      </c>
      <c r="C555" s="195" t="str">
        <f>IFERROR(IF(AND(LEN(INDEX(MfC_pers_ac_inst[Category],$A555))+LEN(INDEX(MfC_pers_ac_inst[FTE],$A555))+LEN(INDEX(MfC_pers_ac_inst[Months],$A555))+LEN(INDEX(MfC_pers_ac_inst[Country],$A555))&gt;0,LEN(INDEX(MfC_pers_ac_inst[Category],$A555-1))+LEN(INDEX(MfC_pers_ac_inst[FTE],$A555-1))+LEN(INDEX(MfC_pers_ac_inst[Months],$A555-1))+LEN(INDEX(MfC_pers_ac_inst[Country],$A555-1))=0),$B$127,""),"")</f>
        <v/>
      </c>
      <c r="D555" s="195" t="str">
        <f>IFERROR(IF(AND(INDEX(MfC_pers_ac_inst[Category]="",$A555),OR(INDEX(MfC_pers_ac_inst[FTE],$A555)&gt;0,INDEX(MfC_pers_ac_inst[Months],$A555)&gt;0,INDEX(MfC_pers_ac_inst[Costs],$A555)&gt;0,LEN(INDEX(MfC_pers_ac_inst[Country],$A555))&gt;0)),$B$171,""),"")</f>
        <v/>
      </c>
      <c r="E555" s="195" t="e">
        <f>IF(AND(INDEX(MfC_pers_ac_inst[Category],A555)&lt;&gt;"",OR(INDEX(MfC_pers_ac_inst[FTE],A555)&lt;=0,INDEX(MfC_pers_ac_inst[Months],A555)&lt;=0)),INDEX(salaries_academic[],MATCH(INDEX(MfC_pers_ac_inst[Category],A555),salaries_academic[category],0),2),"")</f>
        <v>#REF!</v>
      </c>
      <c r="F555" s="195" t="str">
        <f>IFERROR(IF(Tabel33[Instruction]="",IF(AND(INDEX(MfC_pers_ac_inst[Country]="",A555),OR(INDEX(MfC_pers_ac_inst[Category],A555)&lt;&gt;"",INDEX(MfC_pers_ac_inst[FTE],A555)&gt;0,INDEX(MfC_pers_ac_inst[Months],A555)&gt;0,INDEX(MfC_pers_ac_inst[Costs],A555)&gt;0,LEN(INDEX(MfC_pers_ac_inst[Country],A555))&gt;0)),$B$173,""),""),"")</f>
        <v/>
      </c>
      <c r="G555" s="195" t="e">
        <f>IF(AND(Tabel33[Instruction]="",Tabel33[Country not specified]=""),IF(AND(INDEX(MfC_pers_ac_inst[Category],A555)&lt;&gt;"",INDEX(MfC_pers_ac_inst[Costs],A555)&lt;=0),IF(INDEX(salaries_academic[],MATCH(INDEX(MfC_pers_ac_inst[Category],A555),salaries_academic[category],0),3)="",$B$172,""),""),"")</f>
        <v>#REF!</v>
      </c>
      <c r="H555" s="218" t="str">
        <f>IFERROR(IF(AND(INDEX(salaries_academic[],MATCH(INDEX(MfC_pers_ac_inst[Category],A555),salaries_academic[category],0),3)&gt;0,INDEX(MfC_pers_ac_inst[Costs],A555)&gt;0),$B$174,""),"")</f>
        <v/>
      </c>
      <c r="I555" s="218" t="str">
        <f>IFERROR(IF(AND(organisation_type="yes",VALUE(INDEX(MfC_pers_ac_inst[Amount],A555))&gt;0,ISBLANK(INDEX(MfC_pers_ac_inst[Organisation type],A555))),$B$175,""),"")</f>
        <v/>
      </c>
      <c r="J555" s="218" t="str">
        <f>IFERROR(IF(AND(organisation_name="yes",VALUE(INDEX(MfC_pers_ac_inst[Amount],A555))&gt;0,ISBLANK(INDEX(MfC_pers_ac_inst[Name organisation],A555)),Tabel33[organisation type]=""),$B$176,""),"")</f>
        <v/>
      </c>
    </row>
    <row r="556" spans="1:10" outlineLevel="1" x14ac:dyDescent="0.35">
      <c r="A556" s="317">
        <v>37</v>
      </c>
      <c r="B556" s="317" t="str">
        <f t="array" ref="B556">IFERROR(INDEX(Tabel33[[#This Row],[Empty line]:[organisation name]],1,MATCH(TRUE,LEN(Tabel33[[#This Row],[Empty line]:[organisation name]])&gt;0,0)),"")</f>
        <v/>
      </c>
      <c r="C556" s="195" t="str">
        <f>IFERROR(IF(AND(LEN(INDEX(MfC_pers_ac_inst[Category],$A556))+LEN(INDEX(MfC_pers_ac_inst[FTE],$A556))+LEN(INDEX(MfC_pers_ac_inst[Months],$A556))+LEN(INDEX(MfC_pers_ac_inst[Country],$A556))&gt;0,LEN(INDEX(MfC_pers_ac_inst[Category],$A556-1))+LEN(INDEX(MfC_pers_ac_inst[FTE],$A556-1))+LEN(INDEX(MfC_pers_ac_inst[Months],$A556-1))+LEN(INDEX(MfC_pers_ac_inst[Country],$A556-1))=0),$B$127,""),"")</f>
        <v/>
      </c>
      <c r="D556" s="195" t="str">
        <f>IFERROR(IF(AND(INDEX(MfC_pers_ac_inst[Category]="",$A556),OR(INDEX(MfC_pers_ac_inst[FTE],$A556)&gt;0,INDEX(MfC_pers_ac_inst[Months],$A556)&gt;0,INDEX(MfC_pers_ac_inst[Costs],$A556)&gt;0,LEN(INDEX(MfC_pers_ac_inst[Country],$A556))&gt;0)),$B$171,""),"")</f>
        <v/>
      </c>
      <c r="E556" s="195" t="e">
        <f>IF(AND(INDEX(MfC_pers_ac_inst[Category],A556)&lt;&gt;"",OR(INDEX(MfC_pers_ac_inst[FTE],A556)&lt;=0,INDEX(MfC_pers_ac_inst[Months],A556)&lt;=0)),INDEX(salaries_academic[],MATCH(INDEX(MfC_pers_ac_inst[Category],A556),salaries_academic[category],0),2),"")</f>
        <v>#REF!</v>
      </c>
      <c r="F556" s="195" t="str">
        <f>IFERROR(IF(Tabel33[Instruction]="",IF(AND(INDEX(MfC_pers_ac_inst[Country]="",A556),OR(INDEX(MfC_pers_ac_inst[Category],A556)&lt;&gt;"",INDEX(MfC_pers_ac_inst[FTE],A556)&gt;0,INDEX(MfC_pers_ac_inst[Months],A556)&gt;0,INDEX(MfC_pers_ac_inst[Costs],A556)&gt;0,LEN(INDEX(MfC_pers_ac_inst[Country],A556))&gt;0)),$B$173,""),""),"")</f>
        <v/>
      </c>
      <c r="G556" s="195" t="e">
        <f>IF(AND(Tabel33[Instruction]="",Tabel33[Country not specified]=""),IF(AND(INDEX(MfC_pers_ac_inst[Category],A556)&lt;&gt;"",INDEX(MfC_pers_ac_inst[Costs],A556)&lt;=0),IF(INDEX(salaries_academic[],MATCH(INDEX(MfC_pers_ac_inst[Category],A556),salaries_academic[category],0),3)="",$B$172,""),""),"")</f>
        <v>#REF!</v>
      </c>
      <c r="H556" s="218" t="str">
        <f>IFERROR(IF(AND(INDEX(salaries_academic[],MATCH(INDEX(MfC_pers_ac_inst[Category],A556),salaries_academic[category],0),3)&gt;0,INDEX(MfC_pers_ac_inst[Costs],A556)&gt;0),$B$174,""),"")</f>
        <v/>
      </c>
      <c r="I556" s="218" t="str">
        <f>IFERROR(IF(AND(organisation_type="yes",VALUE(INDEX(MfC_pers_ac_inst[Amount],A556))&gt;0,ISBLANK(INDEX(MfC_pers_ac_inst[Organisation type],A556))),$B$175,""),"")</f>
        <v/>
      </c>
      <c r="J556" s="218" t="str">
        <f>IFERROR(IF(AND(organisation_name="yes",VALUE(INDEX(MfC_pers_ac_inst[Amount],A556))&gt;0,ISBLANK(INDEX(MfC_pers_ac_inst[Name organisation],A556)),Tabel33[organisation type]=""),$B$176,""),"")</f>
        <v/>
      </c>
    </row>
    <row r="557" spans="1:10" outlineLevel="1" x14ac:dyDescent="0.35">
      <c r="A557" s="317">
        <v>38</v>
      </c>
      <c r="B557" s="317" t="str">
        <f t="array" ref="B557">IFERROR(INDEX(Tabel33[[#This Row],[Empty line]:[organisation name]],1,MATCH(TRUE,LEN(Tabel33[[#This Row],[Empty line]:[organisation name]])&gt;0,0)),"")</f>
        <v/>
      </c>
      <c r="C557" s="195" t="str">
        <f>IFERROR(IF(AND(LEN(INDEX(MfC_pers_ac_inst[Category],$A557))+LEN(INDEX(MfC_pers_ac_inst[FTE],$A557))+LEN(INDEX(MfC_pers_ac_inst[Months],$A557))+LEN(INDEX(MfC_pers_ac_inst[Country],$A557))&gt;0,LEN(INDEX(MfC_pers_ac_inst[Category],$A557-1))+LEN(INDEX(MfC_pers_ac_inst[FTE],$A557-1))+LEN(INDEX(MfC_pers_ac_inst[Months],$A557-1))+LEN(INDEX(MfC_pers_ac_inst[Country],$A557-1))=0),$B$127,""),"")</f>
        <v/>
      </c>
      <c r="D557" s="195" t="str">
        <f>IFERROR(IF(AND(INDEX(MfC_pers_ac_inst[Category]="",$A557),OR(INDEX(MfC_pers_ac_inst[FTE],$A557)&gt;0,INDEX(MfC_pers_ac_inst[Months],$A557)&gt;0,INDEX(MfC_pers_ac_inst[Costs],$A557)&gt;0,LEN(INDEX(MfC_pers_ac_inst[Country],$A557))&gt;0)),$B$171,""),"")</f>
        <v/>
      </c>
      <c r="E557" s="195" t="e">
        <f>IF(AND(INDEX(MfC_pers_ac_inst[Category],A557)&lt;&gt;"",OR(INDEX(MfC_pers_ac_inst[FTE],A557)&lt;=0,INDEX(MfC_pers_ac_inst[Months],A557)&lt;=0)),INDEX(salaries_academic[],MATCH(INDEX(MfC_pers_ac_inst[Category],A557),salaries_academic[category],0),2),"")</f>
        <v>#REF!</v>
      </c>
      <c r="F557" s="195" t="str">
        <f>IFERROR(IF(Tabel33[Instruction]="",IF(AND(INDEX(MfC_pers_ac_inst[Country]="",A557),OR(INDEX(MfC_pers_ac_inst[Category],A557)&lt;&gt;"",INDEX(MfC_pers_ac_inst[FTE],A557)&gt;0,INDEX(MfC_pers_ac_inst[Months],A557)&gt;0,INDEX(MfC_pers_ac_inst[Costs],A557)&gt;0,LEN(INDEX(MfC_pers_ac_inst[Country],A557))&gt;0)),$B$173,""),""),"")</f>
        <v/>
      </c>
      <c r="G557" s="195" t="e">
        <f>IF(AND(Tabel33[Instruction]="",Tabel33[Country not specified]=""),IF(AND(INDEX(MfC_pers_ac_inst[Category],A557)&lt;&gt;"",INDEX(MfC_pers_ac_inst[Costs],A557)&lt;=0),IF(INDEX(salaries_academic[],MATCH(INDEX(MfC_pers_ac_inst[Category],A557),salaries_academic[category],0),3)="",$B$172,""),""),"")</f>
        <v>#REF!</v>
      </c>
      <c r="H557" s="218" t="str">
        <f>IFERROR(IF(AND(INDEX(salaries_academic[],MATCH(INDEX(MfC_pers_ac_inst[Category],A557),salaries_academic[category],0),3)&gt;0,INDEX(MfC_pers_ac_inst[Costs],A557)&gt;0),$B$174,""),"")</f>
        <v/>
      </c>
      <c r="I557" s="218" t="str">
        <f>IFERROR(IF(AND(organisation_type="yes",VALUE(INDEX(MfC_pers_ac_inst[Amount],A557))&gt;0,ISBLANK(INDEX(MfC_pers_ac_inst[Organisation type],A557))),$B$175,""),"")</f>
        <v/>
      </c>
      <c r="J557" s="218" t="str">
        <f>IFERROR(IF(AND(organisation_name="yes",VALUE(INDEX(MfC_pers_ac_inst[Amount],A557))&gt;0,ISBLANK(INDEX(MfC_pers_ac_inst[Name organisation],A557)),Tabel33[organisation type]=""),$B$176,""),"")</f>
        <v/>
      </c>
    </row>
    <row r="558" spans="1:10" outlineLevel="1" x14ac:dyDescent="0.35">
      <c r="A558" s="317">
        <v>39</v>
      </c>
      <c r="B558" s="317" t="str">
        <f t="array" ref="B558">IFERROR(INDEX(Tabel33[[#This Row],[Empty line]:[organisation name]],1,MATCH(TRUE,LEN(Tabel33[[#This Row],[Empty line]:[organisation name]])&gt;0,0)),"")</f>
        <v/>
      </c>
      <c r="C558" s="195" t="str">
        <f>IFERROR(IF(AND(LEN(INDEX(MfC_pers_ac_inst[Category],$A558))+LEN(INDEX(MfC_pers_ac_inst[FTE],$A558))+LEN(INDEX(MfC_pers_ac_inst[Months],$A558))+LEN(INDEX(MfC_pers_ac_inst[Country],$A558))&gt;0,LEN(INDEX(MfC_pers_ac_inst[Category],$A558-1))+LEN(INDEX(MfC_pers_ac_inst[FTE],$A558-1))+LEN(INDEX(MfC_pers_ac_inst[Months],$A558-1))+LEN(INDEX(MfC_pers_ac_inst[Country],$A558-1))=0),$B$127,""),"")</f>
        <v/>
      </c>
      <c r="D558" s="195" t="str">
        <f>IFERROR(IF(AND(INDEX(MfC_pers_ac_inst[Category]="",$A558),OR(INDEX(MfC_pers_ac_inst[FTE],$A558)&gt;0,INDEX(MfC_pers_ac_inst[Months],$A558)&gt;0,INDEX(MfC_pers_ac_inst[Costs],$A558)&gt;0,LEN(INDEX(MfC_pers_ac_inst[Country],$A558))&gt;0)),$B$171,""),"")</f>
        <v/>
      </c>
      <c r="E558" s="195" t="e">
        <f>IF(AND(INDEX(MfC_pers_ac_inst[Category],A558)&lt;&gt;"",OR(INDEX(MfC_pers_ac_inst[FTE],A558)&lt;=0,INDEX(MfC_pers_ac_inst[Months],A558)&lt;=0)),INDEX(salaries_academic[],MATCH(INDEX(MfC_pers_ac_inst[Category],A558),salaries_academic[category],0),2),"")</f>
        <v>#REF!</v>
      </c>
      <c r="F558" s="195" t="str">
        <f>IFERROR(IF(Tabel33[Instruction]="",IF(AND(INDEX(MfC_pers_ac_inst[Country]="",A558),OR(INDEX(MfC_pers_ac_inst[Category],A558)&lt;&gt;"",INDEX(MfC_pers_ac_inst[FTE],A558)&gt;0,INDEX(MfC_pers_ac_inst[Months],A558)&gt;0,INDEX(MfC_pers_ac_inst[Costs],A558)&gt;0,LEN(INDEX(MfC_pers_ac_inst[Country],A558))&gt;0)),$B$173,""),""),"")</f>
        <v/>
      </c>
      <c r="G558" s="195" t="e">
        <f>IF(AND(Tabel33[Instruction]="",Tabel33[Country not specified]=""),IF(AND(INDEX(MfC_pers_ac_inst[Category],A558)&lt;&gt;"",INDEX(MfC_pers_ac_inst[Costs],A558)&lt;=0),IF(INDEX(salaries_academic[],MATCH(INDEX(MfC_pers_ac_inst[Category],A558),salaries_academic[category],0),3)="",$B$172,""),""),"")</f>
        <v>#REF!</v>
      </c>
      <c r="H558" s="218" t="str">
        <f>IFERROR(IF(AND(INDEX(salaries_academic[],MATCH(INDEX(MfC_pers_ac_inst[Category],A558),salaries_academic[category],0),3)&gt;0,INDEX(MfC_pers_ac_inst[Costs],A558)&gt;0),$B$174,""),"")</f>
        <v/>
      </c>
      <c r="I558" s="218" t="str">
        <f>IFERROR(IF(AND(organisation_type="yes",VALUE(INDEX(MfC_pers_ac_inst[Amount],A558))&gt;0,ISBLANK(INDEX(MfC_pers_ac_inst[Organisation type],A558))),$B$175,""),"")</f>
        <v/>
      </c>
      <c r="J558" s="218" t="str">
        <f>IFERROR(IF(AND(organisation_name="yes",VALUE(INDEX(MfC_pers_ac_inst[Amount],A558))&gt;0,ISBLANK(INDEX(MfC_pers_ac_inst[Name organisation],A558)),Tabel33[organisation type]=""),$B$176,""),"")</f>
        <v/>
      </c>
    </row>
    <row r="559" spans="1:10" outlineLevel="1" x14ac:dyDescent="0.35">
      <c r="A559" s="317">
        <v>40</v>
      </c>
      <c r="B559" s="317" t="str">
        <f t="array" ref="B559">IFERROR(INDEX(Tabel33[[#This Row],[Empty line]:[organisation name]],1,MATCH(TRUE,LEN(Tabel33[[#This Row],[Empty line]:[organisation name]])&gt;0,0)),"")</f>
        <v/>
      </c>
      <c r="C559" s="195" t="str">
        <f>IFERROR(IF(AND(LEN(INDEX(MfC_pers_ac_inst[Category],$A559))+LEN(INDEX(MfC_pers_ac_inst[FTE],$A559))+LEN(INDEX(MfC_pers_ac_inst[Months],$A559))+LEN(INDEX(MfC_pers_ac_inst[Country],$A559))&gt;0,LEN(INDEX(MfC_pers_ac_inst[Category],$A559-1))+LEN(INDEX(MfC_pers_ac_inst[FTE],$A559-1))+LEN(INDEX(MfC_pers_ac_inst[Months],$A559-1))+LEN(INDEX(MfC_pers_ac_inst[Country],$A559-1))=0),$B$127,""),"")</f>
        <v/>
      </c>
      <c r="D559" s="195" t="str">
        <f>IFERROR(IF(AND(INDEX(MfC_pers_ac_inst[Category]="",$A559),OR(INDEX(MfC_pers_ac_inst[FTE],$A559)&gt;0,INDEX(MfC_pers_ac_inst[Months],$A559)&gt;0,INDEX(MfC_pers_ac_inst[Costs],$A559)&gt;0,LEN(INDEX(MfC_pers_ac_inst[Country],$A559))&gt;0)),$B$171,""),"")</f>
        <v/>
      </c>
      <c r="E559" s="195" t="e">
        <f>IF(AND(INDEX(MfC_pers_ac_inst[Category],A559)&lt;&gt;"",OR(INDEX(MfC_pers_ac_inst[FTE],A559)&lt;=0,INDEX(MfC_pers_ac_inst[Months],A559)&lt;=0)),INDEX(salaries_academic[],MATCH(INDEX(MfC_pers_ac_inst[Category],A559),salaries_academic[category],0),2),"")</f>
        <v>#REF!</v>
      </c>
      <c r="F559" s="195" t="str">
        <f>IFERROR(IF(Tabel33[Instruction]="",IF(AND(INDEX(MfC_pers_ac_inst[Country]="",A559),OR(INDEX(MfC_pers_ac_inst[Category],A559)&lt;&gt;"",INDEX(MfC_pers_ac_inst[FTE],A559)&gt;0,INDEX(MfC_pers_ac_inst[Months],A559)&gt;0,INDEX(MfC_pers_ac_inst[Costs],A559)&gt;0,LEN(INDEX(MfC_pers_ac_inst[Country],A559))&gt;0)),$B$173,""),""),"")</f>
        <v/>
      </c>
      <c r="G559" s="195" t="e">
        <f>IF(AND(Tabel33[Instruction]="",Tabel33[Country not specified]=""),IF(AND(INDEX(MfC_pers_ac_inst[Category],A559)&lt;&gt;"",INDEX(MfC_pers_ac_inst[Costs],A559)&lt;=0),IF(INDEX(salaries_academic[],MATCH(INDEX(MfC_pers_ac_inst[Category],A559),salaries_academic[category],0),3)="",$B$172,""),""),"")</f>
        <v>#REF!</v>
      </c>
      <c r="H559" s="218" t="str">
        <f>IFERROR(IF(AND(INDEX(salaries_academic[],MATCH(INDEX(MfC_pers_ac_inst[Category],A559),salaries_academic[category],0),3)&gt;0,INDEX(MfC_pers_ac_inst[Costs],A559)&gt;0),$B$174,""),"")</f>
        <v/>
      </c>
      <c r="I559" s="218" t="str">
        <f>IFERROR(IF(AND(organisation_type="yes",VALUE(INDEX(MfC_pers_ac_inst[Amount],A559))&gt;0,ISBLANK(INDEX(MfC_pers_ac_inst[Organisation type],A559))),$B$175,""),"")</f>
        <v/>
      </c>
      <c r="J559" s="218" t="str">
        <f>IFERROR(IF(AND(organisation_name="yes",VALUE(INDEX(MfC_pers_ac_inst[Amount],A559))&gt;0,ISBLANK(INDEX(MfC_pers_ac_inst[Name organisation],A559)),Tabel33[organisation type]=""),$B$176,""),"")</f>
        <v/>
      </c>
    </row>
    <row r="560" spans="1:10" outlineLevel="1" x14ac:dyDescent="0.35">
      <c r="A560" s="317">
        <v>41</v>
      </c>
      <c r="B560" s="317" t="str">
        <f t="array" ref="B560">IFERROR(INDEX(Tabel33[[#This Row],[Empty line]:[organisation name]],1,MATCH(TRUE,LEN(Tabel33[[#This Row],[Empty line]:[organisation name]])&gt;0,0)),"")</f>
        <v/>
      </c>
      <c r="C560" s="195" t="str">
        <f>IFERROR(IF(AND(LEN(INDEX(MfC_pers_ac_inst[Category],$A560))+LEN(INDEX(MfC_pers_ac_inst[FTE],$A560))+LEN(INDEX(MfC_pers_ac_inst[Months],$A560))+LEN(INDEX(MfC_pers_ac_inst[Country],$A560))&gt;0,LEN(INDEX(MfC_pers_ac_inst[Category],$A560-1))+LEN(INDEX(MfC_pers_ac_inst[FTE],$A560-1))+LEN(INDEX(MfC_pers_ac_inst[Months],$A560-1))+LEN(INDEX(MfC_pers_ac_inst[Country],$A560-1))=0),$B$127,""),"")</f>
        <v/>
      </c>
      <c r="D560" s="195" t="str">
        <f>IFERROR(IF(AND(INDEX(MfC_pers_ac_inst[Category]="",$A560),OR(INDEX(MfC_pers_ac_inst[FTE],$A560)&gt;0,INDEX(MfC_pers_ac_inst[Months],$A560)&gt;0,INDEX(MfC_pers_ac_inst[Costs],$A560)&gt;0,LEN(INDEX(MfC_pers_ac_inst[Country],$A560))&gt;0)),$B$171,""),"")</f>
        <v/>
      </c>
      <c r="E560" s="195" t="e">
        <f>IF(AND(INDEX(MfC_pers_ac_inst[Category],A560)&lt;&gt;"",OR(INDEX(MfC_pers_ac_inst[FTE],A560)&lt;=0,INDEX(MfC_pers_ac_inst[Months],A560)&lt;=0)),INDEX(salaries_academic[],MATCH(INDEX(MfC_pers_ac_inst[Category],A560),salaries_academic[category],0),2),"")</f>
        <v>#REF!</v>
      </c>
      <c r="F560" s="195" t="str">
        <f>IFERROR(IF(Tabel33[Instruction]="",IF(AND(INDEX(MfC_pers_ac_inst[Country]="",A560),OR(INDEX(MfC_pers_ac_inst[Category],A560)&lt;&gt;"",INDEX(MfC_pers_ac_inst[FTE],A560)&gt;0,INDEX(MfC_pers_ac_inst[Months],A560)&gt;0,INDEX(MfC_pers_ac_inst[Costs],A560)&gt;0,LEN(INDEX(MfC_pers_ac_inst[Country],A560))&gt;0)),$B$173,""),""),"")</f>
        <v/>
      </c>
      <c r="G560" s="195" t="e">
        <f>IF(AND(Tabel33[Instruction]="",Tabel33[Country not specified]=""),IF(AND(INDEX(MfC_pers_ac_inst[Category],A560)&lt;&gt;"",INDEX(MfC_pers_ac_inst[Costs],A560)&lt;=0),IF(INDEX(salaries_academic[],MATCH(INDEX(MfC_pers_ac_inst[Category],A560),salaries_academic[category],0),3)="",$B$172,""),""),"")</f>
        <v>#REF!</v>
      </c>
      <c r="H560" s="218" t="str">
        <f>IFERROR(IF(AND(INDEX(salaries_academic[],MATCH(INDEX(MfC_pers_ac_inst[Category],A560),salaries_academic[category],0),3)&gt;0,INDEX(MfC_pers_ac_inst[Costs],A560)&gt;0),$B$174,""),"")</f>
        <v/>
      </c>
      <c r="I560" s="218" t="str">
        <f>IFERROR(IF(AND(organisation_type="yes",VALUE(INDEX(MfC_pers_ac_inst[Amount],A560))&gt;0,ISBLANK(INDEX(MfC_pers_ac_inst[Organisation type],A560))),$B$175,""),"")</f>
        <v/>
      </c>
      <c r="J560" s="218" t="str">
        <f>IFERROR(IF(AND(organisation_name="yes",VALUE(INDEX(MfC_pers_ac_inst[Amount],A560))&gt;0,ISBLANK(INDEX(MfC_pers_ac_inst[Name organisation],A560)),Tabel33[organisation type]=""),$B$176,""),"")</f>
        <v/>
      </c>
    </row>
    <row r="561" spans="1:10" outlineLevel="1" x14ac:dyDescent="0.35">
      <c r="A561" s="317">
        <v>42</v>
      </c>
      <c r="B561" s="317" t="str">
        <f t="array" ref="B561">IFERROR(INDEX(Tabel33[[#This Row],[Empty line]:[organisation name]],1,MATCH(TRUE,LEN(Tabel33[[#This Row],[Empty line]:[organisation name]])&gt;0,0)),"")</f>
        <v/>
      </c>
      <c r="C561" s="195" t="str">
        <f>IFERROR(IF(AND(LEN(INDEX(MfC_pers_ac_inst[Category],$A561))+LEN(INDEX(MfC_pers_ac_inst[FTE],$A561))+LEN(INDEX(MfC_pers_ac_inst[Months],$A561))+LEN(INDEX(MfC_pers_ac_inst[Country],$A561))&gt;0,LEN(INDEX(MfC_pers_ac_inst[Category],$A561-1))+LEN(INDEX(MfC_pers_ac_inst[FTE],$A561-1))+LEN(INDEX(MfC_pers_ac_inst[Months],$A561-1))+LEN(INDEX(MfC_pers_ac_inst[Country],$A561-1))=0),$B$127,""),"")</f>
        <v/>
      </c>
      <c r="D561" s="195" t="str">
        <f>IFERROR(IF(AND(INDEX(MfC_pers_ac_inst[Category]="",$A561),OR(INDEX(MfC_pers_ac_inst[FTE],$A561)&gt;0,INDEX(MfC_pers_ac_inst[Months],$A561)&gt;0,INDEX(MfC_pers_ac_inst[Costs],$A561)&gt;0,LEN(INDEX(MfC_pers_ac_inst[Country],$A561))&gt;0)),$B$171,""),"")</f>
        <v/>
      </c>
      <c r="E561" s="195" t="e">
        <f>IF(AND(INDEX(MfC_pers_ac_inst[Category],A561)&lt;&gt;"",OR(INDEX(MfC_pers_ac_inst[FTE],A561)&lt;=0,INDEX(MfC_pers_ac_inst[Months],A561)&lt;=0)),INDEX(salaries_academic[],MATCH(INDEX(MfC_pers_ac_inst[Category],A561),salaries_academic[category],0),2),"")</f>
        <v>#REF!</v>
      </c>
      <c r="F561" s="195" t="str">
        <f>IFERROR(IF(Tabel33[Instruction]="",IF(AND(INDEX(MfC_pers_ac_inst[Country]="",A561),OR(INDEX(MfC_pers_ac_inst[Category],A561)&lt;&gt;"",INDEX(MfC_pers_ac_inst[FTE],A561)&gt;0,INDEX(MfC_pers_ac_inst[Months],A561)&gt;0,INDEX(MfC_pers_ac_inst[Costs],A561)&gt;0,LEN(INDEX(MfC_pers_ac_inst[Country],A561))&gt;0)),$B$173,""),""),"")</f>
        <v/>
      </c>
      <c r="G561" s="195" t="e">
        <f>IF(AND(Tabel33[Instruction]="",Tabel33[Country not specified]=""),IF(AND(INDEX(MfC_pers_ac_inst[Category],A561)&lt;&gt;"",INDEX(MfC_pers_ac_inst[Costs],A561)&lt;=0),IF(INDEX(salaries_academic[],MATCH(INDEX(MfC_pers_ac_inst[Category],A561),salaries_academic[category],0),3)="",$B$172,""),""),"")</f>
        <v>#REF!</v>
      </c>
      <c r="H561" s="218" t="str">
        <f>IFERROR(IF(AND(INDEX(salaries_academic[],MATCH(INDEX(MfC_pers_ac_inst[Category],A561),salaries_academic[category],0),3)&gt;0,INDEX(MfC_pers_ac_inst[Costs],A561)&gt;0),$B$174,""),"")</f>
        <v/>
      </c>
      <c r="I561" s="218" t="str">
        <f>IFERROR(IF(AND(organisation_type="yes",VALUE(INDEX(MfC_pers_ac_inst[Amount],A561))&gt;0,ISBLANK(INDEX(MfC_pers_ac_inst[Organisation type],A561))),$B$175,""),"")</f>
        <v/>
      </c>
      <c r="J561" s="218" t="str">
        <f>IFERROR(IF(AND(organisation_name="yes",VALUE(INDEX(MfC_pers_ac_inst[Amount],A561))&gt;0,ISBLANK(INDEX(MfC_pers_ac_inst[Name organisation],A561)),Tabel33[organisation type]=""),$B$176,""),"")</f>
        <v/>
      </c>
    </row>
    <row r="562" spans="1:10" outlineLevel="1" x14ac:dyDescent="0.35">
      <c r="A562" s="317">
        <v>43</v>
      </c>
      <c r="B562" s="317" t="str">
        <f t="array" ref="B562">IFERROR(INDEX(Tabel33[[#This Row],[Empty line]:[organisation name]],1,MATCH(TRUE,LEN(Tabel33[[#This Row],[Empty line]:[organisation name]])&gt;0,0)),"")</f>
        <v/>
      </c>
      <c r="C562" s="195" t="str">
        <f>IFERROR(IF(AND(LEN(INDEX(MfC_pers_ac_inst[Category],$A562))+LEN(INDEX(MfC_pers_ac_inst[FTE],$A562))+LEN(INDEX(MfC_pers_ac_inst[Months],$A562))+LEN(INDEX(MfC_pers_ac_inst[Country],$A562))&gt;0,LEN(INDEX(MfC_pers_ac_inst[Category],$A562-1))+LEN(INDEX(MfC_pers_ac_inst[FTE],$A562-1))+LEN(INDEX(MfC_pers_ac_inst[Months],$A562-1))+LEN(INDEX(MfC_pers_ac_inst[Country],$A562-1))=0),$B$127,""),"")</f>
        <v/>
      </c>
      <c r="D562" s="195" t="str">
        <f>IFERROR(IF(AND(INDEX(MfC_pers_ac_inst[Category]="",$A562),OR(INDEX(MfC_pers_ac_inst[FTE],$A562)&gt;0,INDEX(MfC_pers_ac_inst[Months],$A562)&gt;0,INDEX(MfC_pers_ac_inst[Costs],$A562)&gt;0,LEN(INDEX(MfC_pers_ac_inst[Country],$A562))&gt;0)),$B$171,""),"")</f>
        <v/>
      </c>
      <c r="E562" s="195" t="e">
        <f>IF(AND(INDEX(MfC_pers_ac_inst[Category],A562)&lt;&gt;"",OR(INDEX(MfC_pers_ac_inst[FTE],A562)&lt;=0,INDEX(MfC_pers_ac_inst[Months],A562)&lt;=0)),INDEX(salaries_academic[],MATCH(INDEX(MfC_pers_ac_inst[Category],A562),salaries_academic[category],0),2),"")</f>
        <v>#REF!</v>
      </c>
      <c r="F562" s="195" t="str">
        <f>IFERROR(IF(Tabel33[Instruction]="",IF(AND(INDEX(MfC_pers_ac_inst[Country]="",A562),OR(INDEX(MfC_pers_ac_inst[Category],A562)&lt;&gt;"",INDEX(MfC_pers_ac_inst[FTE],A562)&gt;0,INDEX(MfC_pers_ac_inst[Months],A562)&gt;0,INDEX(MfC_pers_ac_inst[Costs],A562)&gt;0,LEN(INDEX(MfC_pers_ac_inst[Country],A562))&gt;0)),$B$173,""),""),"")</f>
        <v/>
      </c>
      <c r="G562" s="195" t="e">
        <f>IF(AND(Tabel33[Instruction]="",Tabel33[Country not specified]=""),IF(AND(INDEX(MfC_pers_ac_inst[Category],A562)&lt;&gt;"",INDEX(MfC_pers_ac_inst[Costs],A562)&lt;=0),IF(INDEX(salaries_academic[],MATCH(INDEX(MfC_pers_ac_inst[Category],A562),salaries_academic[category],0),3)="",$B$172,""),""),"")</f>
        <v>#REF!</v>
      </c>
      <c r="H562" s="218" t="str">
        <f>IFERROR(IF(AND(INDEX(salaries_academic[],MATCH(INDEX(MfC_pers_ac_inst[Category],A562),salaries_academic[category],0),3)&gt;0,INDEX(MfC_pers_ac_inst[Costs],A562)&gt;0),$B$174,""),"")</f>
        <v/>
      </c>
      <c r="I562" s="218" t="str">
        <f>IFERROR(IF(AND(organisation_type="yes",VALUE(INDEX(MfC_pers_ac_inst[Amount],A562))&gt;0,ISBLANK(INDEX(MfC_pers_ac_inst[Organisation type],A562))),$B$175,""),"")</f>
        <v/>
      </c>
      <c r="J562" s="218" t="str">
        <f>IFERROR(IF(AND(organisation_name="yes",VALUE(INDEX(MfC_pers_ac_inst[Amount],A562))&gt;0,ISBLANK(INDEX(MfC_pers_ac_inst[Name organisation],A562)),Tabel33[organisation type]=""),$B$176,""),"")</f>
        <v/>
      </c>
    </row>
    <row r="563" spans="1:10" outlineLevel="1" x14ac:dyDescent="0.35">
      <c r="A563" s="317">
        <v>44</v>
      </c>
      <c r="B563" s="317" t="str">
        <f t="array" ref="B563">IFERROR(INDEX(Tabel33[[#This Row],[Empty line]:[organisation name]],1,MATCH(TRUE,LEN(Tabel33[[#This Row],[Empty line]:[organisation name]])&gt;0,0)),"")</f>
        <v/>
      </c>
      <c r="C563" s="195" t="str">
        <f>IFERROR(IF(AND(LEN(INDEX(MfC_pers_ac_inst[Category],$A563))+LEN(INDEX(MfC_pers_ac_inst[FTE],$A563))+LEN(INDEX(MfC_pers_ac_inst[Months],$A563))+LEN(INDEX(MfC_pers_ac_inst[Country],$A563))&gt;0,LEN(INDEX(MfC_pers_ac_inst[Category],$A563-1))+LEN(INDEX(MfC_pers_ac_inst[FTE],$A563-1))+LEN(INDEX(MfC_pers_ac_inst[Months],$A563-1))+LEN(INDEX(MfC_pers_ac_inst[Country],$A563-1))=0),$B$127,""),"")</f>
        <v/>
      </c>
      <c r="D563" s="195" t="str">
        <f>IFERROR(IF(AND(INDEX(MfC_pers_ac_inst[Category]="",$A563),OR(INDEX(MfC_pers_ac_inst[FTE],$A563)&gt;0,INDEX(MfC_pers_ac_inst[Months],$A563)&gt;0,INDEX(MfC_pers_ac_inst[Costs],$A563)&gt;0,LEN(INDEX(MfC_pers_ac_inst[Country],$A563))&gt;0)),$B$171,""),"")</f>
        <v/>
      </c>
      <c r="E563" s="195" t="e">
        <f>IF(AND(INDEX(MfC_pers_ac_inst[Category],A563)&lt;&gt;"",OR(INDEX(MfC_pers_ac_inst[FTE],A563)&lt;=0,INDEX(MfC_pers_ac_inst[Months],A563)&lt;=0)),INDEX(salaries_academic[],MATCH(INDEX(MfC_pers_ac_inst[Category],A563),salaries_academic[category],0),2),"")</f>
        <v>#REF!</v>
      </c>
      <c r="F563" s="195" t="str">
        <f>IFERROR(IF(Tabel33[Instruction]="",IF(AND(INDEX(MfC_pers_ac_inst[Country]="",A563),OR(INDEX(MfC_pers_ac_inst[Category],A563)&lt;&gt;"",INDEX(MfC_pers_ac_inst[FTE],A563)&gt;0,INDEX(MfC_pers_ac_inst[Months],A563)&gt;0,INDEX(MfC_pers_ac_inst[Costs],A563)&gt;0,LEN(INDEX(MfC_pers_ac_inst[Country],A563))&gt;0)),$B$173,""),""),"")</f>
        <v/>
      </c>
      <c r="G563" s="195" t="e">
        <f>IF(AND(Tabel33[Instruction]="",Tabel33[Country not specified]=""),IF(AND(INDEX(MfC_pers_ac_inst[Category],A563)&lt;&gt;"",INDEX(MfC_pers_ac_inst[Costs],A563)&lt;=0),IF(INDEX(salaries_academic[],MATCH(INDEX(MfC_pers_ac_inst[Category],A563),salaries_academic[category],0),3)="",$B$172,""),""),"")</f>
        <v>#REF!</v>
      </c>
      <c r="H563" s="218" t="str">
        <f>IFERROR(IF(AND(INDEX(salaries_academic[],MATCH(INDEX(MfC_pers_ac_inst[Category],A563),salaries_academic[category],0),3)&gt;0,INDEX(MfC_pers_ac_inst[Costs],A563)&gt;0),$B$174,""),"")</f>
        <v/>
      </c>
      <c r="I563" s="218" t="str">
        <f>IFERROR(IF(AND(organisation_type="yes",VALUE(INDEX(MfC_pers_ac_inst[Amount],A563))&gt;0,ISBLANK(INDEX(MfC_pers_ac_inst[Organisation type],A563))),$B$175,""),"")</f>
        <v/>
      </c>
      <c r="J563" s="218" t="str">
        <f>IFERROR(IF(AND(organisation_name="yes",VALUE(INDEX(MfC_pers_ac_inst[Amount],A563))&gt;0,ISBLANK(INDEX(MfC_pers_ac_inst[Name organisation],A563)),Tabel33[organisation type]=""),$B$176,""),"")</f>
        <v/>
      </c>
    </row>
    <row r="564" spans="1:10" outlineLevel="1" x14ac:dyDescent="0.35">
      <c r="A564" s="317">
        <v>45</v>
      </c>
      <c r="B564" s="317" t="str">
        <f t="array" ref="B564">IFERROR(INDEX(Tabel33[[#This Row],[Empty line]:[organisation name]],1,MATCH(TRUE,LEN(Tabel33[[#This Row],[Empty line]:[organisation name]])&gt;0,0)),"")</f>
        <v/>
      </c>
      <c r="C564" s="195" t="str">
        <f>IFERROR(IF(AND(LEN(INDEX(MfC_pers_ac_inst[Category],$A564))+LEN(INDEX(MfC_pers_ac_inst[FTE],$A564))+LEN(INDEX(MfC_pers_ac_inst[Months],$A564))+LEN(INDEX(MfC_pers_ac_inst[Country],$A564))&gt;0,LEN(INDEX(MfC_pers_ac_inst[Category],$A564-1))+LEN(INDEX(MfC_pers_ac_inst[FTE],$A564-1))+LEN(INDEX(MfC_pers_ac_inst[Months],$A564-1))+LEN(INDEX(MfC_pers_ac_inst[Country],$A564-1))=0),$B$127,""),"")</f>
        <v/>
      </c>
      <c r="D564" s="195" t="str">
        <f>IFERROR(IF(AND(INDEX(MfC_pers_ac_inst[Category]="",$A564),OR(INDEX(MfC_pers_ac_inst[FTE],$A564)&gt;0,INDEX(MfC_pers_ac_inst[Months],$A564)&gt;0,INDEX(MfC_pers_ac_inst[Costs],$A564)&gt;0,LEN(INDEX(MfC_pers_ac_inst[Country],$A564))&gt;0)),$B$171,""),"")</f>
        <v/>
      </c>
      <c r="E564" s="195" t="e">
        <f>IF(AND(INDEX(MfC_pers_ac_inst[Category],A564)&lt;&gt;"",OR(INDEX(MfC_pers_ac_inst[FTE],A564)&lt;=0,INDEX(MfC_pers_ac_inst[Months],A564)&lt;=0)),INDEX(salaries_academic[],MATCH(INDEX(MfC_pers_ac_inst[Category],A564),salaries_academic[category],0),2),"")</f>
        <v>#REF!</v>
      </c>
      <c r="F564" s="195" t="str">
        <f>IFERROR(IF(Tabel33[Instruction]="",IF(AND(INDEX(MfC_pers_ac_inst[Country]="",A564),OR(INDEX(MfC_pers_ac_inst[Category],A564)&lt;&gt;"",INDEX(MfC_pers_ac_inst[FTE],A564)&gt;0,INDEX(MfC_pers_ac_inst[Months],A564)&gt;0,INDEX(MfC_pers_ac_inst[Costs],A564)&gt;0,LEN(INDEX(MfC_pers_ac_inst[Country],A564))&gt;0)),$B$173,""),""),"")</f>
        <v/>
      </c>
      <c r="G564" s="195" t="e">
        <f>IF(AND(Tabel33[Instruction]="",Tabel33[Country not specified]=""),IF(AND(INDEX(MfC_pers_ac_inst[Category],A564)&lt;&gt;"",INDEX(MfC_pers_ac_inst[Costs],A564)&lt;=0),IF(INDEX(salaries_academic[],MATCH(INDEX(MfC_pers_ac_inst[Category],A564),salaries_academic[category],0),3)="",$B$172,""),""),"")</f>
        <v>#REF!</v>
      </c>
      <c r="H564" s="218" t="str">
        <f>IFERROR(IF(AND(INDEX(salaries_academic[],MATCH(INDEX(MfC_pers_ac_inst[Category],A564),salaries_academic[category],0),3)&gt;0,INDEX(MfC_pers_ac_inst[Costs],A564)&gt;0),$B$174,""),"")</f>
        <v/>
      </c>
      <c r="I564" s="218" t="str">
        <f>IFERROR(IF(AND(organisation_type="yes",VALUE(INDEX(MfC_pers_ac_inst[Amount],A564))&gt;0,ISBLANK(INDEX(MfC_pers_ac_inst[Organisation type],A564))),$B$175,""),"")</f>
        <v/>
      </c>
      <c r="J564" s="218" t="str">
        <f>IFERROR(IF(AND(organisation_name="yes",VALUE(INDEX(MfC_pers_ac_inst[Amount],A564))&gt;0,ISBLANK(INDEX(MfC_pers_ac_inst[Name organisation],A564)),Tabel33[organisation type]=""),$B$176,""),"")</f>
        <v/>
      </c>
    </row>
    <row r="565" spans="1:10" outlineLevel="1" x14ac:dyDescent="0.35">
      <c r="A565" s="317">
        <v>46</v>
      </c>
      <c r="B565" s="317" t="str">
        <f t="array" ref="B565">IFERROR(INDEX(Tabel33[[#This Row],[Empty line]:[organisation name]],1,MATCH(TRUE,LEN(Tabel33[[#This Row],[Empty line]:[organisation name]])&gt;0,0)),"")</f>
        <v/>
      </c>
      <c r="C565" s="195" t="str">
        <f>IFERROR(IF(AND(LEN(INDEX(MfC_pers_ac_inst[Category],$A565))+LEN(INDEX(MfC_pers_ac_inst[FTE],$A565))+LEN(INDEX(MfC_pers_ac_inst[Months],$A565))+LEN(INDEX(MfC_pers_ac_inst[Country],$A565))&gt;0,LEN(INDEX(MfC_pers_ac_inst[Category],$A565-1))+LEN(INDEX(MfC_pers_ac_inst[FTE],$A565-1))+LEN(INDEX(MfC_pers_ac_inst[Months],$A565-1))+LEN(INDEX(MfC_pers_ac_inst[Country],$A565-1))=0),$B$127,""),"")</f>
        <v/>
      </c>
      <c r="D565" s="195" t="str">
        <f>IFERROR(IF(AND(INDEX(MfC_pers_ac_inst[Category]="",$A565),OR(INDEX(MfC_pers_ac_inst[FTE],$A565)&gt;0,INDEX(MfC_pers_ac_inst[Months],$A565)&gt;0,INDEX(MfC_pers_ac_inst[Costs],$A565)&gt;0,LEN(INDEX(MfC_pers_ac_inst[Country],$A565))&gt;0)),$B$171,""),"")</f>
        <v/>
      </c>
      <c r="E565" s="195" t="e">
        <f>IF(AND(INDEX(MfC_pers_ac_inst[Category],A565)&lt;&gt;"",OR(INDEX(MfC_pers_ac_inst[FTE],A565)&lt;=0,INDEX(MfC_pers_ac_inst[Months],A565)&lt;=0)),INDEX(salaries_academic[],MATCH(INDEX(MfC_pers_ac_inst[Category],A565),salaries_academic[category],0),2),"")</f>
        <v>#REF!</v>
      </c>
      <c r="F565" s="195" t="str">
        <f>IFERROR(IF(Tabel33[Instruction]="",IF(AND(INDEX(MfC_pers_ac_inst[Country]="",A565),OR(INDEX(MfC_pers_ac_inst[Category],A565)&lt;&gt;"",INDEX(MfC_pers_ac_inst[FTE],A565)&gt;0,INDEX(MfC_pers_ac_inst[Months],A565)&gt;0,INDEX(MfC_pers_ac_inst[Costs],A565)&gt;0,LEN(INDEX(MfC_pers_ac_inst[Country],A565))&gt;0)),$B$173,""),""),"")</f>
        <v/>
      </c>
      <c r="G565" s="195" t="e">
        <f>IF(AND(Tabel33[Instruction]="",Tabel33[Country not specified]=""),IF(AND(INDEX(MfC_pers_ac_inst[Category],A565)&lt;&gt;"",INDEX(MfC_pers_ac_inst[Costs],A565)&lt;=0),IF(INDEX(salaries_academic[],MATCH(INDEX(MfC_pers_ac_inst[Category],A565),salaries_academic[category],0),3)="",$B$172,""),""),"")</f>
        <v>#REF!</v>
      </c>
      <c r="H565" s="218" t="str">
        <f>IFERROR(IF(AND(INDEX(salaries_academic[],MATCH(INDEX(MfC_pers_ac_inst[Category],A565),salaries_academic[category],0),3)&gt;0,INDEX(MfC_pers_ac_inst[Costs],A565)&gt;0),$B$174,""),"")</f>
        <v/>
      </c>
      <c r="I565" s="218" t="str">
        <f>IFERROR(IF(AND(organisation_type="yes",VALUE(INDEX(MfC_pers_ac_inst[Amount],A565))&gt;0,ISBLANK(INDEX(MfC_pers_ac_inst[Organisation type],A565))),$B$175,""),"")</f>
        <v/>
      </c>
      <c r="J565" s="218" t="str">
        <f>IFERROR(IF(AND(organisation_name="yes",VALUE(INDEX(MfC_pers_ac_inst[Amount],A565))&gt;0,ISBLANK(INDEX(MfC_pers_ac_inst[Name organisation],A565)),Tabel33[organisation type]=""),$B$176,""),"")</f>
        <v/>
      </c>
    </row>
    <row r="566" spans="1:10" outlineLevel="1" x14ac:dyDescent="0.35">
      <c r="A566" s="317">
        <v>47</v>
      </c>
      <c r="B566" s="317" t="str">
        <f t="array" ref="B566">IFERROR(INDEX(Tabel33[[#This Row],[Empty line]:[organisation name]],1,MATCH(TRUE,LEN(Tabel33[[#This Row],[Empty line]:[organisation name]])&gt;0,0)),"")</f>
        <v/>
      </c>
      <c r="C566" s="195" t="str">
        <f>IFERROR(IF(AND(LEN(INDEX(MfC_pers_ac_inst[Category],$A566))+LEN(INDEX(MfC_pers_ac_inst[FTE],$A566))+LEN(INDEX(MfC_pers_ac_inst[Months],$A566))+LEN(INDEX(MfC_pers_ac_inst[Country],$A566))&gt;0,LEN(INDEX(MfC_pers_ac_inst[Category],$A566-1))+LEN(INDEX(MfC_pers_ac_inst[FTE],$A566-1))+LEN(INDEX(MfC_pers_ac_inst[Months],$A566-1))+LEN(INDEX(MfC_pers_ac_inst[Country],$A566-1))=0),$B$127,""),"")</f>
        <v/>
      </c>
      <c r="D566" s="195" t="str">
        <f>IFERROR(IF(AND(INDEX(MfC_pers_ac_inst[Category]="",$A566),OR(INDEX(MfC_pers_ac_inst[FTE],$A566)&gt;0,INDEX(MfC_pers_ac_inst[Months],$A566)&gt;0,INDEX(MfC_pers_ac_inst[Costs],$A566)&gt;0,LEN(INDEX(MfC_pers_ac_inst[Country],$A566))&gt;0)),$B$171,""),"")</f>
        <v/>
      </c>
      <c r="E566" s="195" t="e">
        <f>IF(AND(INDEX(MfC_pers_ac_inst[Category],A566)&lt;&gt;"",OR(INDEX(MfC_pers_ac_inst[FTE],A566)&lt;=0,INDEX(MfC_pers_ac_inst[Months],A566)&lt;=0)),INDEX(salaries_academic[],MATCH(INDEX(MfC_pers_ac_inst[Category],A566),salaries_academic[category],0),2),"")</f>
        <v>#REF!</v>
      </c>
      <c r="F566" s="195" t="str">
        <f>IFERROR(IF(Tabel33[Instruction]="",IF(AND(INDEX(MfC_pers_ac_inst[Country]="",A566),OR(INDEX(MfC_pers_ac_inst[Category],A566)&lt;&gt;"",INDEX(MfC_pers_ac_inst[FTE],A566)&gt;0,INDEX(MfC_pers_ac_inst[Months],A566)&gt;0,INDEX(MfC_pers_ac_inst[Costs],A566)&gt;0,LEN(INDEX(MfC_pers_ac_inst[Country],A566))&gt;0)),$B$173,""),""),"")</f>
        <v/>
      </c>
      <c r="G566" s="195" t="e">
        <f>IF(AND(Tabel33[Instruction]="",Tabel33[Country not specified]=""),IF(AND(INDEX(MfC_pers_ac_inst[Category],A566)&lt;&gt;"",INDEX(MfC_pers_ac_inst[Costs],A566)&lt;=0),IF(INDEX(salaries_academic[],MATCH(INDEX(MfC_pers_ac_inst[Category],A566),salaries_academic[category],0),3)="",$B$172,""),""),"")</f>
        <v>#REF!</v>
      </c>
      <c r="H566" s="218" t="str">
        <f>IFERROR(IF(AND(INDEX(salaries_academic[],MATCH(INDEX(MfC_pers_ac_inst[Category],A566),salaries_academic[category],0),3)&gt;0,INDEX(MfC_pers_ac_inst[Costs],A566)&gt;0),$B$174,""),"")</f>
        <v/>
      </c>
      <c r="I566" s="218" t="str">
        <f>IFERROR(IF(AND(organisation_type="yes",VALUE(INDEX(MfC_pers_ac_inst[Amount],A566))&gt;0,ISBLANK(INDEX(MfC_pers_ac_inst[Organisation type],A566))),$B$175,""),"")</f>
        <v/>
      </c>
      <c r="J566" s="218" t="str">
        <f>IFERROR(IF(AND(organisation_name="yes",VALUE(INDEX(MfC_pers_ac_inst[Amount],A566))&gt;0,ISBLANK(INDEX(MfC_pers_ac_inst[Name organisation],A566)),Tabel33[organisation type]=""),$B$176,""),"")</f>
        <v/>
      </c>
    </row>
    <row r="567" spans="1:10" outlineLevel="1" x14ac:dyDescent="0.35">
      <c r="A567" s="317">
        <v>48</v>
      </c>
      <c r="B567" s="317" t="str">
        <f t="array" ref="B567">IFERROR(INDEX(Tabel33[[#This Row],[Empty line]:[organisation name]],1,MATCH(TRUE,LEN(Tabel33[[#This Row],[Empty line]:[organisation name]])&gt;0,0)),"")</f>
        <v/>
      </c>
      <c r="C567" s="195" t="str">
        <f>IFERROR(IF(AND(LEN(INDEX(MfC_pers_ac_inst[Category],$A567))+LEN(INDEX(MfC_pers_ac_inst[FTE],$A567))+LEN(INDEX(MfC_pers_ac_inst[Months],$A567))+LEN(INDEX(MfC_pers_ac_inst[Country],$A567))&gt;0,LEN(INDEX(MfC_pers_ac_inst[Category],$A567-1))+LEN(INDEX(MfC_pers_ac_inst[FTE],$A567-1))+LEN(INDEX(MfC_pers_ac_inst[Months],$A567-1))+LEN(INDEX(MfC_pers_ac_inst[Country],$A567-1))=0),$B$127,""),"")</f>
        <v/>
      </c>
      <c r="D567" s="195" t="str">
        <f>IFERROR(IF(AND(INDEX(MfC_pers_ac_inst[Category]="",$A567),OR(INDEX(MfC_pers_ac_inst[FTE],$A567)&gt;0,INDEX(MfC_pers_ac_inst[Months],$A567)&gt;0,INDEX(MfC_pers_ac_inst[Costs],$A567)&gt;0,LEN(INDEX(MfC_pers_ac_inst[Country],$A567))&gt;0)),$B$171,""),"")</f>
        <v/>
      </c>
      <c r="E567" s="195" t="e">
        <f>IF(AND(INDEX(MfC_pers_ac_inst[Category],A567)&lt;&gt;"",OR(INDEX(MfC_pers_ac_inst[FTE],A567)&lt;=0,INDEX(MfC_pers_ac_inst[Months],A567)&lt;=0)),INDEX(salaries_academic[],MATCH(INDEX(MfC_pers_ac_inst[Category],A567),salaries_academic[category],0),2),"")</f>
        <v>#REF!</v>
      </c>
      <c r="F567" s="195" t="str">
        <f>IFERROR(IF(Tabel33[Instruction]="",IF(AND(INDEX(MfC_pers_ac_inst[Country]="",A567),OR(INDEX(MfC_pers_ac_inst[Category],A567)&lt;&gt;"",INDEX(MfC_pers_ac_inst[FTE],A567)&gt;0,INDEX(MfC_pers_ac_inst[Months],A567)&gt;0,INDEX(MfC_pers_ac_inst[Costs],A567)&gt;0,LEN(INDEX(MfC_pers_ac_inst[Country],A567))&gt;0)),$B$173,""),""),"")</f>
        <v/>
      </c>
      <c r="G567" s="195" t="e">
        <f>IF(AND(Tabel33[Instruction]="",Tabel33[Country not specified]=""),IF(AND(INDEX(MfC_pers_ac_inst[Category],A567)&lt;&gt;"",INDEX(MfC_pers_ac_inst[Costs],A567)&lt;=0),IF(INDEX(salaries_academic[],MATCH(INDEX(MfC_pers_ac_inst[Category],A567),salaries_academic[category],0),3)="",$B$172,""),""),"")</f>
        <v>#REF!</v>
      </c>
      <c r="H567" s="218" t="str">
        <f>IFERROR(IF(AND(INDEX(salaries_academic[],MATCH(INDEX(MfC_pers_ac_inst[Category],A567),salaries_academic[category],0),3)&gt;0,INDEX(MfC_pers_ac_inst[Costs],A567)&gt;0),$B$174,""),"")</f>
        <v/>
      </c>
      <c r="I567" s="218" t="str">
        <f>IFERROR(IF(AND(organisation_type="yes",VALUE(INDEX(MfC_pers_ac_inst[Amount],A567))&gt;0,ISBLANK(INDEX(MfC_pers_ac_inst[Organisation type],A567))),$B$175,""),"")</f>
        <v/>
      </c>
      <c r="J567" s="218" t="str">
        <f>IFERROR(IF(AND(organisation_name="yes",VALUE(INDEX(MfC_pers_ac_inst[Amount],A567))&gt;0,ISBLANK(INDEX(MfC_pers_ac_inst[Name organisation],A567)),Tabel33[organisation type]=""),$B$176,""),"")</f>
        <v/>
      </c>
    </row>
    <row r="568" spans="1:10" outlineLevel="1" x14ac:dyDescent="0.35">
      <c r="A568" s="317">
        <v>49</v>
      </c>
      <c r="B568" s="317" t="str">
        <f t="array" ref="B568">IFERROR(INDEX(Tabel33[[#This Row],[Empty line]:[organisation name]],1,MATCH(TRUE,LEN(Tabel33[[#This Row],[Empty line]:[organisation name]])&gt;0,0)),"")</f>
        <v/>
      </c>
      <c r="C568" s="195" t="str">
        <f>IFERROR(IF(AND(LEN(INDEX(MfC_pers_ac_inst[Category],$A568))+LEN(INDEX(MfC_pers_ac_inst[FTE],$A568))+LEN(INDEX(MfC_pers_ac_inst[Months],$A568))+LEN(INDEX(MfC_pers_ac_inst[Country],$A568))&gt;0,LEN(INDEX(MfC_pers_ac_inst[Category],$A568-1))+LEN(INDEX(MfC_pers_ac_inst[FTE],$A568-1))+LEN(INDEX(MfC_pers_ac_inst[Months],$A568-1))+LEN(INDEX(MfC_pers_ac_inst[Country],$A568-1))=0),$B$127,""),"")</f>
        <v/>
      </c>
      <c r="D568" s="195" t="str">
        <f>IFERROR(IF(AND(INDEX(MfC_pers_ac_inst[Category]="",$A568),OR(INDEX(MfC_pers_ac_inst[FTE],$A568)&gt;0,INDEX(MfC_pers_ac_inst[Months],$A568)&gt;0,INDEX(MfC_pers_ac_inst[Costs],$A568)&gt;0,LEN(INDEX(MfC_pers_ac_inst[Country],$A568))&gt;0)),$B$171,""),"")</f>
        <v/>
      </c>
      <c r="E568" s="195" t="e">
        <f>IF(AND(INDEX(MfC_pers_ac_inst[Category],A568)&lt;&gt;"",OR(INDEX(MfC_pers_ac_inst[FTE],A568)&lt;=0,INDEX(MfC_pers_ac_inst[Months],A568)&lt;=0)),INDEX(salaries_academic[],MATCH(INDEX(MfC_pers_ac_inst[Category],A568),salaries_academic[category],0),2),"")</f>
        <v>#REF!</v>
      </c>
      <c r="F568" s="195" t="str">
        <f>IFERROR(IF(Tabel33[Instruction]="",IF(AND(INDEX(MfC_pers_ac_inst[Country]="",A568),OR(INDEX(MfC_pers_ac_inst[Category],A568)&lt;&gt;"",INDEX(MfC_pers_ac_inst[FTE],A568)&gt;0,INDEX(MfC_pers_ac_inst[Months],A568)&gt;0,INDEX(MfC_pers_ac_inst[Costs],A568)&gt;0,LEN(INDEX(MfC_pers_ac_inst[Country],A568))&gt;0)),$B$173,""),""),"")</f>
        <v/>
      </c>
      <c r="G568" s="195" t="e">
        <f>IF(AND(Tabel33[Instruction]="",Tabel33[Country not specified]=""),IF(AND(INDEX(MfC_pers_ac_inst[Category],A568)&lt;&gt;"",INDEX(MfC_pers_ac_inst[Costs],A568)&lt;=0),IF(INDEX(salaries_academic[],MATCH(INDEX(MfC_pers_ac_inst[Category],A568),salaries_academic[category],0),3)="",$B$172,""),""),"")</f>
        <v>#REF!</v>
      </c>
      <c r="H568" s="218" t="str">
        <f>IFERROR(IF(AND(INDEX(salaries_academic[],MATCH(INDEX(MfC_pers_ac_inst[Category],A568),salaries_academic[category],0),3)&gt;0,INDEX(MfC_pers_ac_inst[Costs],A568)&gt;0),$B$174,""),"")</f>
        <v/>
      </c>
      <c r="I568" s="218" t="str">
        <f>IFERROR(IF(AND(organisation_type="yes",VALUE(INDEX(MfC_pers_ac_inst[Amount],A568))&gt;0,ISBLANK(INDEX(MfC_pers_ac_inst[Organisation type],A568))),$B$175,""),"")</f>
        <v/>
      </c>
      <c r="J568" s="218" t="str">
        <f>IFERROR(IF(AND(organisation_name="yes",VALUE(INDEX(MfC_pers_ac_inst[Amount],A568))&gt;0,ISBLANK(INDEX(MfC_pers_ac_inst[Name organisation],A568)),Tabel33[organisation type]=""),$B$176,""),"")</f>
        <v/>
      </c>
    </row>
    <row r="569" spans="1:10" outlineLevel="1" x14ac:dyDescent="0.35">
      <c r="A569" s="317">
        <v>50</v>
      </c>
      <c r="B569" s="317" t="str">
        <f t="array" ref="B569">IFERROR(INDEX(Tabel33[[#This Row],[Empty line]:[organisation name]],1,MATCH(TRUE,LEN(Tabel33[[#This Row],[Empty line]:[organisation name]])&gt;0,0)),"")</f>
        <v/>
      </c>
      <c r="C569" s="195" t="str">
        <f>IFERROR(IF(AND(LEN(INDEX(MfC_pers_ac_inst[Category],$A569))+LEN(INDEX(MfC_pers_ac_inst[FTE],$A569))+LEN(INDEX(MfC_pers_ac_inst[Months],$A569))+LEN(INDEX(MfC_pers_ac_inst[Country],$A569))&gt;0,LEN(INDEX(MfC_pers_ac_inst[Category],$A569-1))+LEN(INDEX(MfC_pers_ac_inst[FTE],$A569-1))+LEN(INDEX(MfC_pers_ac_inst[Months],$A569-1))+LEN(INDEX(MfC_pers_ac_inst[Country],$A569-1))=0),$B$127,""),"")</f>
        <v/>
      </c>
      <c r="D569" s="195" t="str">
        <f>IFERROR(IF(AND(INDEX(MfC_pers_ac_inst[Category]="",$A569),OR(INDEX(MfC_pers_ac_inst[FTE],$A569)&gt;0,INDEX(MfC_pers_ac_inst[Months],$A569)&gt;0,INDEX(MfC_pers_ac_inst[Costs],$A569)&gt;0,LEN(INDEX(MfC_pers_ac_inst[Country],$A569))&gt;0)),$B$171,""),"")</f>
        <v/>
      </c>
      <c r="E569" s="195" t="e">
        <f>IF(AND(INDEX(MfC_pers_ac_inst[Category],A569)&lt;&gt;"",OR(INDEX(MfC_pers_ac_inst[FTE],A569)&lt;=0,INDEX(MfC_pers_ac_inst[Months],A569)&lt;=0)),INDEX(salaries_academic[],MATCH(INDEX(MfC_pers_ac_inst[Category],A569),salaries_academic[category],0),2),"")</f>
        <v>#REF!</v>
      </c>
      <c r="F569" s="195" t="str">
        <f>IFERROR(IF(Tabel33[Instruction]="",IF(AND(INDEX(MfC_pers_ac_inst[Country]="",A569),OR(INDEX(MfC_pers_ac_inst[Category],A569)&lt;&gt;"",INDEX(MfC_pers_ac_inst[FTE],A569)&gt;0,INDEX(MfC_pers_ac_inst[Months],A569)&gt;0,INDEX(MfC_pers_ac_inst[Costs],A569)&gt;0,LEN(INDEX(MfC_pers_ac_inst[Country],A569))&gt;0)),$B$173,""),""),"")</f>
        <v/>
      </c>
      <c r="G569" s="195" t="e">
        <f>IF(AND(Tabel33[Instruction]="",Tabel33[Country not specified]=""),IF(AND(INDEX(MfC_pers_ac_inst[Category],A569)&lt;&gt;"",INDEX(MfC_pers_ac_inst[Costs],A569)&lt;=0),IF(INDEX(salaries_academic[],MATCH(INDEX(MfC_pers_ac_inst[Category],A569),salaries_academic[category],0),3)="",$B$172,""),""),"")</f>
        <v>#REF!</v>
      </c>
      <c r="H569" s="218" t="str">
        <f>IFERROR(IF(AND(INDEX(salaries_academic[],MATCH(INDEX(MfC_pers_ac_inst[Category],A569),salaries_academic[category],0),3)&gt;0,INDEX(MfC_pers_ac_inst[Costs],A569)&gt;0),$B$174,""),"")</f>
        <v/>
      </c>
      <c r="I569" s="218" t="str">
        <f>IFERROR(IF(AND(organisation_type="yes",VALUE(INDEX(MfC_pers_ac_inst[Amount],A569))&gt;0,ISBLANK(INDEX(MfC_pers_ac_inst[Organisation type],A569))),$B$175,""),"")</f>
        <v/>
      </c>
      <c r="J569" s="218" t="str">
        <f>IFERROR(IF(AND(organisation_name="yes",VALUE(INDEX(MfC_pers_ac_inst[Amount],A569))&gt;0,ISBLANK(INDEX(MfC_pers_ac_inst[Name organisation],A569)),Tabel33[organisation type]=""),$B$176,""),"")</f>
        <v/>
      </c>
    </row>
    <row r="570" spans="1:10" outlineLevel="1" x14ac:dyDescent="0.35">
      <c r="A570" s="317">
        <v>51</v>
      </c>
      <c r="B570" s="317" t="str">
        <f t="array" ref="B570">IFERROR(INDEX(Tabel33[[#This Row],[Empty line]:[organisation name]],1,MATCH(TRUE,LEN(Tabel33[[#This Row],[Empty line]:[organisation name]])&gt;0,0)),"")</f>
        <v/>
      </c>
      <c r="C570" s="195" t="str">
        <f>IFERROR(IF(AND(LEN(INDEX(MfC_pers_ac_inst[Category],$A570))+LEN(INDEX(MfC_pers_ac_inst[FTE],$A570))+LEN(INDEX(MfC_pers_ac_inst[Months],$A570))+LEN(INDEX(MfC_pers_ac_inst[Country],$A570))&gt;0,LEN(INDEX(MfC_pers_ac_inst[Category],$A570-1))+LEN(INDEX(MfC_pers_ac_inst[FTE],$A570-1))+LEN(INDEX(MfC_pers_ac_inst[Months],$A570-1))+LEN(INDEX(MfC_pers_ac_inst[Country],$A570-1))=0),$B$127,""),"")</f>
        <v/>
      </c>
      <c r="D570" s="195" t="str">
        <f>IFERROR(IF(AND(INDEX(MfC_pers_ac_inst[Category]="",$A570),OR(INDEX(MfC_pers_ac_inst[FTE],$A570)&gt;0,INDEX(MfC_pers_ac_inst[Months],$A570)&gt;0,INDEX(MfC_pers_ac_inst[Costs],$A570)&gt;0,LEN(INDEX(MfC_pers_ac_inst[Country],$A570))&gt;0)),$B$171,""),"")</f>
        <v/>
      </c>
      <c r="E570" s="195" t="e">
        <f>IF(AND(INDEX(MfC_pers_ac_inst[Category],A570)&lt;&gt;"",OR(INDEX(MfC_pers_ac_inst[FTE],A570)&lt;=0,INDEX(MfC_pers_ac_inst[Months],A570)&lt;=0)),INDEX(salaries_academic[],MATCH(INDEX(MfC_pers_ac_inst[Category],A570),salaries_academic[category],0),2),"")</f>
        <v>#REF!</v>
      </c>
      <c r="F570" s="195" t="str">
        <f>IFERROR(IF(Tabel33[Instruction]="",IF(AND(INDEX(MfC_pers_ac_inst[Country]="",A570),OR(INDEX(MfC_pers_ac_inst[Category],A570)&lt;&gt;"",INDEX(MfC_pers_ac_inst[FTE],A570)&gt;0,INDEX(MfC_pers_ac_inst[Months],A570)&gt;0,INDEX(MfC_pers_ac_inst[Costs],A570)&gt;0,LEN(INDEX(MfC_pers_ac_inst[Country],A570))&gt;0)),$B$173,""),""),"")</f>
        <v/>
      </c>
      <c r="G570" s="195" t="e">
        <f>IF(AND(Tabel33[Instruction]="",Tabel33[Country not specified]=""),IF(AND(INDEX(MfC_pers_ac_inst[Category],A570)&lt;&gt;"",INDEX(MfC_pers_ac_inst[Costs],A570)&lt;=0),IF(INDEX(salaries_academic[],MATCH(INDEX(MfC_pers_ac_inst[Category],A570),salaries_academic[category],0),3)="",$B$172,""),""),"")</f>
        <v>#REF!</v>
      </c>
      <c r="H570" s="218" t="str">
        <f>IFERROR(IF(AND(INDEX(salaries_academic[],MATCH(INDEX(MfC_pers_ac_inst[Category],A570),salaries_academic[category],0),3)&gt;0,INDEX(MfC_pers_ac_inst[Costs],A570)&gt;0),$B$174,""),"")</f>
        <v/>
      </c>
      <c r="I570" s="218" t="str">
        <f>IFERROR(IF(AND(organisation_type="yes",VALUE(INDEX(MfC_pers_ac_inst[Amount],A570))&gt;0,ISBLANK(INDEX(MfC_pers_ac_inst[Organisation type],A570))),$B$175,""),"")</f>
        <v/>
      </c>
      <c r="J570" s="218" t="str">
        <f>IFERROR(IF(AND(organisation_name="yes",VALUE(INDEX(MfC_pers_ac_inst[Amount],A570))&gt;0,ISBLANK(INDEX(MfC_pers_ac_inst[Name organisation],A570)),Tabel33[organisation type]=""),$B$176,""),"")</f>
        <v/>
      </c>
    </row>
    <row r="571" spans="1:10" outlineLevel="1" x14ac:dyDescent="0.35">
      <c r="A571" s="317">
        <v>52</v>
      </c>
      <c r="B571" s="317" t="str">
        <f t="array" ref="B571">IFERROR(INDEX(Tabel33[[#This Row],[Empty line]:[organisation name]],1,MATCH(TRUE,LEN(Tabel33[[#This Row],[Empty line]:[organisation name]])&gt;0,0)),"")</f>
        <v/>
      </c>
      <c r="C571" s="195" t="str">
        <f>IFERROR(IF(AND(LEN(INDEX(MfC_pers_ac_inst[Category],$A571))+LEN(INDEX(MfC_pers_ac_inst[FTE],$A571))+LEN(INDEX(MfC_pers_ac_inst[Months],$A571))+LEN(INDEX(MfC_pers_ac_inst[Country],$A571))&gt;0,LEN(INDEX(MfC_pers_ac_inst[Category],$A571-1))+LEN(INDEX(MfC_pers_ac_inst[FTE],$A571-1))+LEN(INDEX(MfC_pers_ac_inst[Months],$A571-1))+LEN(INDEX(MfC_pers_ac_inst[Country],$A571-1))=0),$B$127,""),"")</f>
        <v/>
      </c>
      <c r="D571" s="195" t="str">
        <f>IFERROR(IF(AND(INDEX(MfC_pers_ac_inst[Category]="",$A571),OR(INDEX(MfC_pers_ac_inst[FTE],$A571)&gt;0,INDEX(MfC_pers_ac_inst[Months],$A571)&gt;0,INDEX(MfC_pers_ac_inst[Costs],$A571)&gt;0,LEN(INDEX(MfC_pers_ac_inst[Country],$A571))&gt;0)),$B$171,""),"")</f>
        <v/>
      </c>
      <c r="E571" s="195" t="e">
        <f>IF(AND(INDEX(MfC_pers_ac_inst[Category],A571)&lt;&gt;"",OR(INDEX(MfC_pers_ac_inst[FTE],A571)&lt;=0,INDEX(MfC_pers_ac_inst[Months],A571)&lt;=0)),INDEX(salaries_academic[],MATCH(INDEX(MfC_pers_ac_inst[Category],A571),salaries_academic[category],0),2),"")</f>
        <v>#REF!</v>
      </c>
      <c r="F571" s="195" t="str">
        <f>IFERROR(IF(Tabel33[Instruction]="",IF(AND(INDEX(MfC_pers_ac_inst[Country]="",A571),OR(INDEX(MfC_pers_ac_inst[Category],A571)&lt;&gt;"",INDEX(MfC_pers_ac_inst[FTE],A571)&gt;0,INDEX(MfC_pers_ac_inst[Months],A571)&gt;0,INDEX(MfC_pers_ac_inst[Costs],A571)&gt;0,LEN(INDEX(MfC_pers_ac_inst[Country],A571))&gt;0)),$B$173,""),""),"")</f>
        <v/>
      </c>
      <c r="G571" s="195" t="e">
        <f>IF(AND(Tabel33[Instruction]="",Tabel33[Country not specified]=""),IF(AND(INDEX(MfC_pers_ac_inst[Category],A571)&lt;&gt;"",INDEX(MfC_pers_ac_inst[Costs],A571)&lt;=0),IF(INDEX(salaries_academic[],MATCH(INDEX(MfC_pers_ac_inst[Category],A571),salaries_academic[category],0),3)="",$B$172,""),""),"")</f>
        <v>#REF!</v>
      </c>
      <c r="H571" s="218" t="str">
        <f>IFERROR(IF(AND(INDEX(salaries_academic[],MATCH(INDEX(MfC_pers_ac_inst[Category],A571),salaries_academic[category],0),3)&gt;0,INDEX(MfC_pers_ac_inst[Costs],A571)&gt;0),$B$174,""),"")</f>
        <v/>
      </c>
      <c r="I571" s="218" t="str">
        <f>IFERROR(IF(AND(organisation_type="yes",VALUE(INDEX(MfC_pers_ac_inst[Amount],A571))&gt;0,ISBLANK(INDEX(MfC_pers_ac_inst[Organisation type],A571))),$B$175,""),"")</f>
        <v/>
      </c>
      <c r="J571" s="218" t="str">
        <f>IFERROR(IF(AND(organisation_name="yes",VALUE(INDEX(MfC_pers_ac_inst[Amount],A571))&gt;0,ISBLANK(INDEX(MfC_pers_ac_inst[Name organisation],A571)),Tabel33[organisation type]=""),$B$176,""),"")</f>
        <v/>
      </c>
    </row>
    <row r="572" spans="1:10" outlineLevel="1" x14ac:dyDescent="0.35">
      <c r="A572" s="317">
        <v>53</v>
      </c>
      <c r="B572" s="317" t="str">
        <f t="array" ref="B572">IFERROR(INDEX(Tabel33[[#This Row],[Empty line]:[organisation name]],1,MATCH(TRUE,LEN(Tabel33[[#This Row],[Empty line]:[organisation name]])&gt;0,0)),"")</f>
        <v/>
      </c>
      <c r="C572" s="195" t="str">
        <f>IFERROR(IF(AND(LEN(INDEX(MfC_pers_ac_inst[Category],$A572))+LEN(INDEX(MfC_pers_ac_inst[FTE],$A572))+LEN(INDEX(MfC_pers_ac_inst[Months],$A572))+LEN(INDEX(MfC_pers_ac_inst[Country],$A572))&gt;0,LEN(INDEX(MfC_pers_ac_inst[Category],$A572-1))+LEN(INDEX(MfC_pers_ac_inst[FTE],$A572-1))+LEN(INDEX(MfC_pers_ac_inst[Months],$A572-1))+LEN(INDEX(MfC_pers_ac_inst[Country],$A572-1))=0),$B$127,""),"")</f>
        <v/>
      </c>
      <c r="D572" s="195" t="str">
        <f>IFERROR(IF(AND(INDEX(MfC_pers_ac_inst[Category]="",$A572),OR(INDEX(MfC_pers_ac_inst[FTE],$A572)&gt;0,INDEX(MfC_pers_ac_inst[Months],$A572)&gt;0,INDEX(MfC_pers_ac_inst[Costs],$A572)&gt;0,LEN(INDEX(MfC_pers_ac_inst[Country],$A572))&gt;0)),$B$171,""),"")</f>
        <v/>
      </c>
      <c r="E572" s="195" t="e">
        <f>IF(AND(INDEX(MfC_pers_ac_inst[Category],A572)&lt;&gt;"",OR(INDEX(MfC_pers_ac_inst[FTE],A572)&lt;=0,INDEX(MfC_pers_ac_inst[Months],A572)&lt;=0)),INDEX(salaries_academic[],MATCH(INDEX(MfC_pers_ac_inst[Category],A572),salaries_academic[category],0),2),"")</f>
        <v>#REF!</v>
      </c>
      <c r="F572" s="195" t="str">
        <f>IFERROR(IF(Tabel33[Instruction]="",IF(AND(INDEX(MfC_pers_ac_inst[Country]="",A572),OR(INDEX(MfC_pers_ac_inst[Category],A572)&lt;&gt;"",INDEX(MfC_pers_ac_inst[FTE],A572)&gt;0,INDEX(MfC_pers_ac_inst[Months],A572)&gt;0,INDEX(MfC_pers_ac_inst[Costs],A572)&gt;0,LEN(INDEX(MfC_pers_ac_inst[Country],A572))&gt;0)),$B$173,""),""),"")</f>
        <v/>
      </c>
      <c r="G572" s="195" t="e">
        <f>IF(AND(Tabel33[Instruction]="",Tabel33[Country not specified]=""),IF(AND(INDEX(MfC_pers_ac_inst[Category],A572)&lt;&gt;"",INDEX(MfC_pers_ac_inst[Costs],A572)&lt;=0),IF(INDEX(salaries_academic[],MATCH(INDEX(MfC_pers_ac_inst[Category],A572),salaries_academic[category],0),3)="",$B$172,""),""),"")</f>
        <v>#REF!</v>
      </c>
      <c r="H572" s="218" t="str">
        <f>IFERROR(IF(AND(INDEX(salaries_academic[],MATCH(INDEX(MfC_pers_ac_inst[Category],A572),salaries_academic[category],0),3)&gt;0,INDEX(MfC_pers_ac_inst[Costs],A572)&gt;0),$B$174,""),"")</f>
        <v/>
      </c>
      <c r="I572" s="218" t="str">
        <f>IFERROR(IF(AND(organisation_type="yes",VALUE(INDEX(MfC_pers_ac_inst[Amount],A572))&gt;0,ISBLANK(INDEX(MfC_pers_ac_inst[Organisation type],A572))),$B$175,""),"")</f>
        <v/>
      </c>
      <c r="J572" s="218" t="str">
        <f>IFERROR(IF(AND(organisation_name="yes",VALUE(INDEX(MfC_pers_ac_inst[Amount],A572))&gt;0,ISBLANK(INDEX(MfC_pers_ac_inst[Name organisation],A572)),Tabel33[organisation type]=""),$B$176,""),"")</f>
        <v/>
      </c>
    </row>
    <row r="573" spans="1:10" outlineLevel="1" x14ac:dyDescent="0.35">
      <c r="A573" s="317">
        <v>54</v>
      </c>
      <c r="B573" s="317" t="str">
        <f t="array" ref="B573">IFERROR(INDEX(Tabel33[[#This Row],[Empty line]:[organisation name]],1,MATCH(TRUE,LEN(Tabel33[[#This Row],[Empty line]:[organisation name]])&gt;0,0)),"")</f>
        <v/>
      </c>
      <c r="C573" s="195" t="str">
        <f>IFERROR(IF(AND(LEN(INDEX(MfC_pers_ac_inst[Category],$A573))+LEN(INDEX(MfC_pers_ac_inst[FTE],$A573))+LEN(INDEX(MfC_pers_ac_inst[Months],$A573))+LEN(INDEX(MfC_pers_ac_inst[Country],$A573))&gt;0,LEN(INDEX(MfC_pers_ac_inst[Category],$A573-1))+LEN(INDEX(MfC_pers_ac_inst[FTE],$A573-1))+LEN(INDEX(MfC_pers_ac_inst[Months],$A573-1))+LEN(INDEX(MfC_pers_ac_inst[Country],$A573-1))=0),$B$127,""),"")</f>
        <v/>
      </c>
      <c r="D573" s="195" t="str">
        <f>IFERROR(IF(AND(INDEX(MfC_pers_ac_inst[Category]="",$A573),OR(INDEX(MfC_pers_ac_inst[FTE],$A573)&gt;0,INDEX(MfC_pers_ac_inst[Months],$A573)&gt;0,INDEX(MfC_pers_ac_inst[Costs],$A573)&gt;0,LEN(INDEX(MfC_pers_ac_inst[Country],$A573))&gt;0)),$B$171,""),"")</f>
        <v/>
      </c>
      <c r="E573" s="195" t="e">
        <f>IF(AND(INDEX(MfC_pers_ac_inst[Category],A573)&lt;&gt;"",OR(INDEX(MfC_pers_ac_inst[FTE],A573)&lt;=0,INDEX(MfC_pers_ac_inst[Months],A573)&lt;=0)),INDEX(salaries_academic[],MATCH(INDEX(MfC_pers_ac_inst[Category],A573),salaries_academic[category],0),2),"")</f>
        <v>#REF!</v>
      </c>
      <c r="F573" s="195" t="str">
        <f>IFERROR(IF(Tabel33[Instruction]="",IF(AND(INDEX(MfC_pers_ac_inst[Country]="",A573),OR(INDEX(MfC_pers_ac_inst[Category],A573)&lt;&gt;"",INDEX(MfC_pers_ac_inst[FTE],A573)&gt;0,INDEX(MfC_pers_ac_inst[Months],A573)&gt;0,INDEX(MfC_pers_ac_inst[Costs],A573)&gt;0,LEN(INDEX(MfC_pers_ac_inst[Country],A573))&gt;0)),$B$173,""),""),"")</f>
        <v/>
      </c>
      <c r="G573" s="195" t="e">
        <f>IF(AND(Tabel33[Instruction]="",Tabel33[Country not specified]=""),IF(AND(INDEX(MfC_pers_ac_inst[Category],A573)&lt;&gt;"",INDEX(MfC_pers_ac_inst[Costs],A573)&lt;=0),IF(INDEX(salaries_academic[],MATCH(INDEX(MfC_pers_ac_inst[Category],A573),salaries_academic[category],0),3)="",$B$172,""),""),"")</f>
        <v>#REF!</v>
      </c>
      <c r="H573" s="218" t="str">
        <f>IFERROR(IF(AND(INDEX(salaries_academic[],MATCH(INDEX(MfC_pers_ac_inst[Category],A573),salaries_academic[category],0),3)&gt;0,INDEX(MfC_pers_ac_inst[Costs],A573)&gt;0),$B$174,""),"")</f>
        <v/>
      </c>
      <c r="I573" s="218" t="str">
        <f>IFERROR(IF(AND(organisation_type="yes",VALUE(INDEX(MfC_pers_ac_inst[Amount],A573))&gt;0,ISBLANK(INDEX(MfC_pers_ac_inst[Organisation type],A573))),$B$175,""),"")</f>
        <v/>
      </c>
      <c r="J573" s="218" t="str">
        <f>IFERROR(IF(AND(organisation_name="yes",VALUE(INDEX(MfC_pers_ac_inst[Amount],A573))&gt;0,ISBLANK(INDEX(MfC_pers_ac_inst[Name organisation],A573)),Tabel33[organisation type]=""),$B$176,""),"")</f>
        <v/>
      </c>
    </row>
    <row r="574" spans="1:10" outlineLevel="1" x14ac:dyDescent="0.35">
      <c r="A574" s="317">
        <v>55</v>
      </c>
      <c r="B574" s="317" t="str">
        <f t="array" ref="B574">IFERROR(INDEX(Tabel33[[#This Row],[Empty line]:[organisation name]],1,MATCH(TRUE,LEN(Tabel33[[#This Row],[Empty line]:[organisation name]])&gt;0,0)),"")</f>
        <v/>
      </c>
      <c r="C574" s="195" t="str">
        <f>IFERROR(IF(AND(LEN(INDEX(MfC_pers_ac_inst[Category],$A574))+LEN(INDEX(MfC_pers_ac_inst[FTE],$A574))+LEN(INDEX(MfC_pers_ac_inst[Months],$A574))+LEN(INDEX(MfC_pers_ac_inst[Country],$A574))&gt;0,LEN(INDEX(MfC_pers_ac_inst[Category],$A574-1))+LEN(INDEX(MfC_pers_ac_inst[FTE],$A574-1))+LEN(INDEX(MfC_pers_ac_inst[Months],$A574-1))+LEN(INDEX(MfC_pers_ac_inst[Country],$A574-1))=0),$B$127,""),"")</f>
        <v/>
      </c>
      <c r="D574" s="195" t="str">
        <f>IFERROR(IF(AND(INDEX(MfC_pers_ac_inst[Category]="",$A574),OR(INDEX(MfC_pers_ac_inst[FTE],$A574)&gt;0,INDEX(MfC_pers_ac_inst[Months],$A574)&gt;0,INDEX(MfC_pers_ac_inst[Costs],$A574)&gt;0,LEN(INDEX(MfC_pers_ac_inst[Country],$A574))&gt;0)),$B$171,""),"")</f>
        <v/>
      </c>
      <c r="E574" s="195" t="e">
        <f>IF(AND(INDEX(MfC_pers_ac_inst[Category],A574)&lt;&gt;"",OR(INDEX(MfC_pers_ac_inst[FTE],A574)&lt;=0,INDEX(MfC_pers_ac_inst[Months],A574)&lt;=0)),INDEX(salaries_academic[],MATCH(INDEX(MfC_pers_ac_inst[Category],A574),salaries_academic[category],0),2),"")</f>
        <v>#REF!</v>
      </c>
      <c r="F574" s="195" t="str">
        <f>IFERROR(IF(Tabel33[Instruction]="",IF(AND(INDEX(MfC_pers_ac_inst[Country]="",A574),OR(INDEX(MfC_pers_ac_inst[Category],A574)&lt;&gt;"",INDEX(MfC_pers_ac_inst[FTE],A574)&gt;0,INDEX(MfC_pers_ac_inst[Months],A574)&gt;0,INDEX(MfC_pers_ac_inst[Costs],A574)&gt;0,LEN(INDEX(MfC_pers_ac_inst[Country],A574))&gt;0)),$B$173,""),""),"")</f>
        <v/>
      </c>
      <c r="G574" s="195" t="e">
        <f>IF(AND(Tabel33[Instruction]="",Tabel33[Country not specified]=""),IF(AND(INDEX(MfC_pers_ac_inst[Category],A574)&lt;&gt;"",INDEX(MfC_pers_ac_inst[Costs],A574)&lt;=0),IF(INDEX(salaries_academic[],MATCH(INDEX(MfC_pers_ac_inst[Category],A574),salaries_academic[category],0),3)="",$B$172,""),""),"")</f>
        <v>#REF!</v>
      </c>
      <c r="H574" s="218" t="str">
        <f>IFERROR(IF(AND(INDEX(salaries_academic[],MATCH(INDEX(MfC_pers_ac_inst[Category],A574),salaries_academic[category],0),3)&gt;0,INDEX(MfC_pers_ac_inst[Costs],A574)&gt;0),$B$174,""),"")</f>
        <v/>
      </c>
      <c r="I574" s="218" t="str">
        <f>IFERROR(IF(AND(organisation_type="yes",VALUE(INDEX(MfC_pers_ac_inst[Amount],A574))&gt;0,ISBLANK(INDEX(MfC_pers_ac_inst[Organisation type],A574))),$B$175,""),"")</f>
        <v/>
      </c>
      <c r="J574" s="218" t="str">
        <f>IFERROR(IF(AND(organisation_name="yes",VALUE(INDEX(MfC_pers_ac_inst[Amount],A574))&gt;0,ISBLANK(INDEX(MfC_pers_ac_inst[Name organisation],A574)),Tabel33[organisation type]=""),$B$176,""),"")</f>
        <v/>
      </c>
    </row>
    <row r="575" spans="1:10" outlineLevel="1" x14ac:dyDescent="0.35">
      <c r="A575" s="317">
        <v>56</v>
      </c>
      <c r="B575" s="317" t="str">
        <f t="array" ref="B575">IFERROR(INDEX(Tabel33[[#This Row],[Empty line]:[organisation name]],1,MATCH(TRUE,LEN(Tabel33[[#This Row],[Empty line]:[organisation name]])&gt;0,0)),"")</f>
        <v/>
      </c>
      <c r="C575" s="195" t="str">
        <f>IFERROR(IF(AND(LEN(INDEX(MfC_pers_ac_inst[Category],$A575))+LEN(INDEX(MfC_pers_ac_inst[FTE],$A575))+LEN(INDEX(MfC_pers_ac_inst[Months],$A575))+LEN(INDEX(MfC_pers_ac_inst[Country],$A575))&gt;0,LEN(INDEX(MfC_pers_ac_inst[Category],$A575-1))+LEN(INDEX(MfC_pers_ac_inst[FTE],$A575-1))+LEN(INDEX(MfC_pers_ac_inst[Months],$A575-1))+LEN(INDEX(MfC_pers_ac_inst[Country],$A575-1))=0),$B$127,""),"")</f>
        <v/>
      </c>
      <c r="D575" s="195" t="str">
        <f>IFERROR(IF(AND(INDEX(MfC_pers_ac_inst[Category]="",$A575),OR(INDEX(MfC_pers_ac_inst[FTE],$A575)&gt;0,INDEX(MfC_pers_ac_inst[Months],$A575)&gt;0,INDEX(MfC_pers_ac_inst[Costs],$A575)&gt;0,LEN(INDEX(MfC_pers_ac_inst[Country],$A575))&gt;0)),$B$171,""),"")</f>
        <v/>
      </c>
      <c r="E575" s="195" t="e">
        <f>IF(AND(INDEX(MfC_pers_ac_inst[Category],A575)&lt;&gt;"",OR(INDEX(MfC_pers_ac_inst[FTE],A575)&lt;=0,INDEX(MfC_pers_ac_inst[Months],A575)&lt;=0)),INDEX(salaries_academic[],MATCH(INDEX(MfC_pers_ac_inst[Category],A575),salaries_academic[category],0),2),"")</f>
        <v>#REF!</v>
      </c>
      <c r="F575" s="195" t="str">
        <f>IFERROR(IF(Tabel33[Instruction]="",IF(AND(INDEX(MfC_pers_ac_inst[Country]="",A575),OR(INDEX(MfC_pers_ac_inst[Category],A575)&lt;&gt;"",INDEX(MfC_pers_ac_inst[FTE],A575)&gt;0,INDEX(MfC_pers_ac_inst[Months],A575)&gt;0,INDEX(MfC_pers_ac_inst[Costs],A575)&gt;0,LEN(INDEX(MfC_pers_ac_inst[Country],A575))&gt;0)),$B$173,""),""),"")</f>
        <v/>
      </c>
      <c r="G575" s="195" t="e">
        <f>IF(AND(Tabel33[Instruction]="",Tabel33[Country not specified]=""),IF(AND(INDEX(MfC_pers_ac_inst[Category],A575)&lt;&gt;"",INDEX(MfC_pers_ac_inst[Costs],A575)&lt;=0),IF(INDEX(salaries_academic[],MATCH(INDEX(MfC_pers_ac_inst[Category],A575),salaries_academic[category],0),3)="",$B$172,""),""),"")</f>
        <v>#REF!</v>
      </c>
      <c r="H575" s="218" t="str">
        <f>IFERROR(IF(AND(INDEX(salaries_academic[],MATCH(INDEX(MfC_pers_ac_inst[Category],A575),salaries_academic[category],0),3)&gt;0,INDEX(MfC_pers_ac_inst[Costs],A575)&gt;0),$B$174,""),"")</f>
        <v/>
      </c>
      <c r="I575" s="218" t="str">
        <f>IFERROR(IF(AND(organisation_type="yes",VALUE(INDEX(MfC_pers_ac_inst[Amount],A575))&gt;0,ISBLANK(INDEX(MfC_pers_ac_inst[Organisation type],A575))),$B$175,""),"")</f>
        <v/>
      </c>
      <c r="J575" s="218" t="str">
        <f>IFERROR(IF(AND(organisation_name="yes",VALUE(INDEX(MfC_pers_ac_inst[Amount],A575))&gt;0,ISBLANK(INDEX(MfC_pers_ac_inst[Name organisation],A575)),Tabel33[organisation type]=""),$B$176,""),"")</f>
        <v/>
      </c>
    </row>
    <row r="576" spans="1:10" outlineLevel="1" x14ac:dyDescent="0.35">
      <c r="A576" s="317">
        <v>57</v>
      </c>
      <c r="B576" s="317" t="str">
        <f t="array" ref="B576">IFERROR(INDEX(Tabel33[[#This Row],[Empty line]:[organisation name]],1,MATCH(TRUE,LEN(Tabel33[[#This Row],[Empty line]:[organisation name]])&gt;0,0)),"")</f>
        <v/>
      </c>
      <c r="C576" s="195" t="str">
        <f>IFERROR(IF(AND(LEN(INDEX(MfC_pers_ac_inst[Category],$A576))+LEN(INDEX(MfC_pers_ac_inst[FTE],$A576))+LEN(INDEX(MfC_pers_ac_inst[Months],$A576))+LEN(INDEX(MfC_pers_ac_inst[Country],$A576))&gt;0,LEN(INDEX(MfC_pers_ac_inst[Category],$A576-1))+LEN(INDEX(MfC_pers_ac_inst[FTE],$A576-1))+LEN(INDEX(MfC_pers_ac_inst[Months],$A576-1))+LEN(INDEX(MfC_pers_ac_inst[Country],$A576-1))=0),$B$127,""),"")</f>
        <v/>
      </c>
      <c r="D576" s="195" t="str">
        <f>IFERROR(IF(AND(INDEX(MfC_pers_ac_inst[Category]="",$A576),OR(INDEX(MfC_pers_ac_inst[FTE],$A576)&gt;0,INDEX(MfC_pers_ac_inst[Months],$A576)&gt;0,INDEX(MfC_pers_ac_inst[Costs],$A576)&gt;0,LEN(INDEX(MfC_pers_ac_inst[Country],$A576))&gt;0)),$B$171,""),"")</f>
        <v/>
      </c>
      <c r="E576" s="195" t="e">
        <f>IF(AND(INDEX(MfC_pers_ac_inst[Category],A576)&lt;&gt;"",OR(INDEX(MfC_pers_ac_inst[FTE],A576)&lt;=0,INDEX(MfC_pers_ac_inst[Months],A576)&lt;=0)),INDEX(salaries_academic[],MATCH(INDEX(MfC_pers_ac_inst[Category],A576),salaries_academic[category],0),2),"")</f>
        <v>#REF!</v>
      </c>
      <c r="F576" s="195" t="str">
        <f>IFERROR(IF(Tabel33[Instruction]="",IF(AND(INDEX(MfC_pers_ac_inst[Country]="",A576),OR(INDEX(MfC_pers_ac_inst[Category],A576)&lt;&gt;"",INDEX(MfC_pers_ac_inst[FTE],A576)&gt;0,INDEX(MfC_pers_ac_inst[Months],A576)&gt;0,INDEX(MfC_pers_ac_inst[Costs],A576)&gt;0,LEN(INDEX(MfC_pers_ac_inst[Country],A576))&gt;0)),$B$173,""),""),"")</f>
        <v/>
      </c>
      <c r="G576" s="195" t="e">
        <f>IF(AND(Tabel33[Instruction]="",Tabel33[Country not specified]=""),IF(AND(INDEX(MfC_pers_ac_inst[Category],A576)&lt;&gt;"",INDEX(MfC_pers_ac_inst[Costs],A576)&lt;=0),IF(INDEX(salaries_academic[],MATCH(INDEX(MfC_pers_ac_inst[Category],A576),salaries_academic[category],0),3)="",$B$172,""),""),"")</f>
        <v>#REF!</v>
      </c>
      <c r="H576" s="218" t="str">
        <f>IFERROR(IF(AND(INDEX(salaries_academic[],MATCH(INDEX(MfC_pers_ac_inst[Category],A576),salaries_academic[category],0),3)&gt;0,INDEX(MfC_pers_ac_inst[Costs],A576)&gt;0),$B$174,""),"")</f>
        <v/>
      </c>
      <c r="I576" s="218" t="str">
        <f>IFERROR(IF(AND(organisation_type="yes",VALUE(INDEX(MfC_pers_ac_inst[Amount],A576))&gt;0,ISBLANK(INDEX(MfC_pers_ac_inst[Organisation type],A576))),$B$175,""),"")</f>
        <v/>
      </c>
      <c r="J576" s="218" t="str">
        <f>IFERROR(IF(AND(organisation_name="yes",VALUE(INDEX(MfC_pers_ac_inst[Amount],A576))&gt;0,ISBLANK(INDEX(MfC_pers_ac_inst[Name organisation],A576)),Tabel33[organisation type]=""),$B$176,""),"")</f>
        <v/>
      </c>
    </row>
    <row r="577" spans="1:10" outlineLevel="1" x14ac:dyDescent="0.35">
      <c r="A577" s="317">
        <v>58</v>
      </c>
      <c r="B577" s="317" t="str">
        <f t="array" ref="B577">IFERROR(INDEX(Tabel33[[#This Row],[Empty line]:[organisation name]],1,MATCH(TRUE,LEN(Tabel33[[#This Row],[Empty line]:[organisation name]])&gt;0,0)),"")</f>
        <v/>
      </c>
      <c r="C577" s="195" t="str">
        <f>IFERROR(IF(AND(LEN(INDEX(MfC_pers_ac_inst[Category],$A577))+LEN(INDEX(MfC_pers_ac_inst[FTE],$A577))+LEN(INDEX(MfC_pers_ac_inst[Months],$A577))+LEN(INDEX(MfC_pers_ac_inst[Country],$A577))&gt;0,LEN(INDEX(MfC_pers_ac_inst[Category],$A577-1))+LEN(INDEX(MfC_pers_ac_inst[FTE],$A577-1))+LEN(INDEX(MfC_pers_ac_inst[Months],$A577-1))+LEN(INDEX(MfC_pers_ac_inst[Country],$A577-1))=0),$B$127,""),"")</f>
        <v/>
      </c>
      <c r="D577" s="195" t="str">
        <f>IFERROR(IF(AND(INDEX(MfC_pers_ac_inst[Category]="",$A577),OR(INDEX(MfC_pers_ac_inst[FTE],$A577)&gt;0,INDEX(MfC_pers_ac_inst[Months],$A577)&gt;0,INDEX(MfC_pers_ac_inst[Costs],$A577)&gt;0,LEN(INDEX(MfC_pers_ac_inst[Country],$A577))&gt;0)),$B$171,""),"")</f>
        <v/>
      </c>
      <c r="E577" s="195" t="e">
        <f>IF(AND(INDEX(MfC_pers_ac_inst[Category],A577)&lt;&gt;"",OR(INDEX(MfC_pers_ac_inst[FTE],A577)&lt;=0,INDEX(MfC_pers_ac_inst[Months],A577)&lt;=0)),INDEX(salaries_academic[],MATCH(INDEX(MfC_pers_ac_inst[Category],A577),salaries_academic[category],0),2),"")</f>
        <v>#REF!</v>
      </c>
      <c r="F577" s="195" t="str">
        <f>IFERROR(IF(Tabel33[Instruction]="",IF(AND(INDEX(MfC_pers_ac_inst[Country]="",A577),OR(INDEX(MfC_pers_ac_inst[Category],A577)&lt;&gt;"",INDEX(MfC_pers_ac_inst[FTE],A577)&gt;0,INDEX(MfC_pers_ac_inst[Months],A577)&gt;0,INDEX(MfC_pers_ac_inst[Costs],A577)&gt;0,LEN(INDEX(MfC_pers_ac_inst[Country],A577))&gt;0)),$B$173,""),""),"")</f>
        <v/>
      </c>
      <c r="G577" s="195" t="e">
        <f>IF(AND(Tabel33[Instruction]="",Tabel33[Country not specified]=""),IF(AND(INDEX(MfC_pers_ac_inst[Category],A577)&lt;&gt;"",INDEX(MfC_pers_ac_inst[Costs],A577)&lt;=0),IF(INDEX(salaries_academic[],MATCH(INDEX(MfC_pers_ac_inst[Category],A577),salaries_academic[category],0),3)="",$B$172,""),""),"")</f>
        <v>#REF!</v>
      </c>
      <c r="H577" s="218" t="str">
        <f>IFERROR(IF(AND(INDEX(salaries_academic[],MATCH(INDEX(MfC_pers_ac_inst[Category],A577),salaries_academic[category],0),3)&gt;0,INDEX(MfC_pers_ac_inst[Costs],A577)&gt;0),$B$174,""),"")</f>
        <v/>
      </c>
      <c r="I577" s="218" t="str">
        <f>IFERROR(IF(AND(organisation_type="yes",VALUE(INDEX(MfC_pers_ac_inst[Amount],A577))&gt;0,ISBLANK(INDEX(MfC_pers_ac_inst[Organisation type],A577))),$B$175,""),"")</f>
        <v/>
      </c>
      <c r="J577" s="218" t="str">
        <f>IFERROR(IF(AND(organisation_name="yes",VALUE(INDEX(MfC_pers_ac_inst[Amount],A577))&gt;0,ISBLANK(INDEX(MfC_pers_ac_inst[Name organisation],A577)),Tabel33[organisation type]=""),$B$176,""),"")</f>
        <v/>
      </c>
    </row>
    <row r="578" spans="1:10" outlineLevel="1" x14ac:dyDescent="0.35">
      <c r="A578" s="317">
        <v>59</v>
      </c>
      <c r="B578" s="317" t="str">
        <f t="array" ref="B578">IFERROR(INDEX(Tabel33[[#This Row],[Empty line]:[organisation name]],1,MATCH(TRUE,LEN(Tabel33[[#This Row],[Empty line]:[organisation name]])&gt;0,0)),"")</f>
        <v/>
      </c>
      <c r="C578" s="195" t="str">
        <f>IFERROR(IF(AND(LEN(INDEX(MfC_pers_ac_inst[Category],$A578))+LEN(INDEX(MfC_pers_ac_inst[FTE],$A578))+LEN(INDEX(MfC_pers_ac_inst[Months],$A578))+LEN(INDEX(MfC_pers_ac_inst[Country],$A578))&gt;0,LEN(INDEX(MfC_pers_ac_inst[Category],$A578-1))+LEN(INDEX(MfC_pers_ac_inst[FTE],$A578-1))+LEN(INDEX(MfC_pers_ac_inst[Months],$A578-1))+LEN(INDEX(MfC_pers_ac_inst[Country],$A578-1))=0),$B$127,""),"")</f>
        <v/>
      </c>
      <c r="D578" s="195" t="str">
        <f>IFERROR(IF(AND(INDEX(MfC_pers_ac_inst[Category]="",$A578),OR(INDEX(MfC_pers_ac_inst[FTE],$A578)&gt;0,INDEX(MfC_pers_ac_inst[Months],$A578)&gt;0,INDEX(MfC_pers_ac_inst[Costs],$A578)&gt;0,LEN(INDEX(MfC_pers_ac_inst[Country],$A578))&gt;0)),$B$171,""),"")</f>
        <v/>
      </c>
      <c r="E578" s="195" t="e">
        <f>IF(AND(INDEX(MfC_pers_ac_inst[Category],A578)&lt;&gt;"",OR(INDEX(MfC_pers_ac_inst[FTE],A578)&lt;=0,INDEX(MfC_pers_ac_inst[Months],A578)&lt;=0)),INDEX(salaries_academic[],MATCH(INDEX(MfC_pers_ac_inst[Category],A578),salaries_academic[category],0),2),"")</f>
        <v>#REF!</v>
      </c>
      <c r="F578" s="195" t="str">
        <f>IFERROR(IF(Tabel33[Instruction]="",IF(AND(INDEX(MfC_pers_ac_inst[Country]="",A578),OR(INDEX(MfC_pers_ac_inst[Category],A578)&lt;&gt;"",INDEX(MfC_pers_ac_inst[FTE],A578)&gt;0,INDEX(MfC_pers_ac_inst[Months],A578)&gt;0,INDEX(MfC_pers_ac_inst[Costs],A578)&gt;0,LEN(INDEX(MfC_pers_ac_inst[Country],A578))&gt;0)),$B$173,""),""),"")</f>
        <v/>
      </c>
      <c r="G578" s="195" t="e">
        <f>IF(AND(Tabel33[Instruction]="",Tabel33[Country not specified]=""),IF(AND(INDEX(MfC_pers_ac_inst[Category],A578)&lt;&gt;"",INDEX(MfC_pers_ac_inst[Costs],A578)&lt;=0),IF(INDEX(salaries_academic[],MATCH(INDEX(MfC_pers_ac_inst[Category],A578),salaries_academic[category],0),3)="",$B$172,""),""),"")</f>
        <v>#REF!</v>
      </c>
      <c r="H578" s="218" t="str">
        <f>IFERROR(IF(AND(INDEX(salaries_academic[],MATCH(INDEX(MfC_pers_ac_inst[Category],A578),salaries_academic[category],0),3)&gt;0,INDEX(MfC_pers_ac_inst[Costs],A578)&gt;0),$B$174,""),"")</f>
        <v/>
      </c>
      <c r="I578" s="218" t="str">
        <f>IFERROR(IF(AND(organisation_type="yes",VALUE(INDEX(MfC_pers_ac_inst[Amount],A578))&gt;0,ISBLANK(INDEX(MfC_pers_ac_inst[Organisation type],A578))),$B$175,""),"")</f>
        <v/>
      </c>
      <c r="J578" s="218" t="str">
        <f>IFERROR(IF(AND(organisation_name="yes",VALUE(INDEX(MfC_pers_ac_inst[Amount],A578))&gt;0,ISBLANK(INDEX(MfC_pers_ac_inst[Name organisation],A578)),Tabel33[organisation type]=""),$B$176,""),"")</f>
        <v/>
      </c>
    </row>
    <row r="579" spans="1:10" outlineLevel="1" x14ac:dyDescent="0.35">
      <c r="A579" s="317">
        <v>60</v>
      </c>
      <c r="B579" s="317" t="str">
        <f t="array" ref="B579">IFERROR(INDEX(Tabel33[[#This Row],[Empty line]:[organisation name]],1,MATCH(TRUE,LEN(Tabel33[[#This Row],[Empty line]:[organisation name]])&gt;0,0)),"")</f>
        <v/>
      </c>
      <c r="C579" s="195" t="str">
        <f>IFERROR(IF(AND(LEN(INDEX(MfC_pers_ac_inst[Category],$A579))+LEN(INDEX(MfC_pers_ac_inst[FTE],$A579))+LEN(INDEX(MfC_pers_ac_inst[Months],$A579))+LEN(INDEX(MfC_pers_ac_inst[Country],$A579))&gt;0,LEN(INDEX(MfC_pers_ac_inst[Category],$A579-1))+LEN(INDEX(MfC_pers_ac_inst[FTE],$A579-1))+LEN(INDEX(MfC_pers_ac_inst[Months],$A579-1))+LEN(INDEX(MfC_pers_ac_inst[Country],$A579-1))=0),$B$127,""),"")</f>
        <v/>
      </c>
      <c r="D579" s="195" t="str">
        <f>IFERROR(IF(AND(INDEX(MfC_pers_ac_inst[Category]="",$A579),OR(INDEX(MfC_pers_ac_inst[FTE],$A579)&gt;0,INDEX(MfC_pers_ac_inst[Months],$A579)&gt;0,INDEX(MfC_pers_ac_inst[Costs],$A579)&gt;0,LEN(INDEX(MfC_pers_ac_inst[Country],$A579))&gt;0)),$B$171,""),"")</f>
        <v/>
      </c>
      <c r="E579" s="195" t="e">
        <f>IF(AND(INDEX(MfC_pers_ac_inst[Category],A579)&lt;&gt;"",OR(INDEX(MfC_pers_ac_inst[FTE],A579)&lt;=0,INDEX(MfC_pers_ac_inst[Months],A579)&lt;=0)),INDEX(salaries_academic[],MATCH(INDEX(MfC_pers_ac_inst[Category],A579),salaries_academic[category],0),2),"")</f>
        <v>#REF!</v>
      </c>
      <c r="F579" s="195" t="str">
        <f>IFERROR(IF(Tabel33[Instruction]="",IF(AND(INDEX(MfC_pers_ac_inst[Country]="",A579),OR(INDEX(MfC_pers_ac_inst[Category],A579)&lt;&gt;"",INDEX(MfC_pers_ac_inst[FTE],A579)&gt;0,INDEX(MfC_pers_ac_inst[Months],A579)&gt;0,INDEX(MfC_pers_ac_inst[Costs],A579)&gt;0,LEN(INDEX(MfC_pers_ac_inst[Country],A579))&gt;0)),$B$173,""),""),"")</f>
        <v/>
      </c>
      <c r="G579" s="195" t="e">
        <f>IF(AND(Tabel33[Instruction]="",Tabel33[Country not specified]=""),IF(AND(INDEX(MfC_pers_ac_inst[Category],A579)&lt;&gt;"",INDEX(MfC_pers_ac_inst[Costs],A579)&lt;=0),IF(INDEX(salaries_academic[],MATCH(INDEX(MfC_pers_ac_inst[Category],A579),salaries_academic[category],0),3)="",$B$172,""),""),"")</f>
        <v>#REF!</v>
      </c>
      <c r="H579" s="218" t="str">
        <f>IFERROR(IF(AND(INDEX(salaries_academic[],MATCH(INDEX(MfC_pers_ac_inst[Category],A579),salaries_academic[category],0),3)&gt;0,INDEX(MfC_pers_ac_inst[Costs],A579)&gt;0),$B$174,""),"")</f>
        <v/>
      </c>
      <c r="I579" s="218" t="str">
        <f>IFERROR(IF(AND(organisation_type="yes",VALUE(INDEX(MfC_pers_ac_inst[Amount],A579))&gt;0,ISBLANK(INDEX(MfC_pers_ac_inst[Organisation type],A579))),$B$175,""),"")</f>
        <v/>
      </c>
      <c r="J579" s="218" t="str">
        <f>IFERROR(IF(AND(organisation_name="yes",VALUE(INDEX(MfC_pers_ac_inst[Amount],A579))&gt;0,ISBLANK(INDEX(MfC_pers_ac_inst[Name organisation],A579)),Tabel33[organisation type]=""),$B$176,""),"")</f>
        <v/>
      </c>
    </row>
    <row r="580" spans="1:10" outlineLevel="1" x14ac:dyDescent="0.35">
      <c r="A580" s="317">
        <v>61</v>
      </c>
      <c r="B580" s="317" t="str">
        <f t="array" ref="B580">IFERROR(INDEX(Tabel33[[#This Row],[Empty line]:[organisation name]],1,MATCH(TRUE,LEN(Tabel33[[#This Row],[Empty line]:[organisation name]])&gt;0,0)),"")</f>
        <v/>
      </c>
      <c r="C580" s="195" t="str">
        <f>IFERROR(IF(AND(LEN(INDEX(MfC_pers_ac_inst[Category],$A580))+LEN(INDEX(MfC_pers_ac_inst[FTE],$A580))+LEN(INDEX(MfC_pers_ac_inst[Months],$A580))+LEN(INDEX(MfC_pers_ac_inst[Country],$A580))&gt;0,LEN(INDEX(MfC_pers_ac_inst[Category],$A580-1))+LEN(INDEX(MfC_pers_ac_inst[FTE],$A580-1))+LEN(INDEX(MfC_pers_ac_inst[Months],$A580-1))+LEN(INDEX(MfC_pers_ac_inst[Country],$A580-1))=0),$B$127,""),"")</f>
        <v/>
      </c>
      <c r="D580" s="195" t="str">
        <f>IFERROR(IF(AND(INDEX(MfC_pers_ac_inst[Category]="",$A580),OR(INDEX(MfC_pers_ac_inst[FTE],$A580)&gt;0,INDEX(MfC_pers_ac_inst[Months],$A580)&gt;0,INDEX(MfC_pers_ac_inst[Costs],$A580)&gt;0,LEN(INDEX(MfC_pers_ac_inst[Country],$A580))&gt;0)),$B$171,""),"")</f>
        <v/>
      </c>
      <c r="E580" s="195" t="e">
        <f>IF(AND(INDEX(MfC_pers_ac_inst[Category],A580)&lt;&gt;"",OR(INDEX(MfC_pers_ac_inst[FTE],A580)&lt;=0,INDEX(MfC_pers_ac_inst[Months],A580)&lt;=0)),INDEX(salaries_academic[],MATCH(INDEX(MfC_pers_ac_inst[Category],A580),salaries_academic[category],0),2),"")</f>
        <v>#REF!</v>
      </c>
      <c r="F580" s="195" t="str">
        <f>IFERROR(IF(Tabel33[Instruction]="",IF(AND(INDEX(MfC_pers_ac_inst[Country]="",A580),OR(INDEX(MfC_pers_ac_inst[Category],A580)&lt;&gt;"",INDEX(MfC_pers_ac_inst[FTE],A580)&gt;0,INDEX(MfC_pers_ac_inst[Months],A580)&gt;0,INDEX(MfC_pers_ac_inst[Costs],A580)&gt;0,LEN(INDEX(MfC_pers_ac_inst[Country],A580))&gt;0)),$B$173,""),""),"")</f>
        <v/>
      </c>
      <c r="G580" s="195" t="e">
        <f>IF(AND(Tabel33[Instruction]="",Tabel33[Country not specified]=""),IF(AND(INDEX(MfC_pers_ac_inst[Category],A580)&lt;&gt;"",INDEX(MfC_pers_ac_inst[Costs],A580)&lt;=0),IF(INDEX(salaries_academic[],MATCH(INDEX(MfC_pers_ac_inst[Category],A580),salaries_academic[category],0),3)="",$B$172,""),""),"")</f>
        <v>#REF!</v>
      </c>
      <c r="H580" s="218" t="str">
        <f>IFERROR(IF(AND(INDEX(salaries_academic[],MATCH(INDEX(MfC_pers_ac_inst[Category],A580),salaries_academic[category],0),3)&gt;0,INDEX(MfC_pers_ac_inst[Costs],A580)&gt;0),$B$174,""),"")</f>
        <v/>
      </c>
      <c r="I580" s="218" t="str">
        <f>IFERROR(IF(AND(organisation_type="yes",VALUE(INDEX(MfC_pers_ac_inst[Amount],A580))&gt;0,ISBLANK(INDEX(MfC_pers_ac_inst[Organisation type],A580))),$B$175,""),"")</f>
        <v/>
      </c>
      <c r="J580" s="218" t="str">
        <f>IFERROR(IF(AND(organisation_name="yes",VALUE(INDEX(MfC_pers_ac_inst[Amount],A580))&gt;0,ISBLANK(INDEX(MfC_pers_ac_inst[Name organisation],A580)),Tabel33[organisation type]=""),$B$176,""),"")</f>
        <v/>
      </c>
    </row>
    <row r="581" spans="1:10" outlineLevel="1" x14ac:dyDescent="0.35">
      <c r="A581" s="317">
        <v>62</v>
      </c>
      <c r="B581" s="317" t="str">
        <f t="array" ref="B581">IFERROR(INDEX(Tabel33[[#This Row],[Empty line]:[organisation name]],1,MATCH(TRUE,LEN(Tabel33[[#This Row],[Empty line]:[organisation name]])&gt;0,0)),"")</f>
        <v/>
      </c>
      <c r="C581" s="195" t="str">
        <f>IFERROR(IF(AND(LEN(INDEX(MfC_pers_ac_inst[Category],$A581))+LEN(INDEX(MfC_pers_ac_inst[FTE],$A581))+LEN(INDEX(MfC_pers_ac_inst[Months],$A581))+LEN(INDEX(MfC_pers_ac_inst[Country],$A581))&gt;0,LEN(INDEX(MfC_pers_ac_inst[Category],$A581-1))+LEN(INDEX(MfC_pers_ac_inst[FTE],$A581-1))+LEN(INDEX(MfC_pers_ac_inst[Months],$A581-1))+LEN(INDEX(MfC_pers_ac_inst[Country],$A581-1))=0),$B$127,""),"")</f>
        <v/>
      </c>
      <c r="D581" s="195" t="str">
        <f>IFERROR(IF(AND(INDEX(MfC_pers_ac_inst[Category]="",$A581),OR(INDEX(MfC_pers_ac_inst[FTE],$A581)&gt;0,INDEX(MfC_pers_ac_inst[Months],$A581)&gt;0,INDEX(MfC_pers_ac_inst[Costs],$A581)&gt;0,LEN(INDEX(MfC_pers_ac_inst[Country],$A581))&gt;0)),$B$171,""),"")</f>
        <v/>
      </c>
      <c r="E581" s="195" t="e">
        <f>IF(AND(INDEX(MfC_pers_ac_inst[Category],A581)&lt;&gt;"",OR(INDEX(MfC_pers_ac_inst[FTE],A581)&lt;=0,INDEX(MfC_pers_ac_inst[Months],A581)&lt;=0)),INDEX(salaries_academic[],MATCH(INDEX(MfC_pers_ac_inst[Category],A581),salaries_academic[category],0),2),"")</f>
        <v>#REF!</v>
      </c>
      <c r="F581" s="195" t="str">
        <f>IFERROR(IF(Tabel33[Instruction]="",IF(AND(INDEX(MfC_pers_ac_inst[Country]="",A581),OR(INDEX(MfC_pers_ac_inst[Category],A581)&lt;&gt;"",INDEX(MfC_pers_ac_inst[FTE],A581)&gt;0,INDEX(MfC_pers_ac_inst[Months],A581)&gt;0,INDEX(MfC_pers_ac_inst[Costs],A581)&gt;0,LEN(INDEX(MfC_pers_ac_inst[Country],A581))&gt;0)),$B$173,""),""),"")</f>
        <v/>
      </c>
      <c r="G581" s="195" t="e">
        <f>IF(AND(Tabel33[Instruction]="",Tabel33[Country not specified]=""),IF(AND(INDEX(MfC_pers_ac_inst[Category],A581)&lt;&gt;"",INDEX(MfC_pers_ac_inst[Costs],A581)&lt;=0),IF(INDEX(salaries_academic[],MATCH(INDEX(MfC_pers_ac_inst[Category],A581),salaries_academic[category],0),3)="",$B$172,""),""),"")</f>
        <v>#REF!</v>
      </c>
      <c r="H581" s="218" t="str">
        <f>IFERROR(IF(AND(INDEX(salaries_academic[],MATCH(INDEX(MfC_pers_ac_inst[Category],A581),salaries_academic[category],0),3)&gt;0,INDEX(MfC_pers_ac_inst[Costs],A581)&gt;0),$B$174,""),"")</f>
        <v/>
      </c>
      <c r="I581" s="218" t="str">
        <f>IFERROR(IF(AND(organisation_type="yes",VALUE(INDEX(MfC_pers_ac_inst[Amount],A581))&gt;0,ISBLANK(INDEX(MfC_pers_ac_inst[Organisation type],A581))),$B$175,""),"")</f>
        <v/>
      </c>
      <c r="J581" s="218" t="str">
        <f>IFERROR(IF(AND(organisation_name="yes",VALUE(INDEX(MfC_pers_ac_inst[Amount],A581))&gt;0,ISBLANK(INDEX(MfC_pers_ac_inst[Name organisation],A581)),Tabel33[organisation type]=""),$B$176,""),"")</f>
        <v/>
      </c>
    </row>
    <row r="582" spans="1:10" outlineLevel="1" x14ac:dyDescent="0.35">
      <c r="A582" s="317">
        <v>63</v>
      </c>
      <c r="B582" s="317" t="str">
        <f t="array" ref="B582">IFERROR(INDEX(Tabel33[[#This Row],[Empty line]:[organisation name]],1,MATCH(TRUE,LEN(Tabel33[[#This Row],[Empty line]:[organisation name]])&gt;0,0)),"")</f>
        <v/>
      </c>
      <c r="C582" s="195" t="str">
        <f>IFERROR(IF(AND(LEN(INDEX(MfC_pers_ac_inst[Category],$A582))+LEN(INDEX(MfC_pers_ac_inst[FTE],$A582))+LEN(INDEX(MfC_pers_ac_inst[Months],$A582))+LEN(INDEX(MfC_pers_ac_inst[Country],$A582))&gt;0,LEN(INDEX(MfC_pers_ac_inst[Category],$A582-1))+LEN(INDEX(MfC_pers_ac_inst[FTE],$A582-1))+LEN(INDEX(MfC_pers_ac_inst[Months],$A582-1))+LEN(INDEX(MfC_pers_ac_inst[Country],$A582-1))=0),$B$127,""),"")</f>
        <v/>
      </c>
      <c r="D582" s="195" t="str">
        <f>IFERROR(IF(AND(INDEX(MfC_pers_ac_inst[Category]="",$A582),OR(INDEX(MfC_pers_ac_inst[FTE],$A582)&gt;0,INDEX(MfC_pers_ac_inst[Months],$A582)&gt;0,INDEX(MfC_pers_ac_inst[Costs],$A582)&gt;0,LEN(INDEX(MfC_pers_ac_inst[Country],$A582))&gt;0)),$B$171,""),"")</f>
        <v/>
      </c>
      <c r="E582" s="195" t="e">
        <f>IF(AND(INDEX(MfC_pers_ac_inst[Category],A582)&lt;&gt;"",OR(INDEX(MfC_pers_ac_inst[FTE],A582)&lt;=0,INDEX(MfC_pers_ac_inst[Months],A582)&lt;=0)),INDEX(salaries_academic[],MATCH(INDEX(MfC_pers_ac_inst[Category],A582),salaries_academic[category],0),2),"")</f>
        <v>#REF!</v>
      </c>
      <c r="F582" s="195" t="str">
        <f>IFERROR(IF(Tabel33[Instruction]="",IF(AND(INDEX(MfC_pers_ac_inst[Country]="",A582),OR(INDEX(MfC_pers_ac_inst[Category],A582)&lt;&gt;"",INDEX(MfC_pers_ac_inst[FTE],A582)&gt;0,INDEX(MfC_pers_ac_inst[Months],A582)&gt;0,INDEX(MfC_pers_ac_inst[Costs],A582)&gt;0,LEN(INDEX(MfC_pers_ac_inst[Country],A582))&gt;0)),$B$173,""),""),"")</f>
        <v/>
      </c>
      <c r="G582" s="195" t="e">
        <f>IF(AND(Tabel33[Instruction]="",Tabel33[Country not specified]=""),IF(AND(INDEX(MfC_pers_ac_inst[Category],A582)&lt;&gt;"",INDEX(MfC_pers_ac_inst[Costs],A582)&lt;=0),IF(INDEX(salaries_academic[],MATCH(INDEX(MfC_pers_ac_inst[Category],A582),salaries_academic[category],0),3)="",$B$172,""),""),"")</f>
        <v>#REF!</v>
      </c>
      <c r="H582" s="218" t="str">
        <f>IFERROR(IF(AND(INDEX(salaries_academic[],MATCH(INDEX(MfC_pers_ac_inst[Category],A582),salaries_academic[category],0),3)&gt;0,INDEX(MfC_pers_ac_inst[Costs],A582)&gt;0),$B$174,""),"")</f>
        <v/>
      </c>
      <c r="I582" s="218" t="str">
        <f>IFERROR(IF(AND(organisation_type="yes",VALUE(INDEX(MfC_pers_ac_inst[Amount],A582))&gt;0,ISBLANK(INDEX(MfC_pers_ac_inst[Organisation type],A582))),$B$175,""),"")</f>
        <v/>
      </c>
      <c r="J582" s="218" t="str">
        <f>IFERROR(IF(AND(organisation_name="yes",VALUE(INDEX(MfC_pers_ac_inst[Amount],A582))&gt;0,ISBLANK(INDEX(MfC_pers_ac_inst[Name organisation],A582)),Tabel33[organisation type]=""),$B$176,""),"")</f>
        <v/>
      </c>
    </row>
    <row r="583" spans="1:10" outlineLevel="1" x14ac:dyDescent="0.35">
      <c r="A583" s="317">
        <v>64</v>
      </c>
      <c r="B583" s="317" t="str">
        <f t="array" ref="B583">IFERROR(INDEX(Tabel33[[#This Row],[Empty line]:[organisation name]],1,MATCH(TRUE,LEN(Tabel33[[#This Row],[Empty line]:[organisation name]])&gt;0,0)),"")</f>
        <v/>
      </c>
      <c r="C583" s="195" t="str">
        <f>IFERROR(IF(AND(LEN(INDEX(MfC_pers_ac_inst[Category],$A583))+LEN(INDEX(MfC_pers_ac_inst[FTE],$A583))+LEN(INDEX(MfC_pers_ac_inst[Months],$A583))+LEN(INDEX(MfC_pers_ac_inst[Country],$A583))&gt;0,LEN(INDEX(MfC_pers_ac_inst[Category],$A583-1))+LEN(INDEX(MfC_pers_ac_inst[FTE],$A583-1))+LEN(INDEX(MfC_pers_ac_inst[Months],$A583-1))+LEN(INDEX(MfC_pers_ac_inst[Country],$A583-1))=0),$B$127,""),"")</f>
        <v/>
      </c>
      <c r="D583" s="195" t="str">
        <f>IFERROR(IF(AND(INDEX(MfC_pers_ac_inst[Category]="",$A583),OR(INDEX(MfC_pers_ac_inst[FTE],$A583)&gt;0,INDEX(MfC_pers_ac_inst[Months],$A583)&gt;0,INDEX(MfC_pers_ac_inst[Costs],$A583)&gt;0,LEN(INDEX(MfC_pers_ac_inst[Country],$A583))&gt;0)),$B$171,""),"")</f>
        <v/>
      </c>
      <c r="E583" s="195" t="e">
        <f>IF(AND(INDEX(MfC_pers_ac_inst[Category],A583)&lt;&gt;"",OR(INDEX(MfC_pers_ac_inst[FTE],A583)&lt;=0,INDEX(MfC_pers_ac_inst[Months],A583)&lt;=0)),INDEX(salaries_academic[],MATCH(INDEX(MfC_pers_ac_inst[Category],A583),salaries_academic[category],0),2),"")</f>
        <v>#REF!</v>
      </c>
      <c r="F583" s="195" t="str">
        <f>IFERROR(IF(Tabel33[Instruction]="",IF(AND(INDEX(MfC_pers_ac_inst[Country]="",A583),OR(INDEX(MfC_pers_ac_inst[Category],A583)&lt;&gt;"",INDEX(MfC_pers_ac_inst[FTE],A583)&gt;0,INDEX(MfC_pers_ac_inst[Months],A583)&gt;0,INDEX(MfC_pers_ac_inst[Costs],A583)&gt;0,LEN(INDEX(MfC_pers_ac_inst[Country],A583))&gt;0)),$B$173,""),""),"")</f>
        <v/>
      </c>
      <c r="G583" s="195" t="e">
        <f>IF(AND(Tabel33[Instruction]="",Tabel33[Country not specified]=""),IF(AND(INDEX(MfC_pers_ac_inst[Category],A583)&lt;&gt;"",INDEX(MfC_pers_ac_inst[Costs],A583)&lt;=0),IF(INDEX(salaries_academic[],MATCH(INDEX(MfC_pers_ac_inst[Category],A583),salaries_academic[category],0),3)="",$B$172,""),""),"")</f>
        <v>#REF!</v>
      </c>
      <c r="H583" s="218" t="str">
        <f>IFERROR(IF(AND(INDEX(salaries_academic[],MATCH(INDEX(MfC_pers_ac_inst[Category],A583),salaries_academic[category],0),3)&gt;0,INDEX(MfC_pers_ac_inst[Costs],A583)&gt;0),$B$174,""),"")</f>
        <v/>
      </c>
      <c r="I583" s="218" t="str">
        <f>IFERROR(IF(AND(organisation_type="yes",VALUE(INDEX(MfC_pers_ac_inst[Amount],A583))&gt;0,ISBLANK(INDEX(MfC_pers_ac_inst[Organisation type],A583))),$B$175,""),"")</f>
        <v/>
      </c>
      <c r="J583" s="218" t="str">
        <f>IFERROR(IF(AND(organisation_name="yes",VALUE(INDEX(MfC_pers_ac_inst[Amount],A583))&gt;0,ISBLANK(INDEX(MfC_pers_ac_inst[Name organisation],A583)),Tabel33[organisation type]=""),$B$176,""),"")</f>
        <v/>
      </c>
    </row>
    <row r="584" spans="1:10" outlineLevel="1" x14ac:dyDescent="0.35">
      <c r="A584" s="317">
        <v>65</v>
      </c>
      <c r="B584" s="317" t="str">
        <f t="array" ref="B584">IFERROR(INDEX(Tabel33[[#This Row],[Empty line]:[organisation name]],1,MATCH(TRUE,LEN(Tabel33[[#This Row],[Empty line]:[organisation name]])&gt;0,0)),"")</f>
        <v/>
      </c>
      <c r="C584" s="195" t="str">
        <f>IFERROR(IF(AND(LEN(INDEX(MfC_pers_ac_inst[Category],$A584))+LEN(INDEX(MfC_pers_ac_inst[FTE],$A584))+LEN(INDEX(MfC_pers_ac_inst[Months],$A584))+LEN(INDEX(MfC_pers_ac_inst[Country],$A584))&gt;0,LEN(INDEX(MfC_pers_ac_inst[Category],$A584-1))+LEN(INDEX(MfC_pers_ac_inst[FTE],$A584-1))+LEN(INDEX(MfC_pers_ac_inst[Months],$A584-1))+LEN(INDEX(MfC_pers_ac_inst[Country],$A584-1))=0),$B$127,""),"")</f>
        <v/>
      </c>
      <c r="D584" s="195" t="str">
        <f>IFERROR(IF(AND(INDEX(MfC_pers_ac_inst[Category]="",$A584),OR(INDEX(MfC_pers_ac_inst[FTE],$A584)&gt;0,INDEX(MfC_pers_ac_inst[Months],$A584)&gt;0,INDEX(MfC_pers_ac_inst[Costs],$A584)&gt;0,LEN(INDEX(MfC_pers_ac_inst[Country],$A584))&gt;0)),$B$171,""),"")</f>
        <v/>
      </c>
      <c r="E584" s="195" t="e">
        <f>IF(AND(INDEX(MfC_pers_ac_inst[Category],A584)&lt;&gt;"",OR(INDEX(MfC_pers_ac_inst[FTE],A584)&lt;=0,INDEX(MfC_pers_ac_inst[Months],A584)&lt;=0)),INDEX(salaries_academic[],MATCH(INDEX(MfC_pers_ac_inst[Category],A584),salaries_academic[category],0),2),"")</f>
        <v>#REF!</v>
      </c>
      <c r="F584" s="195" t="str">
        <f>IFERROR(IF(Tabel33[Instruction]="",IF(AND(INDEX(MfC_pers_ac_inst[Country]="",A584),OR(INDEX(MfC_pers_ac_inst[Category],A584)&lt;&gt;"",INDEX(MfC_pers_ac_inst[FTE],A584)&gt;0,INDEX(MfC_pers_ac_inst[Months],A584)&gt;0,INDEX(MfC_pers_ac_inst[Costs],A584)&gt;0,LEN(INDEX(MfC_pers_ac_inst[Country],A584))&gt;0)),$B$173,""),""),"")</f>
        <v/>
      </c>
      <c r="G584" s="195" t="e">
        <f>IF(AND(Tabel33[Instruction]="",Tabel33[Country not specified]=""),IF(AND(INDEX(MfC_pers_ac_inst[Category],A584)&lt;&gt;"",INDEX(MfC_pers_ac_inst[Costs],A584)&lt;=0),IF(INDEX(salaries_academic[],MATCH(INDEX(MfC_pers_ac_inst[Category],A584),salaries_academic[category],0),3)="",$B$172,""),""),"")</f>
        <v>#REF!</v>
      </c>
      <c r="H584" s="218" t="str">
        <f>IFERROR(IF(AND(INDEX(salaries_academic[],MATCH(INDEX(MfC_pers_ac_inst[Category],A584),salaries_academic[category],0),3)&gt;0,INDEX(MfC_pers_ac_inst[Costs],A584)&gt;0),$B$174,""),"")</f>
        <v/>
      </c>
      <c r="I584" s="218" t="str">
        <f>IFERROR(IF(AND(organisation_type="yes",VALUE(INDEX(MfC_pers_ac_inst[Amount],A584))&gt;0,ISBLANK(INDEX(MfC_pers_ac_inst[Organisation type],A584))),$B$175,""),"")</f>
        <v/>
      </c>
      <c r="J584" s="218" t="str">
        <f>IFERROR(IF(AND(organisation_name="yes",VALUE(INDEX(MfC_pers_ac_inst[Amount],A584))&gt;0,ISBLANK(INDEX(MfC_pers_ac_inst[Name organisation],A584)),Tabel33[organisation type]=""),$B$176,""),"")</f>
        <v/>
      </c>
    </row>
    <row r="585" spans="1:10" outlineLevel="1" x14ac:dyDescent="0.35">
      <c r="A585" s="317">
        <v>66</v>
      </c>
      <c r="B585" s="317" t="str">
        <f t="array" ref="B585">IFERROR(INDEX(Tabel33[[#This Row],[Empty line]:[organisation name]],1,MATCH(TRUE,LEN(Tabel33[[#This Row],[Empty line]:[organisation name]])&gt;0,0)),"")</f>
        <v/>
      </c>
      <c r="C585" s="195" t="str">
        <f>IFERROR(IF(AND(LEN(INDEX(MfC_pers_ac_inst[Category],$A585))+LEN(INDEX(MfC_pers_ac_inst[FTE],$A585))+LEN(INDEX(MfC_pers_ac_inst[Months],$A585))+LEN(INDEX(MfC_pers_ac_inst[Country],$A585))&gt;0,LEN(INDEX(MfC_pers_ac_inst[Category],$A585-1))+LEN(INDEX(MfC_pers_ac_inst[FTE],$A585-1))+LEN(INDEX(MfC_pers_ac_inst[Months],$A585-1))+LEN(INDEX(MfC_pers_ac_inst[Country],$A585-1))=0),$B$127,""),"")</f>
        <v/>
      </c>
      <c r="D585" s="195" t="str">
        <f>IFERROR(IF(AND(INDEX(MfC_pers_ac_inst[Category]="",$A585),OR(INDEX(MfC_pers_ac_inst[FTE],$A585)&gt;0,INDEX(MfC_pers_ac_inst[Months],$A585)&gt;0,INDEX(MfC_pers_ac_inst[Costs],$A585)&gt;0,LEN(INDEX(MfC_pers_ac_inst[Country],$A585))&gt;0)),$B$171,""),"")</f>
        <v/>
      </c>
      <c r="E585" s="195" t="e">
        <f>IF(AND(INDEX(MfC_pers_ac_inst[Category],A585)&lt;&gt;"",OR(INDEX(MfC_pers_ac_inst[FTE],A585)&lt;=0,INDEX(MfC_pers_ac_inst[Months],A585)&lt;=0)),INDEX(salaries_academic[],MATCH(INDEX(MfC_pers_ac_inst[Category],A585),salaries_academic[category],0),2),"")</f>
        <v>#REF!</v>
      </c>
      <c r="F585" s="195" t="str">
        <f>IFERROR(IF(Tabel33[Instruction]="",IF(AND(INDEX(MfC_pers_ac_inst[Country]="",A585),OR(INDEX(MfC_pers_ac_inst[Category],A585)&lt;&gt;"",INDEX(MfC_pers_ac_inst[FTE],A585)&gt;0,INDEX(MfC_pers_ac_inst[Months],A585)&gt;0,INDEX(MfC_pers_ac_inst[Costs],A585)&gt;0,LEN(INDEX(MfC_pers_ac_inst[Country],A585))&gt;0)),$B$173,""),""),"")</f>
        <v/>
      </c>
      <c r="G585" s="195" t="e">
        <f>IF(AND(Tabel33[Instruction]="",Tabel33[Country not specified]=""),IF(AND(INDEX(MfC_pers_ac_inst[Category],A585)&lt;&gt;"",INDEX(MfC_pers_ac_inst[Costs],A585)&lt;=0),IF(INDEX(salaries_academic[],MATCH(INDEX(MfC_pers_ac_inst[Category],A585),salaries_academic[category],0),3)="",$B$172,""),""),"")</f>
        <v>#REF!</v>
      </c>
      <c r="H585" s="218" t="str">
        <f>IFERROR(IF(AND(INDEX(salaries_academic[],MATCH(INDEX(MfC_pers_ac_inst[Category],A585),salaries_academic[category],0),3)&gt;0,INDEX(MfC_pers_ac_inst[Costs],A585)&gt;0),$B$174,""),"")</f>
        <v/>
      </c>
      <c r="I585" s="218" t="str">
        <f>IFERROR(IF(AND(organisation_type="yes",VALUE(INDEX(MfC_pers_ac_inst[Amount],A585))&gt;0,ISBLANK(INDEX(MfC_pers_ac_inst[Organisation type],A585))),$B$175,""),"")</f>
        <v/>
      </c>
      <c r="J585" s="218" t="str">
        <f>IFERROR(IF(AND(organisation_name="yes",VALUE(INDEX(MfC_pers_ac_inst[Amount],A585))&gt;0,ISBLANK(INDEX(MfC_pers_ac_inst[Name organisation],A585)),Tabel33[organisation type]=""),$B$176,""),"")</f>
        <v/>
      </c>
    </row>
    <row r="586" spans="1:10" outlineLevel="1" x14ac:dyDescent="0.35">
      <c r="A586" s="317">
        <v>67</v>
      </c>
      <c r="B586" s="317" t="str">
        <f t="array" ref="B586">IFERROR(INDEX(Tabel33[[#This Row],[Empty line]:[organisation name]],1,MATCH(TRUE,LEN(Tabel33[[#This Row],[Empty line]:[organisation name]])&gt;0,0)),"")</f>
        <v/>
      </c>
      <c r="C586" s="195" t="str">
        <f>IFERROR(IF(AND(LEN(INDEX(MfC_pers_ac_inst[Category],$A586))+LEN(INDEX(MfC_pers_ac_inst[FTE],$A586))+LEN(INDEX(MfC_pers_ac_inst[Months],$A586))+LEN(INDEX(MfC_pers_ac_inst[Country],$A586))&gt;0,LEN(INDEX(MfC_pers_ac_inst[Category],$A586-1))+LEN(INDEX(MfC_pers_ac_inst[FTE],$A586-1))+LEN(INDEX(MfC_pers_ac_inst[Months],$A586-1))+LEN(INDEX(MfC_pers_ac_inst[Country],$A586-1))=0),$B$127,""),"")</f>
        <v/>
      </c>
      <c r="D586" s="195" t="str">
        <f>IFERROR(IF(AND(INDEX(MfC_pers_ac_inst[Category]="",$A586),OR(INDEX(MfC_pers_ac_inst[FTE],$A586)&gt;0,INDEX(MfC_pers_ac_inst[Months],$A586)&gt;0,INDEX(MfC_pers_ac_inst[Costs],$A586)&gt;0,LEN(INDEX(MfC_pers_ac_inst[Country],$A586))&gt;0)),$B$171,""),"")</f>
        <v/>
      </c>
      <c r="E586" s="195" t="e">
        <f>IF(AND(INDEX(MfC_pers_ac_inst[Category],A586)&lt;&gt;"",OR(INDEX(MfC_pers_ac_inst[FTE],A586)&lt;=0,INDEX(MfC_pers_ac_inst[Months],A586)&lt;=0)),INDEX(salaries_academic[],MATCH(INDEX(MfC_pers_ac_inst[Category],A586),salaries_academic[category],0),2),"")</f>
        <v>#REF!</v>
      </c>
      <c r="F586" s="195" t="str">
        <f>IFERROR(IF(Tabel33[Instruction]="",IF(AND(INDEX(MfC_pers_ac_inst[Country]="",A586),OR(INDEX(MfC_pers_ac_inst[Category],A586)&lt;&gt;"",INDEX(MfC_pers_ac_inst[FTE],A586)&gt;0,INDEX(MfC_pers_ac_inst[Months],A586)&gt;0,INDEX(MfC_pers_ac_inst[Costs],A586)&gt;0,LEN(INDEX(MfC_pers_ac_inst[Country],A586))&gt;0)),$B$173,""),""),"")</f>
        <v/>
      </c>
      <c r="G586" s="195" t="e">
        <f>IF(AND(Tabel33[Instruction]="",Tabel33[Country not specified]=""),IF(AND(INDEX(MfC_pers_ac_inst[Category],A586)&lt;&gt;"",INDEX(MfC_pers_ac_inst[Costs],A586)&lt;=0),IF(INDEX(salaries_academic[],MATCH(INDEX(MfC_pers_ac_inst[Category],A586),salaries_academic[category],0),3)="",$B$172,""),""),"")</f>
        <v>#REF!</v>
      </c>
      <c r="H586" s="218" t="str">
        <f>IFERROR(IF(AND(INDEX(salaries_academic[],MATCH(INDEX(MfC_pers_ac_inst[Category],A586),salaries_academic[category],0),3)&gt;0,INDEX(MfC_pers_ac_inst[Costs],A586)&gt;0),$B$174,""),"")</f>
        <v/>
      </c>
      <c r="I586" s="218" t="str">
        <f>IFERROR(IF(AND(organisation_type="yes",VALUE(INDEX(MfC_pers_ac_inst[Amount],A586))&gt;0,ISBLANK(INDEX(MfC_pers_ac_inst[Organisation type],A586))),$B$175,""),"")</f>
        <v/>
      </c>
      <c r="J586" s="218" t="str">
        <f>IFERROR(IF(AND(organisation_name="yes",VALUE(INDEX(MfC_pers_ac_inst[Amount],A586))&gt;0,ISBLANK(INDEX(MfC_pers_ac_inst[Name organisation],A586)),Tabel33[organisation type]=""),$B$176,""),"")</f>
        <v/>
      </c>
    </row>
    <row r="587" spans="1:10" outlineLevel="1" x14ac:dyDescent="0.35">
      <c r="A587" s="317">
        <v>68</v>
      </c>
      <c r="B587" s="317" t="str">
        <f t="array" ref="B587">IFERROR(INDEX(Tabel33[[#This Row],[Empty line]:[organisation name]],1,MATCH(TRUE,LEN(Tabel33[[#This Row],[Empty line]:[organisation name]])&gt;0,0)),"")</f>
        <v/>
      </c>
      <c r="C587" s="195" t="str">
        <f>IFERROR(IF(AND(LEN(INDEX(MfC_pers_ac_inst[Category],$A587))+LEN(INDEX(MfC_pers_ac_inst[FTE],$A587))+LEN(INDEX(MfC_pers_ac_inst[Months],$A587))+LEN(INDEX(MfC_pers_ac_inst[Country],$A587))&gt;0,LEN(INDEX(MfC_pers_ac_inst[Category],$A587-1))+LEN(INDEX(MfC_pers_ac_inst[FTE],$A587-1))+LEN(INDEX(MfC_pers_ac_inst[Months],$A587-1))+LEN(INDEX(MfC_pers_ac_inst[Country],$A587-1))=0),$B$127,""),"")</f>
        <v/>
      </c>
      <c r="D587" s="195" t="str">
        <f>IFERROR(IF(AND(INDEX(MfC_pers_ac_inst[Category]="",$A587),OR(INDEX(MfC_pers_ac_inst[FTE],$A587)&gt;0,INDEX(MfC_pers_ac_inst[Months],$A587)&gt;0,INDEX(MfC_pers_ac_inst[Costs],$A587)&gt;0,LEN(INDEX(MfC_pers_ac_inst[Country],$A587))&gt;0)),$B$171,""),"")</f>
        <v/>
      </c>
      <c r="E587" s="195" t="e">
        <f>IF(AND(INDEX(MfC_pers_ac_inst[Category],A587)&lt;&gt;"",OR(INDEX(MfC_pers_ac_inst[FTE],A587)&lt;=0,INDEX(MfC_pers_ac_inst[Months],A587)&lt;=0)),INDEX(salaries_academic[],MATCH(INDEX(MfC_pers_ac_inst[Category],A587),salaries_academic[category],0),2),"")</f>
        <v>#REF!</v>
      </c>
      <c r="F587" s="195" t="str">
        <f>IFERROR(IF(Tabel33[Instruction]="",IF(AND(INDEX(MfC_pers_ac_inst[Country]="",A587),OR(INDEX(MfC_pers_ac_inst[Category],A587)&lt;&gt;"",INDEX(MfC_pers_ac_inst[FTE],A587)&gt;0,INDEX(MfC_pers_ac_inst[Months],A587)&gt;0,INDEX(MfC_pers_ac_inst[Costs],A587)&gt;0,LEN(INDEX(MfC_pers_ac_inst[Country],A587))&gt;0)),$B$173,""),""),"")</f>
        <v/>
      </c>
      <c r="G587" s="195" t="e">
        <f>IF(AND(Tabel33[Instruction]="",Tabel33[Country not specified]=""),IF(AND(INDEX(MfC_pers_ac_inst[Category],A587)&lt;&gt;"",INDEX(MfC_pers_ac_inst[Costs],A587)&lt;=0),IF(INDEX(salaries_academic[],MATCH(INDEX(MfC_pers_ac_inst[Category],A587),salaries_academic[category],0),3)="",$B$172,""),""),"")</f>
        <v>#REF!</v>
      </c>
      <c r="H587" s="218" t="str">
        <f>IFERROR(IF(AND(INDEX(salaries_academic[],MATCH(INDEX(MfC_pers_ac_inst[Category],A587),salaries_academic[category],0),3)&gt;0,INDEX(MfC_pers_ac_inst[Costs],A587)&gt;0),$B$174,""),"")</f>
        <v/>
      </c>
      <c r="I587" s="218" t="str">
        <f>IFERROR(IF(AND(organisation_type="yes",VALUE(INDEX(MfC_pers_ac_inst[Amount],A587))&gt;0,ISBLANK(INDEX(MfC_pers_ac_inst[Organisation type],A587))),$B$175,""),"")</f>
        <v/>
      </c>
      <c r="J587" s="218" t="str">
        <f>IFERROR(IF(AND(organisation_name="yes",VALUE(INDEX(MfC_pers_ac_inst[Amount],A587))&gt;0,ISBLANK(INDEX(MfC_pers_ac_inst[Name organisation],A587)),Tabel33[organisation type]=""),$B$176,""),"")</f>
        <v/>
      </c>
    </row>
    <row r="588" spans="1:10" outlineLevel="1" x14ac:dyDescent="0.35">
      <c r="A588" s="317">
        <v>69</v>
      </c>
      <c r="B588" s="317" t="str">
        <f t="array" ref="B588">IFERROR(INDEX(Tabel33[[#This Row],[Empty line]:[organisation name]],1,MATCH(TRUE,LEN(Tabel33[[#This Row],[Empty line]:[organisation name]])&gt;0,0)),"")</f>
        <v/>
      </c>
      <c r="C588" s="195" t="str">
        <f>IFERROR(IF(AND(LEN(INDEX(MfC_pers_ac_inst[Category],$A588))+LEN(INDEX(MfC_pers_ac_inst[FTE],$A588))+LEN(INDEX(MfC_pers_ac_inst[Months],$A588))+LEN(INDEX(MfC_pers_ac_inst[Country],$A588))&gt;0,LEN(INDEX(MfC_pers_ac_inst[Category],$A588-1))+LEN(INDEX(MfC_pers_ac_inst[FTE],$A588-1))+LEN(INDEX(MfC_pers_ac_inst[Months],$A588-1))+LEN(INDEX(MfC_pers_ac_inst[Country],$A588-1))=0),$B$127,""),"")</f>
        <v/>
      </c>
      <c r="D588" s="195" t="str">
        <f>IFERROR(IF(AND(INDEX(MfC_pers_ac_inst[Category]="",$A588),OR(INDEX(MfC_pers_ac_inst[FTE],$A588)&gt;0,INDEX(MfC_pers_ac_inst[Months],$A588)&gt;0,INDEX(MfC_pers_ac_inst[Costs],$A588)&gt;0,LEN(INDEX(MfC_pers_ac_inst[Country],$A588))&gt;0)),$B$171,""),"")</f>
        <v/>
      </c>
      <c r="E588" s="195" t="e">
        <f>IF(AND(INDEX(MfC_pers_ac_inst[Category],A588)&lt;&gt;"",OR(INDEX(MfC_pers_ac_inst[FTE],A588)&lt;=0,INDEX(MfC_pers_ac_inst[Months],A588)&lt;=0)),INDEX(salaries_academic[],MATCH(INDEX(MfC_pers_ac_inst[Category],A588),salaries_academic[category],0),2),"")</f>
        <v>#REF!</v>
      </c>
      <c r="F588" s="195" t="str">
        <f>IFERROR(IF(Tabel33[Instruction]="",IF(AND(INDEX(MfC_pers_ac_inst[Country]="",A588),OR(INDEX(MfC_pers_ac_inst[Category],A588)&lt;&gt;"",INDEX(MfC_pers_ac_inst[FTE],A588)&gt;0,INDEX(MfC_pers_ac_inst[Months],A588)&gt;0,INDEX(MfC_pers_ac_inst[Costs],A588)&gt;0,LEN(INDEX(MfC_pers_ac_inst[Country],A588))&gt;0)),$B$173,""),""),"")</f>
        <v/>
      </c>
      <c r="G588" s="195" t="e">
        <f>IF(AND(Tabel33[Instruction]="",Tabel33[Country not specified]=""),IF(AND(INDEX(MfC_pers_ac_inst[Category],A588)&lt;&gt;"",INDEX(MfC_pers_ac_inst[Costs],A588)&lt;=0),IF(INDEX(salaries_academic[],MATCH(INDEX(MfC_pers_ac_inst[Category],A588),salaries_academic[category],0),3)="",$B$172,""),""),"")</f>
        <v>#REF!</v>
      </c>
      <c r="H588" s="218" t="str">
        <f>IFERROR(IF(AND(INDEX(salaries_academic[],MATCH(INDEX(MfC_pers_ac_inst[Category],A588),salaries_academic[category],0),3)&gt;0,INDEX(MfC_pers_ac_inst[Costs],A588)&gt;0),$B$174,""),"")</f>
        <v/>
      </c>
      <c r="I588" s="218" t="str">
        <f>IFERROR(IF(AND(organisation_type="yes",VALUE(INDEX(MfC_pers_ac_inst[Amount],A588))&gt;0,ISBLANK(INDEX(MfC_pers_ac_inst[Organisation type],A588))),$B$175,""),"")</f>
        <v/>
      </c>
      <c r="J588" s="218" t="str">
        <f>IFERROR(IF(AND(organisation_name="yes",VALUE(INDEX(MfC_pers_ac_inst[Amount],A588))&gt;0,ISBLANK(INDEX(MfC_pers_ac_inst[Name organisation],A588)),Tabel33[organisation type]=""),$B$176,""),"")</f>
        <v/>
      </c>
    </row>
    <row r="589" spans="1:10" outlineLevel="1" x14ac:dyDescent="0.35">
      <c r="A589" s="317">
        <v>70</v>
      </c>
      <c r="B589" s="317" t="str">
        <f t="array" ref="B589">IFERROR(INDEX(Tabel33[[#This Row],[Empty line]:[organisation name]],1,MATCH(TRUE,LEN(Tabel33[[#This Row],[Empty line]:[organisation name]])&gt;0,0)),"")</f>
        <v/>
      </c>
      <c r="C589" s="195" t="str">
        <f>IFERROR(IF(AND(LEN(INDEX(MfC_pers_ac_inst[Category],$A589))+LEN(INDEX(MfC_pers_ac_inst[FTE],$A589))+LEN(INDEX(MfC_pers_ac_inst[Months],$A589))+LEN(INDEX(MfC_pers_ac_inst[Country],$A589))&gt;0,LEN(INDEX(MfC_pers_ac_inst[Category],$A589-1))+LEN(INDEX(MfC_pers_ac_inst[FTE],$A589-1))+LEN(INDEX(MfC_pers_ac_inst[Months],$A589-1))+LEN(INDEX(MfC_pers_ac_inst[Country],$A589-1))=0),$B$127,""),"")</f>
        <v/>
      </c>
      <c r="D589" s="195" t="str">
        <f>IFERROR(IF(AND(INDEX(MfC_pers_ac_inst[Category]="",$A589),OR(INDEX(MfC_pers_ac_inst[FTE],$A589)&gt;0,INDEX(MfC_pers_ac_inst[Months],$A589)&gt;0,INDEX(MfC_pers_ac_inst[Costs],$A589)&gt;0,LEN(INDEX(MfC_pers_ac_inst[Country],$A589))&gt;0)),$B$171,""),"")</f>
        <v/>
      </c>
      <c r="E589" s="195" t="e">
        <f>IF(AND(INDEX(MfC_pers_ac_inst[Category],A589)&lt;&gt;"",OR(INDEX(MfC_pers_ac_inst[FTE],A589)&lt;=0,INDEX(MfC_pers_ac_inst[Months],A589)&lt;=0)),INDEX(salaries_academic[],MATCH(INDEX(MfC_pers_ac_inst[Category],A589),salaries_academic[category],0),2),"")</f>
        <v>#REF!</v>
      </c>
      <c r="F589" s="195" t="str">
        <f>IFERROR(IF(Tabel33[Instruction]="",IF(AND(INDEX(MfC_pers_ac_inst[Country]="",A589),OR(INDEX(MfC_pers_ac_inst[Category],A589)&lt;&gt;"",INDEX(MfC_pers_ac_inst[FTE],A589)&gt;0,INDEX(MfC_pers_ac_inst[Months],A589)&gt;0,INDEX(MfC_pers_ac_inst[Costs],A589)&gt;0,LEN(INDEX(MfC_pers_ac_inst[Country],A589))&gt;0)),$B$173,""),""),"")</f>
        <v/>
      </c>
      <c r="G589" s="195" t="e">
        <f>IF(AND(Tabel33[Instruction]="",Tabel33[Country not specified]=""),IF(AND(INDEX(MfC_pers_ac_inst[Category],A589)&lt;&gt;"",INDEX(MfC_pers_ac_inst[Costs],A589)&lt;=0),IF(INDEX(salaries_academic[],MATCH(INDEX(MfC_pers_ac_inst[Category],A589),salaries_academic[category],0),3)="",$B$172,""),""),"")</f>
        <v>#REF!</v>
      </c>
      <c r="H589" s="218" t="str">
        <f>IFERROR(IF(AND(INDEX(salaries_academic[],MATCH(INDEX(MfC_pers_ac_inst[Category],A589),salaries_academic[category],0),3)&gt;0,INDEX(MfC_pers_ac_inst[Costs],A589)&gt;0),$B$174,""),"")</f>
        <v/>
      </c>
      <c r="I589" s="218" t="str">
        <f>IFERROR(IF(AND(organisation_type="yes",VALUE(INDEX(MfC_pers_ac_inst[Amount],A589))&gt;0,ISBLANK(INDEX(MfC_pers_ac_inst[Organisation type],A589))),$B$175,""),"")</f>
        <v/>
      </c>
      <c r="J589" s="218" t="str">
        <f>IFERROR(IF(AND(organisation_name="yes",VALUE(INDEX(MfC_pers_ac_inst[Amount],A589))&gt;0,ISBLANK(INDEX(MfC_pers_ac_inst[Name organisation],A589)),Tabel33[organisation type]=""),$B$176,""),"")</f>
        <v/>
      </c>
    </row>
    <row r="590" spans="1:10" outlineLevel="1" x14ac:dyDescent="0.35">
      <c r="A590" s="317">
        <v>71</v>
      </c>
      <c r="B590" s="317" t="str">
        <f t="array" ref="B590">IFERROR(INDEX(Tabel33[[#This Row],[Empty line]:[organisation name]],1,MATCH(TRUE,LEN(Tabel33[[#This Row],[Empty line]:[organisation name]])&gt;0,0)),"")</f>
        <v/>
      </c>
      <c r="C590" s="195" t="str">
        <f>IFERROR(IF(AND(LEN(INDEX(MfC_pers_ac_inst[Category],$A590))+LEN(INDEX(MfC_pers_ac_inst[FTE],$A590))+LEN(INDEX(MfC_pers_ac_inst[Months],$A590))+LEN(INDEX(MfC_pers_ac_inst[Country],$A590))&gt;0,LEN(INDEX(MfC_pers_ac_inst[Category],$A590-1))+LEN(INDEX(MfC_pers_ac_inst[FTE],$A590-1))+LEN(INDEX(MfC_pers_ac_inst[Months],$A590-1))+LEN(INDEX(MfC_pers_ac_inst[Country],$A590-1))=0),$B$127,""),"")</f>
        <v/>
      </c>
      <c r="D590" s="195" t="str">
        <f>IFERROR(IF(AND(INDEX(MfC_pers_ac_inst[Category]="",$A590),OR(INDEX(MfC_pers_ac_inst[FTE],$A590)&gt;0,INDEX(MfC_pers_ac_inst[Months],$A590)&gt;0,INDEX(MfC_pers_ac_inst[Costs],$A590)&gt;0,LEN(INDEX(MfC_pers_ac_inst[Country],$A590))&gt;0)),$B$171,""),"")</f>
        <v/>
      </c>
      <c r="E590" s="195" t="e">
        <f>IF(AND(INDEX(MfC_pers_ac_inst[Category],A590)&lt;&gt;"",OR(INDEX(MfC_pers_ac_inst[FTE],A590)&lt;=0,INDEX(MfC_pers_ac_inst[Months],A590)&lt;=0)),INDEX(salaries_academic[],MATCH(INDEX(MfC_pers_ac_inst[Category],A590),salaries_academic[category],0),2),"")</f>
        <v>#REF!</v>
      </c>
      <c r="F590" s="195" t="str">
        <f>IFERROR(IF(Tabel33[Instruction]="",IF(AND(INDEX(MfC_pers_ac_inst[Country]="",A590),OR(INDEX(MfC_pers_ac_inst[Category],A590)&lt;&gt;"",INDEX(MfC_pers_ac_inst[FTE],A590)&gt;0,INDEX(MfC_pers_ac_inst[Months],A590)&gt;0,INDEX(MfC_pers_ac_inst[Costs],A590)&gt;0,LEN(INDEX(MfC_pers_ac_inst[Country],A590))&gt;0)),$B$173,""),""),"")</f>
        <v/>
      </c>
      <c r="G590" s="195" t="e">
        <f>IF(AND(Tabel33[Instruction]="",Tabel33[Country not specified]=""),IF(AND(INDEX(MfC_pers_ac_inst[Category],A590)&lt;&gt;"",INDEX(MfC_pers_ac_inst[Costs],A590)&lt;=0),IF(INDEX(salaries_academic[],MATCH(INDEX(MfC_pers_ac_inst[Category],A590),salaries_academic[category],0),3)="",$B$172,""),""),"")</f>
        <v>#REF!</v>
      </c>
      <c r="H590" s="218" t="str">
        <f>IFERROR(IF(AND(INDEX(salaries_academic[],MATCH(INDEX(MfC_pers_ac_inst[Category],A590),salaries_academic[category],0),3)&gt;0,INDEX(MfC_pers_ac_inst[Costs],A590)&gt;0),$B$174,""),"")</f>
        <v/>
      </c>
      <c r="I590" s="218" t="str">
        <f>IFERROR(IF(AND(organisation_type="yes",VALUE(INDEX(MfC_pers_ac_inst[Amount],A590))&gt;0,ISBLANK(INDEX(MfC_pers_ac_inst[Organisation type],A590))),$B$175,""),"")</f>
        <v/>
      </c>
      <c r="J590" s="218" t="str">
        <f>IFERROR(IF(AND(organisation_name="yes",VALUE(INDEX(MfC_pers_ac_inst[Amount],A590))&gt;0,ISBLANK(INDEX(MfC_pers_ac_inst[Name organisation],A590)),Tabel33[organisation type]=""),$B$176,""),"")</f>
        <v/>
      </c>
    </row>
    <row r="591" spans="1:10" outlineLevel="1" x14ac:dyDescent="0.35">
      <c r="A591" s="317">
        <v>72</v>
      </c>
      <c r="B591" s="317" t="str">
        <f t="array" ref="B591">IFERROR(INDEX(Tabel33[[#This Row],[Empty line]:[organisation name]],1,MATCH(TRUE,LEN(Tabel33[[#This Row],[Empty line]:[organisation name]])&gt;0,0)),"")</f>
        <v/>
      </c>
      <c r="C591" s="195" t="str">
        <f>IFERROR(IF(AND(LEN(INDEX(MfC_pers_ac_inst[Category],$A591))+LEN(INDEX(MfC_pers_ac_inst[FTE],$A591))+LEN(INDEX(MfC_pers_ac_inst[Months],$A591))+LEN(INDEX(MfC_pers_ac_inst[Country],$A591))&gt;0,LEN(INDEX(MfC_pers_ac_inst[Category],$A591-1))+LEN(INDEX(MfC_pers_ac_inst[FTE],$A591-1))+LEN(INDEX(MfC_pers_ac_inst[Months],$A591-1))+LEN(INDEX(MfC_pers_ac_inst[Country],$A591-1))=0),$B$127,""),"")</f>
        <v/>
      </c>
      <c r="D591" s="195" t="str">
        <f>IFERROR(IF(AND(INDEX(MfC_pers_ac_inst[Category]="",$A591),OR(INDEX(MfC_pers_ac_inst[FTE],$A591)&gt;0,INDEX(MfC_pers_ac_inst[Months],$A591)&gt;0,INDEX(MfC_pers_ac_inst[Costs],$A591)&gt;0,LEN(INDEX(MfC_pers_ac_inst[Country],$A591))&gt;0)),$B$171,""),"")</f>
        <v/>
      </c>
      <c r="E591" s="195" t="e">
        <f>IF(AND(INDEX(MfC_pers_ac_inst[Category],A591)&lt;&gt;"",OR(INDEX(MfC_pers_ac_inst[FTE],A591)&lt;=0,INDEX(MfC_pers_ac_inst[Months],A591)&lt;=0)),INDEX(salaries_academic[],MATCH(INDEX(MfC_pers_ac_inst[Category],A591),salaries_academic[category],0),2),"")</f>
        <v>#REF!</v>
      </c>
      <c r="F591" s="195" t="str">
        <f>IFERROR(IF(Tabel33[Instruction]="",IF(AND(INDEX(MfC_pers_ac_inst[Country]="",A591),OR(INDEX(MfC_pers_ac_inst[Category],A591)&lt;&gt;"",INDEX(MfC_pers_ac_inst[FTE],A591)&gt;0,INDEX(MfC_pers_ac_inst[Months],A591)&gt;0,INDEX(MfC_pers_ac_inst[Costs],A591)&gt;0,LEN(INDEX(MfC_pers_ac_inst[Country],A591))&gt;0)),$B$173,""),""),"")</f>
        <v/>
      </c>
      <c r="G591" s="195" t="e">
        <f>IF(AND(Tabel33[Instruction]="",Tabel33[Country not specified]=""),IF(AND(INDEX(MfC_pers_ac_inst[Category],A591)&lt;&gt;"",INDEX(MfC_pers_ac_inst[Costs],A591)&lt;=0),IF(INDEX(salaries_academic[],MATCH(INDEX(MfC_pers_ac_inst[Category],A591),salaries_academic[category],0),3)="",$B$172,""),""),"")</f>
        <v>#REF!</v>
      </c>
      <c r="H591" s="218" t="str">
        <f>IFERROR(IF(AND(INDEX(salaries_academic[],MATCH(INDEX(MfC_pers_ac_inst[Category],A591),salaries_academic[category],0),3)&gt;0,INDEX(MfC_pers_ac_inst[Costs],A591)&gt;0),$B$174,""),"")</f>
        <v/>
      </c>
      <c r="I591" s="218" t="str">
        <f>IFERROR(IF(AND(organisation_type="yes",VALUE(INDEX(MfC_pers_ac_inst[Amount],A591))&gt;0,ISBLANK(INDEX(MfC_pers_ac_inst[Organisation type],A591))),$B$175,""),"")</f>
        <v/>
      </c>
      <c r="J591" s="218" t="str">
        <f>IFERROR(IF(AND(organisation_name="yes",VALUE(INDEX(MfC_pers_ac_inst[Amount],A591))&gt;0,ISBLANK(INDEX(MfC_pers_ac_inst[Name organisation],A591)),Tabel33[organisation type]=""),$B$176,""),"")</f>
        <v/>
      </c>
    </row>
    <row r="592" spans="1:10" outlineLevel="1" x14ac:dyDescent="0.35">
      <c r="A592" s="317">
        <v>73</v>
      </c>
      <c r="B592" s="317" t="str">
        <f t="array" ref="B592">IFERROR(INDEX(Tabel33[[#This Row],[Empty line]:[organisation name]],1,MATCH(TRUE,LEN(Tabel33[[#This Row],[Empty line]:[organisation name]])&gt;0,0)),"")</f>
        <v/>
      </c>
      <c r="C592" s="195" t="str">
        <f>IFERROR(IF(AND(LEN(INDEX(MfC_pers_ac_inst[Category],$A592))+LEN(INDEX(MfC_pers_ac_inst[FTE],$A592))+LEN(INDEX(MfC_pers_ac_inst[Months],$A592))+LEN(INDEX(MfC_pers_ac_inst[Country],$A592))&gt;0,LEN(INDEX(MfC_pers_ac_inst[Category],$A592-1))+LEN(INDEX(MfC_pers_ac_inst[FTE],$A592-1))+LEN(INDEX(MfC_pers_ac_inst[Months],$A592-1))+LEN(INDEX(MfC_pers_ac_inst[Country],$A592-1))=0),$B$127,""),"")</f>
        <v/>
      </c>
      <c r="D592" s="195" t="str">
        <f>IFERROR(IF(AND(INDEX(MfC_pers_ac_inst[Category]="",$A592),OR(INDEX(MfC_pers_ac_inst[FTE],$A592)&gt;0,INDEX(MfC_pers_ac_inst[Months],$A592)&gt;0,INDEX(MfC_pers_ac_inst[Costs],$A592)&gt;0,LEN(INDEX(MfC_pers_ac_inst[Country],$A592))&gt;0)),$B$171,""),"")</f>
        <v/>
      </c>
      <c r="E592" s="195" t="e">
        <f>IF(AND(INDEX(MfC_pers_ac_inst[Category],A592)&lt;&gt;"",OR(INDEX(MfC_pers_ac_inst[FTE],A592)&lt;=0,INDEX(MfC_pers_ac_inst[Months],A592)&lt;=0)),INDEX(salaries_academic[],MATCH(INDEX(MfC_pers_ac_inst[Category],A592),salaries_academic[category],0),2),"")</f>
        <v>#REF!</v>
      </c>
      <c r="F592" s="195" t="str">
        <f>IFERROR(IF(Tabel33[Instruction]="",IF(AND(INDEX(MfC_pers_ac_inst[Country]="",A592),OR(INDEX(MfC_pers_ac_inst[Category],A592)&lt;&gt;"",INDEX(MfC_pers_ac_inst[FTE],A592)&gt;0,INDEX(MfC_pers_ac_inst[Months],A592)&gt;0,INDEX(MfC_pers_ac_inst[Costs],A592)&gt;0,LEN(INDEX(MfC_pers_ac_inst[Country],A592))&gt;0)),$B$173,""),""),"")</f>
        <v/>
      </c>
      <c r="G592" s="195" t="e">
        <f>IF(AND(Tabel33[Instruction]="",Tabel33[Country not specified]=""),IF(AND(INDEX(MfC_pers_ac_inst[Category],A592)&lt;&gt;"",INDEX(MfC_pers_ac_inst[Costs],A592)&lt;=0),IF(INDEX(salaries_academic[],MATCH(INDEX(MfC_pers_ac_inst[Category],A592),salaries_academic[category],0),3)="",$B$172,""),""),"")</f>
        <v>#REF!</v>
      </c>
      <c r="H592" s="218" t="str">
        <f>IFERROR(IF(AND(INDEX(salaries_academic[],MATCH(INDEX(MfC_pers_ac_inst[Category],A592),salaries_academic[category],0),3)&gt;0,INDEX(MfC_pers_ac_inst[Costs],A592)&gt;0),$B$174,""),"")</f>
        <v/>
      </c>
      <c r="I592" s="218" t="str">
        <f>IFERROR(IF(AND(organisation_type="yes",VALUE(INDEX(MfC_pers_ac_inst[Amount],A592))&gt;0,ISBLANK(INDEX(MfC_pers_ac_inst[Organisation type],A592))),$B$175,""),"")</f>
        <v/>
      </c>
      <c r="J592" s="218" t="str">
        <f>IFERROR(IF(AND(organisation_name="yes",VALUE(INDEX(MfC_pers_ac_inst[Amount],A592))&gt;0,ISBLANK(INDEX(MfC_pers_ac_inst[Name organisation],A592)),Tabel33[organisation type]=""),$B$176,""),"")</f>
        <v/>
      </c>
    </row>
    <row r="593" spans="1:10" outlineLevel="1" x14ac:dyDescent="0.35">
      <c r="A593" s="317">
        <v>74</v>
      </c>
      <c r="B593" s="317" t="str">
        <f t="array" ref="B593">IFERROR(INDEX(Tabel33[[#This Row],[Empty line]:[organisation name]],1,MATCH(TRUE,LEN(Tabel33[[#This Row],[Empty line]:[organisation name]])&gt;0,0)),"")</f>
        <v/>
      </c>
      <c r="C593" s="195" t="str">
        <f>IFERROR(IF(AND(LEN(INDEX(MfC_pers_ac_inst[Category],$A593))+LEN(INDEX(MfC_pers_ac_inst[FTE],$A593))+LEN(INDEX(MfC_pers_ac_inst[Months],$A593))+LEN(INDEX(MfC_pers_ac_inst[Country],$A593))&gt;0,LEN(INDEX(MfC_pers_ac_inst[Category],$A593-1))+LEN(INDEX(MfC_pers_ac_inst[FTE],$A593-1))+LEN(INDEX(MfC_pers_ac_inst[Months],$A593-1))+LEN(INDEX(MfC_pers_ac_inst[Country],$A593-1))=0),$B$127,""),"")</f>
        <v/>
      </c>
      <c r="D593" s="195" t="str">
        <f>IFERROR(IF(AND(INDEX(MfC_pers_ac_inst[Category]="",$A593),OR(INDEX(MfC_pers_ac_inst[FTE],$A593)&gt;0,INDEX(MfC_pers_ac_inst[Months],$A593)&gt;0,INDEX(MfC_pers_ac_inst[Costs],$A593)&gt;0,LEN(INDEX(MfC_pers_ac_inst[Country],$A593))&gt;0)),$B$171,""),"")</f>
        <v/>
      </c>
      <c r="E593" s="195" t="e">
        <f>IF(AND(INDEX(MfC_pers_ac_inst[Category],A593)&lt;&gt;"",OR(INDEX(MfC_pers_ac_inst[FTE],A593)&lt;=0,INDEX(MfC_pers_ac_inst[Months],A593)&lt;=0)),INDEX(salaries_academic[],MATCH(INDEX(MfC_pers_ac_inst[Category],A593),salaries_academic[category],0),2),"")</f>
        <v>#REF!</v>
      </c>
      <c r="F593" s="195" t="str">
        <f>IFERROR(IF(Tabel33[Instruction]="",IF(AND(INDEX(MfC_pers_ac_inst[Country]="",A593),OR(INDEX(MfC_pers_ac_inst[Category],A593)&lt;&gt;"",INDEX(MfC_pers_ac_inst[FTE],A593)&gt;0,INDEX(MfC_pers_ac_inst[Months],A593)&gt;0,INDEX(MfC_pers_ac_inst[Costs],A593)&gt;0,LEN(INDEX(MfC_pers_ac_inst[Country],A593))&gt;0)),$B$173,""),""),"")</f>
        <v/>
      </c>
      <c r="G593" s="195" t="e">
        <f>IF(AND(Tabel33[Instruction]="",Tabel33[Country not specified]=""),IF(AND(INDEX(MfC_pers_ac_inst[Category],A593)&lt;&gt;"",INDEX(MfC_pers_ac_inst[Costs],A593)&lt;=0),IF(INDEX(salaries_academic[],MATCH(INDEX(MfC_pers_ac_inst[Category],A593),salaries_academic[category],0),3)="",$B$172,""),""),"")</f>
        <v>#REF!</v>
      </c>
      <c r="H593" s="218" t="str">
        <f>IFERROR(IF(AND(INDEX(salaries_academic[],MATCH(INDEX(MfC_pers_ac_inst[Category],A593),salaries_academic[category],0),3)&gt;0,INDEX(MfC_pers_ac_inst[Costs],A593)&gt;0),$B$174,""),"")</f>
        <v/>
      </c>
      <c r="I593" s="218" t="str">
        <f>IFERROR(IF(AND(organisation_type="yes",VALUE(INDEX(MfC_pers_ac_inst[Amount],A593))&gt;0,ISBLANK(INDEX(MfC_pers_ac_inst[Organisation type],A593))),$B$175,""),"")</f>
        <v/>
      </c>
      <c r="J593" s="218" t="str">
        <f>IFERROR(IF(AND(organisation_name="yes",VALUE(INDEX(MfC_pers_ac_inst[Amount],A593))&gt;0,ISBLANK(INDEX(MfC_pers_ac_inst[Name organisation],A593)),Tabel33[organisation type]=""),$B$176,""),"")</f>
        <v/>
      </c>
    </row>
    <row r="594" spans="1:10" outlineLevel="1" x14ac:dyDescent="0.35">
      <c r="A594" s="317">
        <v>75</v>
      </c>
      <c r="B594" s="317" t="str">
        <f t="array" ref="B594">IFERROR(INDEX(Tabel33[[#This Row],[Empty line]:[organisation name]],1,MATCH(TRUE,LEN(Tabel33[[#This Row],[Empty line]:[organisation name]])&gt;0,0)),"")</f>
        <v/>
      </c>
      <c r="C594" s="195" t="str">
        <f>IFERROR(IF(AND(LEN(INDEX(MfC_pers_ac_inst[Category],$A594))+LEN(INDEX(MfC_pers_ac_inst[FTE],$A594))+LEN(INDEX(MfC_pers_ac_inst[Months],$A594))+LEN(INDEX(MfC_pers_ac_inst[Country],$A594))&gt;0,LEN(INDEX(MfC_pers_ac_inst[Category],$A594-1))+LEN(INDEX(MfC_pers_ac_inst[FTE],$A594-1))+LEN(INDEX(MfC_pers_ac_inst[Months],$A594-1))+LEN(INDEX(MfC_pers_ac_inst[Country],$A594-1))=0),$B$127,""),"")</f>
        <v/>
      </c>
      <c r="D594" s="195" t="str">
        <f>IFERROR(IF(AND(INDEX(MfC_pers_ac_inst[Category]="",$A594),OR(INDEX(MfC_pers_ac_inst[FTE],$A594)&gt;0,INDEX(MfC_pers_ac_inst[Months],$A594)&gt;0,INDEX(MfC_pers_ac_inst[Costs],$A594)&gt;0,LEN(INDEX(MfC_pers_ac_inst[Country],$A594))&gt;0)),$B$171,""),"")</f>
        <v/>
      </c>
      <c r="E594" s="195" t="e">
        <f>IF(AND(INDEX(MfC_pers_ac_inst[Category],A594)&lt;&gt;"",OR(INDEX(MfC_pers_ac_inst[FTE],A594)&lt;=0,INDEX(MfC_pers_ac_inst[Months],A594)&lt;=0)),INDEX(salaries_academic[],MATCH(INDEX(MfC_pers_ac_inst[Category],A594),salaries_academic[category],0),2),"")</f>
        <v>#REF!</v>
      </c>
      <c r="F594" s="195" t="str">
        <f>IFERROR(IF(Tabel33[Instruction]="",IF(AND(INDEX(MfC_pers_ac_inst[Country]="",A594),OR(INDEX(MfC_pers_ac_inst[Category],A594)&lt;&gt;"",INDEX(MfC_pers_ac_inst[FTE],A594)&gt;0,INDEX(MfC_pers_ac_inst[Months],A594)&gt;0,INDEX(MfC_pers_ac_inst[Costs],A594)&gt;0,LEN(INDEX(MfC_pers_ac_inst[Country],A594))&gt;0)),$B$173,""),""),"")</f>
        <v/>
      </c>
      <c r="G594" s="195" t="e">
        <f>IF(AND(Tabel33[Instruction]="",Tabel33[Country not specified]=""),IF(AND(INDEX(MfC_pers_ac_inst[Category],A594)&lt;&gt;"",INDEX(MfC_pers_ac_inst[Costs],A594)&lt;=0),IF(INDEX(salaries_academic[],MATCH(INDEX(MfC_pers_ac_inst[Category],A594),salaries_academic[category],0),3)="",$B$172,""),""),"")</f>
        <v>#REF!</v>
      </c>
      <c r="H594" s="218" t="str">
        <f>IFERROR(IF(AND(INDEX(salaries_academic[],MATCH(INDEX(MfC_pers_ac_inst[Category],A594),salaries_academic[category],0),3)&gt;0,INDEX(MfC_pers_ac_inst[Costs],A594)&gt;0),$B$174,""),"")</f>
        <v/>
      </c>
      <c r="I594" s="218" t="str">
        <f>IFERROR(IF(AND(organisation_type="yes",VALUE(INDEX(MfC_pers_ac_inst[Amount],A594))&gt;0,ISBLANK(INDEX(MfC_pers_ac_inst[Organisation type],A594))),$B$175,""),"")</f>
        <v/>
      </c>
      <c r="J594" s="218" t="str">
        <f>IFERROR(IF(AND(organisation_name="yes",VALUE(INDEX(MfC_pers_ac_inst[Amount],A594))&gt;0,ISBLANK(INDEX(MfC_pers_ac_inst[Name organisation],A594)),Tabel33[organisation type]=""),$B$176,""),"")</f>
        <v/>
      </c>
    </row>
    <row r="595" spans="1:10" outlineLevel="1" x14ac:dyDescent="0.35">
      <c r="A595" s="317">
        <v>76</v>
      </c>
      <c r="B595" s="317" t="str">
        <f t="array" ref="B595">IFERROR(INDEX(Tabel33[[#This Row],[Empty line]:[organisation name]],1,MATCH(TRUE,LEN(Tabel33[[#This Row],[Empty line]:[organisation name]])&gt;0,0)),"")</f>
        <v/>
      </c>
      <c r="C595" s="195" t="str">
        <f>IFERROR(IF(AND(LEN(INDEX(MfC_pers_ac_inst[Category],$A595))+LEN(INDEX(MfC_pers_ac_inst[FTE],$A595))+LEN(INDEX(MfC_pers_ac_inst[Months],$A595))+LEN(INDEX(MfC_pers_ac_inst[Country],$A595))&gt;0,LEN(INDEX(MfC_pers_ac_inst[Category],$A595-1))+LEN(INDEX(MfC_pers_ac_inst[FTE],$A595-1))+LEN(INDEX(MfC_pers_ac_inst[Months],$A595-1))+LEN(INDEX(MfC_pers_ac_inst[Country],$A595-1))=0),$B$127,""),"")</f>
        <v/>
      </c>
      <c r="D595" s="195" t="str">
        <f>IFERROR(IF(AND(INDEX(MfC_pers_ac_inst[Category]="",$A595),OR(INDEX(MfC_pers_ac_inst[FTE],$A595)&gt;0,INDEX(MfC_pers_ac_inst[Months],$A595)&gt;0,INDEX(MfC_pers_ac_inst[Costs],$A595)&gt;0,LEN(INDEX(MfC_pers_ac_inst[Country],$A595))&gt;0)),$B$171,""),"")</f>
        <v/>
      </c>
      <c r="E595" s="195" t="e">
        <f>IF(AND(INDEX(MfC_pers_ac_inst[Category],A595)&lt;&gt;"",OR(INDEX(MfC_pers_ac_inst[FTE],A595)&lt;=0,INDEX(MfC_pers_ac_inst[Months],A595)&lt;=0)),INDEX(salaries_academic[],MATCH(INDEX(MfC_pers_ac_inst[Category],A595),salaries_academic[category],0),2),"")</f>
        <v>#REF!</v>
      </c>
      <c r="F595" s="195" t="str">
        <f>IFERROR(IF(Tabel33[Instruction]="",IF(AND(INDEX(MfC_pers_ac_inst[Country]="",A595),OR(INDEX(MfC_pers_ac_inst[Category],A595)&lt;&gt;"",INDEX(MfC_pers_ac_inst[FTE],A595)&gt;0,INDEX(MfC_pers_ac_inst[Months],A595)&gt;0,INDEX(MfC_pers_ac_inst[Costs],A595)&gt;0,LEN(INDEX(MfC_pers_ac_inst[Country],A595))&gt;0)),$B$173,""),""),"")</f>
        <v/>
      </c>
      <c r="G595" s="195" t="e">
        <f>IF(AND(Tabel33[Instruction]="",Tabel33[Country not specified]=""),IF(AND(INDEX(MfC_pers_ac_inst[Category],A595)&lt;&gt;"",INDEX(MfC_pers_ac_inst[Costs],A595)&lt;=0),IF(INDEX(salaries_academic[],MATCH(INDEX(MfC_pers_ac_inst[Category],A595),salaries_academic[category],0),3)="",$B$172,""),""),"")</f>
        <v>#REF!</v>
      </c>
      <c r="H595" s="218" t="str">
        <f>IFERROR(IF(AND(INDEX(salaries_academic[],MATCH(INDEX(MfC_pers_ac_inst[Category],A595),salaries_academic[category],0),3)&gt;0,INDEX(MfC_pers_ac_inst[Costs],A595)&gt;0),$B$174,""),"")</f>
        <v/>
      </c>
      <c r="I595" s="218" t="str">
        <f>IFERROR(IF(AND(organisation_type="yes",VALUE(INDEX(MfC_pers_ac_inst[Amount],A595))&gt;0,ISBLANK(INDEX(MfC_pers_ac_inst[Organisation type],A595))),$B$175,""),"")</f>
        <v/>
      </c>
      <c r="J595" s="218" t="str">
        <f>IFERROR(IF(AND(organisation_name="yes",VALUE(INDEX(MfC_pers_ac_inst[Amount],A595))&gt;0,ISBLANK(INDEX(MfC_pers_ac_inst[Name organisation],A595)),Tabel33[organisation type]=""),$B$176,""),"")</f>
        <v/>
      </c>
    </row>
    <row r="596" spans="1:10" outlineLevel="1" x14ac:dyDescent="0.35">
      <c r="A596" s="317">
        <v>77</v>
      </c>
      <c r="B596" s="317" t="str">
        <f t="array" ref="B596">IFERROR(INDEX(Tabel33[[#This Row],[Empty line]:[organisation name]],1,MATCH(TRUE,LEN(Tabel33[[#This Row],[Empty line]:[organisation name]])&gt;0,0)),"")</f>
        <v/>
      </c>
      <c r="C596" s="195" t="str">
        <f>IFERROR(IF(AND(LEN(INDEX(MfC_pers_ac_inst[Category],$A596))+LEN(INDEX(MfC_pers_ac_inst[FTE],$A596))+LEN(INDEX(MfC_pers_ac_inst[Months],$A596))+LEN(INDEX(MfC_pers_ac_inst[Country],$A596))&gt;0,LEN(INDEX(MfC_pers_ac_inst[Category],$A596-1))+LEN(INDEX(MfC_pers_ac_inst[FTE],$A596-1))+LEN(INDEX(MfC_pers_ac_inst[Months],$A596-1))+LEN(INDEX(MfC_pers_ac_inst[Country],$A596-1))=0),$B$127,""),"")</f>
        <v/>
      </c>
      <c r="D596" s="195" t="str">
        <f>IFERROR(IF(AND(INDEX(MfC_pers_ac_inst[Category]="",$A596),OR(INDEX(MfC_pers_ac_inst[FTE],$A596)&gt;0,INDEX(MfC_pers_ac_inst[Months],$A596)&gt;0,INDEX(MfC_pers_ac_inst[Costs],$A596)&gt;0,LEN(INDEX(MfC_pers_ac_inst[Country],$A596))&gt;0)),$B$171,""),"")</f>
        <v/>
      </c>
      <c r="E596" s="195" t="e">
        <f>IF(AND(INDEX(MfC_pers_ac_inst[Category],A596)&lt;&gt;"",OR(INDEX(MfC_pers_ac_inst[FTE],A596)&lt;=0,INDEX(MfC_pers_ac_inst[Months],A596)&lt;=0)),INDEX(salaries_academic[],MATCH(INDEX(MfC_pers_ac_inst[Category],A596),salaries_academic[category],0),2),"")</f>
        <v>#REF!</v>
      </c>
      <c r="F596" s="195" t="str">
        <f>IFERROR(IF(Tabel33[Instruction]="",IF(AND(INDEX(MfC_pers_ac_inst[Country]="",A596),OR(INDEX(MfC_pers_ac_inst[Category],A596)&lt;&gt;"",INDEX(MfC_pers_ac_inst[FTE],A596)&gt;0,INDEX(MfC_pers_ac_inst[Months],A596)&gt;0,INDEX(MfC_pers_ac_inst[Costs],A596)&gt;0,LEN(INDEX(MfC_pers_ac_inst[Country],A596))&gt;0)),$B$173,""),""),"")</f>
        <v/>
      </c>
      <c r="G596" s="195" t="e">
        <f>IF(AND(Tabel33[Instruction]="",Tabel33[Country not specified]=""),IF(AND(INDEX(MfC_pers_ac_inst[Category],A596)&lt;&gt;"",INDEX(MfC_pers_ac_inst[Costs],A596)&lt;=0),IF(INDEX(salaries_academic[],MATCH(INDEX(MfC_pers_ac_inst[Category],A596),salaries_academic[category],0),3)="",$B$172,""),""),"")</f>
        <v>#REF!</v>
      </c>
      <c r="H596" s="218" t="str">
        <f>IFERROR(IF(AND(INDEX(salaries_academic[],MATCH(INDEX(MfC_pers_ac_inst[Category],A596),salaries_academic[category],0),3)&gt;0,INDEX(MfC_pers_ac_inst[Costs],A596)&gt;0),$B$174,""),"")</f>
        <v/>
      </c>
      <c r="I596" s="218" t="str">
        <f>IFERROR(IF(AND(organisation_type="yes",VALUE(INDEX(MfC_pers_ac_inst[Amount],A596))&gt;0,ISBLANK(INDEX(MfC_pers_ac_inst[Organisation type],A596))),$B$175,""),"")</f>
        <v/>
      </c>
      <c r="J596" s="218" t="str">
        <f>IFERROR(IF(AND(organisation_name="yes",VALUE(INDEX(MfC_pers_ac_inst[Amount],A596))&gt;0,ISBLANK(INDEX(MfC_pers_ac_inst[Name organisation],A596)),Tabel33[organisation type]=""),$B$176,""),"")</f>
        <v/>
      </c>
    </row>
    <row r="597" spans="1:10" outlineLevel="1" x14ac:dyDescent="0.35">
      <c r="A597" s="317">
        <v>78</v>
      </c>
      <c r="B597" s="317" t="str">
        <f t="array" ref="B597">IFERROR(INDEX(Tabel33[[#This Row],[Empty line]:[organisation name]],1,MATCH(TRUE,LEN(Tabel33[[#This Row],[Empty line]:[organisation name]])&gt;0,0)),"")</f>
        <v/>
      </c>
      <c r="C597" s="195" t="str">
        <f>IFERROR(IF(AND(LEN(INDEX(MfC_pers_ac_inst[Category],$A597))+LEN(INDEX(MfC_pers_ac_inst[FTE],$A597))+LEN(INDEX(MfC_pers_ac_inst[Months],$A597))+LEN(INDEX(MfC_pers_ac_inst[Country],$A597))&gt;0,LEN(INDEX(MfC_pers_ac_inst[Category],$A597-1))+LEN(INDEX(MfC_pers_ac_inst[FTE],$A597-1))+LEN(INDEX(MfC_pers_ac_inst[Months],$A597-1))+LEN(INDEX(MfC_pers_ac_inst[Country],$A597-1))=0),$B$127,""),"")</f>
        <v/>
      </c>
      <c r="D597" s="195" t="str">
        <f>IFERROR(IF(AND(INDEX(MfC_pers_ac_inst[Category]="",$A597),OR(INDEX(MfC_pers_ac_inst[FTE],$A597)&gt;0,INDEX(MfC_pers_ac_inst[Months],$A597)&gt;0,INDEX(MfC_pers_ac_inst[Costs],$A597)&gt;0,LEN(INDEX(MfC_pers_ac_inst[Country],$A597))&gt;0)),$B$171,""),"")</f>
        <v/>
      </c>
      <c r="E597" s="195" t="e">
        <f>IF(AND(INDEX(MfC_pers_ac_inst[Category],A597)&lt;&gt;"",OR(INDEX(MfC_pers_ac_inst[FTE],A597)&lt;=0,INDEX(MfC_pers_ac_inst[Months],A597)&lt;=0)),INDEX(salaries_academic[],MATCH(INDEX(MfC_pers_ac_inst[Category],A597),salaries_academic[category],0),2),"")</f>
        <v>#REF!</v>
      </c>
      <c r="F597" s="195" t="str">
        <f>IFERROR(IF(Tabel33[Instruction]="",IF(AND(INDEX(MfC_pers_ac_inst[Country]="",A597),OR(INDEX(MfC_pers_ac_inst[Category],A597)&lt;&gt;"",INDEX(MfC_pers_ac_inst[FTE],A597)&gt;0,INDEX(MfC_pers_ac_inst[Months],A597)&gt;0,INDEX(MfC_pers_ac_inst[Costs],A597)&gt;0,LEN(INDEX(MfC_pers_ac_inst[Country],A597))&gt;0)),$B$173,""),""),"")</f>
        <v/>
      </c>
      <c r="G597" s="195" t="e">
        <f>IF(AND(Tabel33[Instruction]="",Tabel33[Country not specified]=""),IF(AND(INDEX(MfC_pers_ac_inst[Category],A597)&lt;&gt;"",INDEX(MfC_pers_ac_inst[Costs],A597)&lt;=0),IF(INDEX(salaries_academic[],MATCH(INDEX(MfC_pers_ac_inst[Category],A597),salaries_academic[category],0),3)="",$B$172,""),""),"")</f>
        <v>#REF!</v>
      </c>
      <c r="H597" s="218" t="str">
        <f>IFERROR(IF(AND(INDEX(salaries_academic[],MATCH(INDEX(MfC_pers_ac_inst[Category],A597),salaries_academic[category],0),3)&gt;0,INDEX(MfC_pers_ac_inst[Costs],A597)&gt;0),$B$174,""),"")</f>
        <v/>
      </c>
      <c r="I597" s="218" t="str">
        <f>IFERROR(IF(AND(organisation_type="yes",VALUE(INDEX(MfC_pers_ac_inst[Amount],A597))&gt;0,ISBLANK(INDEX(MfC_pers_ac_inst[Organisation type],A597))),$B$175,""),"")</f>
        <v/>
      </c>
      <c r="J597" s="218" t="str">
        <f>IFERROR(IF(AND(organisation_name="yes",VALUE(INDEX(MfC_pers_ac_inst[Amount],A597))&gt;0,ISBLANK(INDEX(MfC_pers_ac_inst[Name organisation],A597)),Tabel33[organisation type]=""),$B$176,""),"")</f>
        <v/>
      </c>
    </row>
    <row r="598" spans="1:10" outlineLevel="1" x14ac:dyDescent="0.35">
      <c r="A598" s="317">
        <v>79</v>
      </c>
      <c r="B598" s="317" t="str">
        <f t="array" ref="B598">IFERROR(INDEX(Tabel33[[#This Row],[Empty line]:[organisation name]],1,MATCH(TRUE,LEN(Tabel33[[#This Row],[Empty line]:[organisation name]])&gt;0,0)),"")</f>
        <v/>
      </c>
      <c r="C598" s="195" t="str">
        <f>IFERROR(IF(AND(LEN(INDEX(MfC_pers_ac_inst[Category],$A598))+LEN(INDEX(MfC_pers_ac_inst[FTE],$A598))+LEN(INDEX(MfC_pers_ac_inst[Months],$A598))+LEN(INDEX(MfC_pers_ac_inst[Country],$A598))&gt;0,LEN(INDEX(MfC_pers_ac_inst[Category],$A598-1))+LEN(INDEX(MfC_pers_ac_inst[FTE],$A598-1))+LEN(INDEX(MfC_pers_ac_inst[Months],$A598-1))+LEN(INDEX(MfC_pers_ac_inst[Country],$A598-1))=0),$B$127,""),"")</f>
        <v/>
      </c>
      <c r="D598" s="195" t="str">
        <f>IFERROR(IF(AND(INDEX(MfC_pers_ac_inst[Category]="",$A598),OR(INDEX(MfC_pers_ac_inst[FTE],$A598)&gt;0,INDEX(MfC_pers_ac_inst[Months],$A598)&gt;0,INDEX(MfC_pers_ac_inst[Costs],$A598)&gt;0,LEN(INDEX(MfC_pers_ac_inst[Country],$A598))&gt;0)),$B$171,""),"")</f>
        <v/>
      </c>
      <c r="E598" s="195" t="e">
        <f>IF(AND(INDEX(MfC_pers_ac_inst[Category],A598)&lt;&gt;"",OR(INDEX(MfC_pers_ac_inst[FTE],A598)&lt;=0,INDEX(MfC_pers_ac_inst[Months],A598)&lt;=0)),INDEX(salaries_academic[],MATCH(INDEX(MfC_pers_ac_inst[Category],A598),salaries_academic[category],0),2),"")</f>
        <v>#REF!</v>
      </c>
      <c r="F598" s="195" t="str">
        <f>IFERROR(IF(Tabel33[Instruction]="",IF(AND(INDEX(MfC_pers_ac_inst[Country]="",A598),OR(INDEX(MfC_pers_ac_inst[Category],A598)&lt;&gt;"",INDEX(MfC_pers_ac_inst[FTE],A598)&gt;0,INDEX(MfC_pers_ac_inst[Months],A598)&gt;0,INDEX(MfC_pers_ac_inst[Costs],A598)&gt;0,LEN(INDEX(MfC_pers_ac_inst[Country],A598))&gt;0)),$B$173,""),""),"")</f>
        <v/>
      </c>
      <c r="G598" s="195" t="e">
        <f>IF(AND(Tabel33[Instruction]="",Tabel33[Country not specified]=""),IF(AND(INDEX(MfC_pers_ac_inst[Category],A598)&lt;&gt;"",INDEX(MfC_pers_ac_inst[Costs],A598)&lt;=0),IF(INDEX(salaries_academic[],MATCH(INDEX(MfC_pers_ac_inst[Category],A598),salaries_academic[category],0),3)="",$B$172,""),""),"")</f>
        <v>#REF!</v>
      </c>
      <c r="H598" s="218" t="str">
        <f>IFERROR(IF(AND(INDEX(salaries_academic[],MATCH(INDEX(MfC_pers_ac_inst[Category],A598),salaries_academic[category],0),3)&gt;0,INDEX(MfC_pers_ac_inst[Costs],A598)&gt;0),$B$174,""),"")</f>
        <v/>
      </c>
      <c r="I598" s="218" t="str">
        <f>IFERROR(IF(AND(organisation_type="yes",VALUE(INDEX(MfC_pers_ac_inst[Amount],A598))&gt;0,ISBLANK(INDEX(MfC_pers_ac_inst[Organisation type],A598))),$B$175,""),"")</f>
        <v/>
      </c>
      <c r="J598" s="218" t="str">
        <f>IFERROR(IF(AND(organisation_name="yes",VALUE(INDEX(MfC_pers_ac_inst[Amount],A598))&gt;0,ISBLANK(INDEX(MfC_pers_ac_inst[Name organisation],A598)),Tabel33[organisation type]=""),$B$176,""),"")</f>
        <v/>
      </c>
    </row>
    <row r="599" spans="1:10" outlineLevel="1" x14ac:dyDescent="0.35">
      <c r="A599" s="317">
        <v>80</v>
      </c>
      <c r="B599" s="317" t="str">
        <f t="array" ref="B599">IFERROR(INDEX(Tabel33[[#This Row],[Empty line]:[organisation name]],1,MATCH(TRUE,LEN(Tabel33[[#This Row],[Empty line]:[organisation name]])&gt;0,0)),"")</f>
        <v/>
      </c>
      <c r="C599" s="195" t="str">
        <f>IFERROR(IF(AND(LEN(INDEX(MfC_pers_ac_inst[Category],$A599))+LEN(INDEX(MfC_pers_ac_inst[FTE],$A599))+LEN(INDEX(MfC_pers_ac_inst[Months],$A599))+LEN(INDEX(MfC_pers_ac_inst[Country],$A599))&gt;0,LEN(INDEX(MfC_pers_ac_inst[Category],$A599-1))+LEN(INDEX(MfC_pers_ac_inst[FTE],$A599-1))+LEN(INDEX(MfC_pers_ac_inst[Months],$A599-1))+LEN(INDEX(MfC_pers_ac_inst[Country],$A599-1))=0),$B$127,""),"")</f>
        <v/>
      </c>
      <c r="D599" s="195" t="str">
        <f>IFERROR(IF(AND(INDEX(MfC_pers_ac_inst[Category]="",$A599),OR(INDEX(MfC_pers_ac_inst[FTE],$A599)&gt;0,INDEX(MfC_pers_ac_inst[Months],$A599)&gt;0,INDEX(MfC_pers_ac_inst[Costs],$A599)&gt;0,LEN(INDEX(MfC_pers_ac_inst[Country],$A599))&gt;0)),$B$171,""),"")</f>
        <v/>
      </c>
      <c r="E599" s="195" t="e">
        <f>IF(AND(INDEX(MfC_pers_ac_inst[Category],A599)&lt;&gt;"",OR(INDEX(MfC_pers_ac_inst[FTE],A599)&lt;=0,INDEX(MfC_pers_ac_inst[Months],A599)&lt;=0)),INDEX(salaries_academic[],MATCH(INDEX(MfC_pers_ac_inst[Category],A599),salaries_academic[category],0),2),"")</f>
        <v>#REF!</v>
      </c>
      <c r="F599" s="195" t="str">
        <f>IFERROR(IF(Tabel33[Instruction]="",IF(AND(INDEX(MfC_pers_ac_inst[Country]="",A599),OR(INDEX(MfC_pers_ac_inst[Category],A599)&lt;&gt;"",INDEX(MfC_pers_ac_inst[FTE],A599)&gt;0,INDEX(MfC_pers_ac_inst[Months],A599)&gt;0,INDEX(MfC_pers_ac_inst[Costs],A599)&gt;0,LEN(INDEX(MfC_pers_ac_inst[Country],A599))&gt;0)),$B$173,""),""),"")</f>
        <v/>
      </c>
      <c r="G599" s="195" t="e">
        <f>IF(AND(Tabel33[Instruction]="",Tabel33[Country not specified]=""),IF(AND(INDEX(MfC_pers_ac_inst[Category],A599)&lt;&gt;"",INDEX(MfC_pers_ac_inst[Costs],A599)&lt;=0),IF(INDEX(salaries_academic[],MATCH(INDEX(MfC_pers_ac_inst[Category],A599),salaries_academic[category],0),3)="",$B$172,""),""),"")</f>
        <v>#REF!</v>
      </c>
      <c r="H599" s="218" t="str">
        <f>IFERROR(IF(AND(INDEX(salaries_academic[],MATCH(INDEX(MfC_pers_ac_inst[Category],A599),salaries_academic[category],0),3)&gt;0,INDEX(MfC_pers_ac_inst[Costs],A599)&gt;0),$B$174,""),"")</f>
        <v/>
      </c>
      <c r="I599" s="218" t="str">
        <f>IFERROR(IF(AND(organisation_type="yes",VALUE(INDEX(MfC_pers_ac_inst[Amount],A599))&gt;0,ISBLANK(INDEX(MfC_pers_ac_inst[Organisation type],A599))),$B$175,""),"")</f>
        <v/>
      </c>
      <c r="J599" s="218" t="str">
        <f>IFERROR(IF(AND(organisation_name="yes",VALUE(INDEX(MfC_pers_ac_inst[Amount],A599))&gt;0,ISBLANK(INDEX(MfC_pers_ac_inst[Name organisation],A599)),Tabel33[organisation type]=""),$B$176,""),"")</f>
        <v/>
      </c>
    </row>
    <row r="600" spans="1:10" outlineLevel="1" x14ac:dyDescent="0.35">
      <c r="A600" s="317">
        <v>81</v>
      </c>
      <c r="B600" s="317" t="str">
        <f t="array" ref="B600">IFERROR(INDEX(Tabel33[[#This Row],[Empty line]:[organisation name]],1,MATCH(TRUE,LEN(Tabel33[[#This Row],[Empty line]:[organisation name]])&gt;0,0)),"")</f>
        <v/>
      </c>
      <c r="C600" s="195" t="str">
        <f>IFERROR(IF(AND(LEN(INDEX(MfC_pers_ac_inst[Category],$A600))+LEN(INDEX(MfC_pers_ac_inst[FTE],$A600))+LEN(INDEX(MfC_pers_ac_inst[Months],$A600))+LEN(INDEX(MfC_pers_ac_inst[Country],$A600))&gt;0,LEN(INDEX(MfC_pers_ac_inst[Category],$A600-1))+LEN(INDEX(MfC_pers_ac_inst[FTE],$A600-1))+LEN(INDEX(MfC_pers_ac_inst[Months],$A600-1))+LEN(INDEX(MfC_pers_ac_inst[Country],$A600-1))=0),$B$127,""),"")</f>
        <v/>
      </c>
      <c r="D600" s="195" t="str">
        <f>IFERROR(IF(AND(INDEX(MfC_pers_ac_inst[Category]="",$A600),OR(INDEX(MfC_pers_ac_inst[FTE],$A600)&gt;0,INDEX(MfC_pers_ac_inst[Months],$A600)&gt;0,INDEX(MfC_pers_ac_inst[Costs],$A600)&gt;0,LEN(INDEX(MfC_pers_ac_inst[Country],$A600))&gt;0)),$B$171,""),"")</f>
        <v/>
      </c>
      <c r="E600" s="195" t="e">
        <f>IF(AND(INDEX(MfC_pers_ac_inst[Category],A600)&lt;&gt;"",OR(INDEX(MfC_pers_ac_inst[FTE],A600)&lt;=0,INDEX(MfC_pers_ac_inst[Months],A600)&lt;=0)),INDEX(salaries_academic[],MATCH(INDEX(MfC_pers_ac_inst[Category],A600),salaries_academic[category],0),2),"")</f>
        <v>#REF!</v>
      </c>
      <c r="F600" s="195" t="str">
        <f>IFERROR(IF(Tabel33[Instruction]="",IF(AND(INDEX(MfC_pers_ac_inst[Country]="",A600),OR(INDEX(MfC_pers_ac_inst[Category],A600)&lt;&gt;"",INDEX(MfC_pers_ac_inst[FTE],A600)&gt;0,INDEX(MfC_pers_ac_inst[Months],A600)&gt;0,INDEX(MfC_pers_ac_inst[Costs],A600)&gt;0,LEN(INDEX(MfC_pers_ac_inst[Country],A600))&gt;0)),$B$173,""),""),"")</f>
        <v/>
      </c>
      <c r="G600" s="195" t="e">
        <f>IF(AND(Tabel33[Instruction]="",Tabel33[Country not specified]=""),IF(AND(INDEX(MfC_pers_ac_inst[Category],A600)&lt;&gt;"",INDEX(MfC_pers_ac_inst[Costs],A600)&lt;=0),IF(INDEX(salaries_academic[],MATCH(INDEX(MfC_pers_ac_inst[Category],A600),salaries_academic[category],0),3)="",$B$172,""),""),"")</f>
        <v>#REF!</v>
      </c>
      <c r="H600" s="218" t="str">
        <f>IFERROR(IF(AND(INDEX(salaries_academic[],MATCH(INDEX(MfC_pers_ac_inst[Category],A600),salaries_academic[category],0),3)&gt;0,INDEX(MfC_pers_ac_inst[Costs],A600)&gt;0),$B$174,""),"")</f>
        <v/>
      </c>
      <c r="I600" s="218" t="str">
        <f>IFERROR(IF(AND(organisation_type="yes",VALUE(INDEX(MfC_pers_ac_inst[Amount],A600))&gt;0,ISBLANK(INDEX(MfC_pers_ac_inst[Organisation type],A600))),$B$175,""),"")</f>
        <v/>
      </c>
      <c r="J600" s="218" t="str">
        <f>IFERROR(IF(AND(organisation_name="yes",VALUE(INDEX(MfC_pers_ac_inst[Amount],A600))&gt;0,ISBLANK(INDEX(MfC_pers_ac_inst[Name organisation],A600)),Tabel33[organisation type]=""),$B$176,""),"")</f>
        <v/>
      </c>
    </row>
    <row r="601" spans="1:10" outlineLevel="1" x14ac:dyDescent="0.35">
      <c r="A601" s="317">
        <v>82</v>
      </c>
      <c r="B601" s="317" t="str">
        <f t="array" ref="B601">IFERROR(INDEX(Tabel33[[#This Row],[Empty line]:[organisation name]],1,MATCH(TRUE,LEN(Tabel33[[#This Row],[Empty line]:[organisation name]])&gt;0,0)),"")</f>
        <v/>
      </c>
      <c r="C601" s="195" t="str">
        <f>IFERROR(IF(AND(LEN(INDEX(MfC_pers_ac_inst[Category],$A601))+LEN(INDEX(MfC_pers_ac_inst[FTE],$A601))+LEN(INDEX(MfC_pers_ac_inst[Months],$A601))+LEN(INDEX(MfC_pers_ac_inst[Country],$A601))&gt;0,LEN(INDEX(MfC_pers_ac_inst[Category],$A601-1))+LEN(INDEX(MfC_pers_ac_inst[FTE],$A601-1))+LEN(INDEX(MfC_pers_ac_inst[Months],$A601-1))+LEN(INDEX(MfC_pers_ac_inst[Country],$A601-1))=0),$B$127,""),"")</f>
        <v/>
      </c>
      <c r="D601" s="195" t="str">
        <f>IFERROR(IF(AND(INDEX(MfC_pers_ac_inst[Category]="",$A601),OR(INDEX(MfC_pers_ac_inst[FTE],$A601)&gt;0,INDEX(MfC_pers_ac_inst[Months],$A601)&gt;0,INDEX(MfC_pers_ac_inst[Costs],$A601)&gt;0,LEN(INDEX(MfC_pers_ac_inst[Country],$A601))&gt;0)),$B$171,""),"")</f>
        <v/>
      </c>
      <c r="E601" s="195" t="e">
        <f>IF(AND(INDEX(MfC_pers_ac_inst[Category],A601)&lt;&gt;"",OR(INDEX(MfC_pers_ac_inst[FTE],A601)&lt;=0,INDEX(MfC_pers_ac_inst[Months],A601)&lt;=0)),INDEX(salaries_academic[],MATCH(INDEX(MfC_pers_ac_inst[Category],A601),salaries_academic[category],0),2),"")</f>
        <v>#REF!</v>
      </c>
      <c r="F601" s="195" t="str">
        <f>IFERROR(IF(Tabel33[Instruction]="",IF(AND(INDEX(MfC_pers_ac_inst[Country]="",A601),OR(INDEX(MfC_pers_ac_inst[Category],A601)&lt;&gt;"",INDEX(MfC_pers_ac_inst[FTE],A601)&gt;0,INDEX(MfC_pers_ac_inst[Months],A601)&gt;0,INDEX(MfC_pers_ac_inst[Costs],A601)&gt;0,LEN(INDEX(MfC_pers_ac_inst[Country],A601))&gt;0)),$B$173,""),""),"")</f>
        <v/>
      </c>
      <c r="G601" s="195" t="e">
        <f>IF(AND(Tabel33[Instruction]="",Tabel33[Country not specified]=""),IF(AND(INDEX(MfC_pers_ac_inst[Category],A601)&lt;&gt;"",INDEX(MfC_pers_ac_inst[Costs],A601)&lt;=0),IF(INDEX(salaries_academic[],MATCH(INDEX(MfC_pers_ac_inst[Category],A601),salaries_academic[category],0),3)="",$B$172,""),""),"")</f>
        <v>#REF!</v>
      </c>
      <c r="H601" s="218" t="str">
        <f>IFERROR(IF(AND(INDEX(salaries_academic[],MATCH(INDEX(MfC_pers_ac_inst[Category],A601),salaries_academic[category],0),3)&gt;0,INDEX(MfC_pers_ac_inst[Costs],A601)&gt;0),$B$174,""),"")</f>
        <v/>
      </c>
      <c r="I601" s="218" t="str">
        <f>IFERROR(IF(AND(organisation_type="yes",VALUE(INDEX(MfC_pers_ac_inst[Amount],A601))&gt;0,ISBLANK(INDEX(MfC_pers_ac_inst[Organisation type],A601))),$B$175,""),"")</f>
        <v/>
      </c>
      <c r="J601" s="218" t="str">
        <f>IFERROR(IF(AND(organisation_name="yes",VALUE(INDEX(MfC_pers_ac_inst[Amount],A601))&gt;0,ISBLANK(INDEX(MfC_pers_ac_inst[Name organisation],A601)),Tabel33[organisation type]=""),$B$176,""),"")</f>
        <v/>
      </c>
    </row>
    <row r="602" spans="1:10" outlineLevel="1" x14ac:dyDescent="0.35">
      <c r="A602" s="317">
        <v>83</v>
      </c>
      <c r="B602" s="317" t="str">
        <f t="array" ref="B602">IFERROR(INDEX(Tabel33[[#This Row],[Empty line]:[organisation name]],1,MATCH(TRUE,LEN(Tabel33[[#This Row],[Empty line]:[organisation name]])&gt;0,0)),"")</f>
        <v/>
      </c>
      <c r="C602" s="195" t="str">
        <f>IFERROR(IF(AND(LEN(INDEX(MfC_pers_ac_inst[Category],$A602))+LEN(INDEX(MfC_pers_ac_inst[FTE],$A602))+LEN(INDEX(MfC_pers_ac_inst[Months],$A602))+LEN(INDEX(MfC_pers_ac_inst[Country],$A602))&gt;0,LEN(INDEX(MfC_pers_ac_inst[Category],$A602-1))+LEN(INDEX(MfC_pers_ac_inst[FTE],$A602-1))+LEN(INDEX(MfC_pers_ac_inst[Months],$A602-1))+LEN(INDEX(MfC_pers_ac_inst[Country],$A602-1))=0),$B$127,""),"")</f>
        <v/>
      </c>
      <c r="D602" s="195" t="str">
        <f>IFERROR(IF(AND(INDEX(MfC_pers_ac_inst[Category]="",$A602),OR(INDEX(MfC_pers_ac_inst[FTE],$A602)&gt;0,INDEX(MfC_pers_ac_inst[Months],$A602)&gt;0,INDEX(MfC_pers_ac_inst[Costs],$A602)&gt;0,LEN(INDEX(MfC_pers_ac_inst[Country],$A602))&gt;0)),$B$171,""),"")</f>
        <v/>
      </c>
      <c r="E602" s="195" t="e">
        <f>IF(AND(INDEX(MfC_pers_ac_inst[Category],A602)&lt;&gt;"",OR(INDEX(MfC_pers_ac_inst[FTE],A602)&lt;=0,INDEX(MfC_pers_ac_inst[Months],A602)&lt;=0)),INDEX(salaries_academic[],MATCH(INDEX(MfC_pers_ac_inst[Category],A602),salaries_academic[category],0),2),"")</f>
        <v>#REF!</v>
      </c>
      <c r="F602" s="195" t="str">
        <f>IFERROR(IF(Tabel33[Instruction]="",IF(AND(INDEX(MfC_pers_ac_inst[Country]="",A602),OR(INDEX(MfC_pers_ac_inst[Category],A602)&lt;&gt;"",INDEX(MfC_pers_ac_inst[FTE],A602)&gt;0,INDEX(MfC_pers_ac_inst[Months],A602)&gt;0,INDEX(MfC_pers_ac_inst[Costs],A602)&gt;0,LEN(INDEX(MfC_pers_ac_inst[Country],A602))&gt;0)),$B$173,""),""),"")</f>
        <v/>
      </c>
      <c r="G602" s="195" t="e">
        <f>IF(AND(Tabel33[Instruction]="",Tabel33[Country not specified]=""),IF(AND(INDEX(MfC_pers_ac_inst[Category],A602)&lt;&gt;"",INDEX(MfC_pers_ac_inst[Costs],A602)&lt;=0),IF(INDEX(salaries_academic[],MATCH(INDEX(MfC_pers_ac_inst[Category],A602),salaries_academic[category],0),3)="",$B$172,""),""),"")</f>
        <v>#REF!</v>
      </c>
      <c r="H602" s="218" t="str">
        <f>IFERROR(IF(AND(INDEX(salaries_academic[],MATCH(INDEX(MfC_pers_ac_inst[Category],A602),salaries_academic[category],0),3)&gt;0,INDEX(MfC_pers_ac_inst[Costs],A602)&gt;0),$B$174,""),"")</f>
        <v/>
      </c>
      <c r="I602" s="218" t="str">
        <f>IFERROR(IF(AND(organisation_type="yes",VALUE(INDEX(MfC_pers_ac_inst[Amount],A602))&gt;0,ISBLANK(INDEX(MfC_pers_ac_inst[Organisation type],A602))),$B$175,""),"")</f>
        <v/>
      </c>
      <c r="J602" s="218" t="str">
        <f>IFERROR(IF(AND(organisation_name="yes",VALUE(INDEX(MfC_pers_ac_inst[Amount],A602))&gt;0,ISBLANK(INDEX(MfC_pers_ac_inst[Name organisation],A602)),Tabel33[organisation type]=""),$B$176,""),"")</f>
        <v/>
      </c>
    </row>
    <row r="603" spans="1:10" outlineLevel="1" x14ac:dyDescent="0.35">
      <c r="A603" s="317">
        <v>84</v>
      </c>
      <c r="B603" s="317" t="str">
        <f t="array" ref="B603">IFERROR(INDEX(Tabel33[[#This Row],[Empty line]:[organisation name]],1,MATCH(TRUE,LEN(Tabel33[[#This Row],[Empty line]:[organisation name]])&gt;0,0)),"")</f>
        <v/>
      </c>
      <c r="C603" s="195" t="str">
        <f>IFERROR(IF(AND(LEN(INDEX(MfC_pers_ac_inst[Category],$A603))+LEN(INDEX(MfC_pers_ac_inst[FTE],$A603))+LEN(INDEX(MfC_pers_ac_inst[Months],$A603))+LEN(INDEX(MfC_pers_ac_inst[Country],$A603))&gt;0,LEN(INDEX(MfC_pers_ac_inst[Category],$A603-1))+LEN(INDEX(MfC_pers_ac_inst[FTE],$A603-1))+LEN(INDEX(MfC_pers_ac_inst[Months],$A603-1))+LEN(INDEX(MfC_pers_ac_inst[Country],$A603-1))=0),$B$127,""),"")</f>
        <v/>
      </c>
      <c r="D603" s="195" t="str">
        <f>IFERROR(IF(AND(INDEX(MfC_pers_ac_inst[Category]="",$A603),OR(INDEX(MfC_pers_ac_inst[FTE],$A603)&gt;0,INDEX(MfC_pers_ac_inst[Months],$A603)&gt;0,INDEX(MfC_pers_ac_inst[Costs],$A603)&gt;0,LEN(INDEX(MfC_pers_ac_inst[Country],$A603))&gt;0)),$B$171,""),"")</f>
        <v/>
      </c>
      <c r="E603" s="195" t="e">
        <f>IF(AND(INDEX(MfC_pers_ac_inst[Category],A603)&lt;&gt;"",OR(INDEX(MfC_pers_ac_inst[FTE],A603)&lt;=0,INDEX(MfC_pers_ac_inst[Months],A603)&lt;=0)),INDEX(salaries_academic[],MATCH(INDEX(MfC_pers_ac_inst[Category],A603),salaries_academic[category],0),2),"")</f>
        <v>#REF!</v>
      </c>
      <c r="F603" s="195" t="str">
        <f>IFERROR(IF(Tabel33[Instruction]="",IF(AND(INDEX(MfC_pers_ac_inst[Country]="",A603),OR(INDEX(MfC_pers_ac_inst[Category],A603)&lt;&gt;"",INDEX(MfC_pers_ac_inst[FTE],A603)&gt;0,INDEX(MfC_pers_ac_inst[Months],A603)&gt;0,INDEX(MfC_pers_ac_inst[Costs],A603)&gt;0,LEN(INDEX(MfC_pers_ac_inst[Country],A603))&gt;0)),$B$173,""),""),"")</f>
        <v/>
      </c>
      <c r="G603" s="195" t="e">
        <f>IF(AND(Tabel33[Instruction]="",Tabel33[Country not specified]=""),IF(AND(INDEX(MfC_pers_ac_inst[Category],A603)&lt;&gt;"",INDEX(MfC_pers_ac_inst[Costs],A603)&lt;=0),IF(INDEX(salaries_academic[],MATCH(INDEX(MfC_pers_ac_inst[Category],A603),salaries_academic[category],0),3)="",$B$172,""),""),"")</f>
        <v>#REF!</v>
      </c>
      <c r="H603" s="218" t="str">
        <f>IFERROR(IF(AND(INDEX(salaries_academic[],MATCH(INDEX(MfC_pers_ac_inst[Category],A603),salaries_academic[category],0),3)&gt;0,INDEX(MfC_pers_ac_inst[Costs],A603)&gt;0),$B$174,""),"")</f>
        <v/>
      </c>
      <c r="I603" s="218" t="str">
        <f>IFERROR(IF(AND(organisation_type="yes",VALUE(INDEX(MfC_pers_ac_inst[Amount],A603))&gt;0,ISBLANK(INDEX(MfC_pers_ac_inst[Organisation type],A603))),$B$175,""),"")</f>
        <v/>
      </c>
      <c r="J603" s="218" t="str">
        <f>IFERROR(IF(AND(organisation_name="yes",VALUE(INDEX(MfC_pers_ac_inst[Amount],A603))&gt;0,ISBLANK(INDEX(MfC_pers_ac_inst[Name organisation],A603)),Tabel33[organisation type]=""),$B$176,""),"")</f>
        <v/>
      </c>
    </row>
    <row r="604" spans="1:10" outlineLevel="1" x14ac:dyDescent="0.35">
      <c r="A604" s="317">
        <v>85</v>
      </c>
      <c r="B604" s="317" t="str">
        <f t="array" ref="B604">IFERROR(INDEX(Tabel33[[#This Row],[Empty line]:[organisation name]],1,MATCH(TRUE,LEN(Tabel33[[#This Row],[Empty line]:[organisation name]])&gt;0,0)),"")</f>
        <v/>
      </c>
      <c r="C604" s="195" t="str">
        <f>IFERROR(IF(AND(LEN(INDEX(MfC_pers_ac_inst[Category],$A604))+LEN(INDEX(MfC_pers_ac_inst[FTE],$A604))+LEN(INDEX(MfC_pers_ac_inst[Months],$A604))+LEN(INDEX(MfC_pers_ac_inst[Country],$A604))&gt;0,LEN(INDEX(MfC_pers_ac_inst[Category],$A604-1))+LEN(INDEX(MfC_pers_ac_inst[FTE],$A604-1))+LEN(INDEX(MfC_pers_ac_inst[Months],$A604-1))+LEN(INDEX(MfC_pers_ac_inst[Country],$A604-1))=0),$B$127,""),"")</f>
        <v/>
      </c>
      <c r="D604" s="195" t="str">
        <f>IFERROR(IF(AND(INDEX(MfC_pers_ac_inst[Category]="",$A604),OR(INDEX(MfC_pers_ac_inst[FTE],$A604)&gt;0,INDEX(MfC_pers_ac_inst[Months],$A604)&gt;0,INDEX(MfC_pers_ac_inst[Costs],$A604)&gt;0,LEN(INDEX(MfC_pers_ac_inst[Country],$A604))&gt;0)),$B$171,""),"")</f>
        <v/>
      </c>
      <c r="E604" s="195" t="e">
        <f>IF(AND(INDEX(MfC_pers_ac_inst[Category],A604)&lt;&gt;"",OR(INDEX(MfC_pers_ac_inst[FTE],A604)&lt;=0,INDEX(MfC_pers_ac_inst[Months],A604)&lt;=0)),INDEX(salaries_academic[],MATCH(INDEX(MfC_pers_ac_inst[Category],A604),salaries_academic[category],0),2),"")</f>
        <v>#REF!</v>
      </c>
      <c r="F604" s="195" t="str">
        <f>IFERROR(IF(Tabel33[Instruction]="",IF(AND(INDEX(MfC_pers_ac_inst[Country]="",A604),OR(INDEX(MfC_pers_ac_inst[Category],A604)&lt;&gt;"",INDEX(MfC_pers_ac_inst[FTE],A604)&gt;0,INDEX(MfC_pers_ac_inst[Months],A604)&gt;0,INDEX(MfC_pers_ac_inst[Costs],A604)&gt;0,LEN(INDEX(MfC_pers_ac_inst[Country],A604))&gt;0)),$B$173,""),""),"")</f>
        <v/>
      </c>
      <c r="G604" s="195" t="e">
        <f>IF(AND(Tabel33[Instruction]="",Tabel33[Country not specified]=""),IF(AND(INDEX(MfC_pers_ac_inst[Category],A604)&lt;&gt;"",INDEX(MfC_pers_ac_inst[Costs],A604)&lt;=0),IF(INDEX(salaries_academic[],MATCH(INDEX(MfC_pers_ac_inst[Category],A604),salaries_academic[category],0),3)="",$B$172,""),""),"")</f>
        <v>#REF!</v>
      </c>
      <c r="H604" s="218" t="str">
        <f>IFERROR(IF(AND(INDEX(salaries_academic[],MATCH(INDEX(MfC_pers_ac_inst[Category],A604),salaries_academic[category],0),3)&gt;0,INDEX(MfC_pers_ac_inst[Costs],A604)&gt;0),$B$174,""),"")</f>
        <v/>
      </c>
      <c r="I604" s="218" t="str">
        <f>IFERROR(IF(AND(organisation_type="yes",VALUE(INDEX(MfC_pers_ac_inst[Amount],A604))&gt;0,ISBLANK(INDEX(MfC_pers_ac_inst[Organisation type],A604))),$B$175,""),"")</f>
        <v/>
      </c>
      <c r="J604" s="218" t="str">
        <f>IFERROR(IF(AND(organisation_name="yes",VALUE(INDEX(MfC_pers_ac_inst[Amount],A604))&gt;0,ISBLANK(INDEX(MfC_pers_ac_inst[Name organisation],A604)),Tabel33[organisation type]=""),$B$176,""),"")</f>
        <v/>
      </c>
    </row>
    <row r="605" spans="1:10" outlineLevel="1" x14ac:dyDescent="0.35">
      <c r="A605" s="317">
        <v>86</v>
      </c>
      <c r="B605" s="317" t="str">
        <f t="array" ref="B605">IFERROR(INDEX(Tabel33[[#This Row],[Empty line]:[organisation name]],1,MATCH(TRUE,LEN(Tabel33[[#This Row],[Empty line]:[organisation name]])&gt;0,0)),"")</f>
        <v/>
      </c>
      <c r="C605" s="195" t="str">
        <f>IFERROR(IF(AND(LEN(INDEX(MfC_pers_ac_inst[Category],$A605))+LEN(INDEX(MfC_pers_ac_inst[FTE],$A605))+LEN(INDEX(MfC_pers_ac_inst[Months],$A605))+LEN(INDEX(MfC_pers_ac_inst[Country],$A605))&gt;0,LEN(INDEX(MfC_pers_ac_inst[Category],$A605-1))+LEN(INDEX(MfC_pers_ac_inst[FTE],$A605-1))+LEN(INDEX(MfC_pers_ac_inst[Months],$A605-1))+LEN(INDEX(MfC_pers_ac_inst[Country],$A605-1))=0),$B$127,""),"")</f>
        <v/>
      </c>
      <c r="D605" s="195" t="str">
        <f>IFERROR(IF(AND(INDEX(MfC_pers_ac_inst[Category]="",$A605),OR(INDEX(MfC_pers_ac_inst[FTE],$A605)&gt;0,INDEX(MfC_pers_ac_inst[Months],$A605)&gt;0,INDEX(MfC_pers_ac_inst[Costs],$A605)&gt;0,LEN(INDEX(MfC_pers_ac_inst[Country],$A605))&gt;0)),$B$171,""),"")</f>
        <v/>
      </c>
      <c r="E605" s="195" t="e">
        <f>IF(AND(INDEX(MfC_pers_ac_inst[Category],A605)&lt;&gt;"",OR(INDEX(MfC_pers_ac_inst[FTE],A605)&lt;=0,INDEX(MfC_pers_ac_inst[Months],A605)&lt;=0)),INDEX(salaries_academic[],MATCH(INDEX(MfC_pers_ac_inst[Category],A605),salaries_academic[category],0),2),"")</f>
        <v>#REF!</v>
      </c>
      <c r="F605" s="195" t="str">
        <f>IFERROR(IF(Tabel33[Instruction]="",IF(AND(INDEX(MfC_pers_ac_inst[Country]="",A605),OR(INDEX(MfC_pers_ac_inst[Category],A605)&lt;&gt;"",INDEX(MfC_pers_ac_inst[FTE],A605)&gt;0,INDEX(MfC_pers_ac_inst[Months],A605)&gt;0,INDEX(MfC_pers_ac_inst[Costs],A605)&gt;0,LEN(INDEX(MfC_pers_ac_inst[Country],A605))&gt;0)),$B$173,""),""),"")</f>
        <v/>
      </c>
      <c r="G605" s="195" t="e">
        <f>IF(AND(Tabel33[Instruction]="",Tabel33[Country not specified]=""),IF(AND(INDEX(MfC_pers_ac_inst[Category],A605)&lt;&gt;"",INDEX(MfC_pers_ac_inst[Costs],A605)&lt;=0),IF(INDEX(salaries_academic[],MATCH(INDEX(MfC_pers_ac_inst[Category],A605),salaries_academic[category],0),3)="",$B$172,""),""),"")</f>
        <v>#REF!</v>
      </c>
      <c r="H605" s="218" t="str">
        <f>IFERROR(IF(AND(INDEX(salaries_academic[],MATCH(INDEX(MfC_pers_ac_inst[Category],A605),salaries_academic[category],0),3)&gt;0,INDEX(MfC_pers_ac_inst[Costs],A605)&gt;0),$B$174,""),"")</f>
        <v/>
      </c>
      <c r="I605" s="218" t="str">
        <f>IFERROR(IF(AND(organisation_type="yes",VALUE(INDEX(MfC_pers_ac_inst[Amount],A605))&gt;0,ISBLANK(INDEX(MfC_pers_ac_inst[Organisation type],A605))),$B$175,""),"")</f>
        <v/>
      </c>
      <c r="J605" s="218" t="str">
        <f>IFERROR(IF(AND(organisation_name="yes",VALUE(INDEX(MfC_pers_ac_inst[Amount],A605))&gt;0,ISBLANK(INDEX(MfC_pers_ac_inst[Name organisation],A605)),Tabel33[organisation type]=""),$B$176,""),"")</f>
        <v/>
      </c>
    </row>
    <row r="606" spans="1:10" outlineLevel="1" x14ac:dyDescent="0.35">
      <c r="A606" s="317">
        <v>87</v>
      </c>
      <c r="B606" s="317" t="str">
        <f t="array" ref="B606">IFERROR(INDEX(Tabel33[[#This Row],[Empty line]:[organisation name]],1,MATCH(TRUE,LEN(Tabel33[[#This Row],[Empty line]:[organisation name]])&gt;0,0)),"")</f>
        <v/>
      </c>
      <c r="C606" s="195" t="str">
        <f>IFERROR(IF(AND(LEN(INDEX(MfC_pers_ac_inst[Category],$A606))+LEN(INDEX(MfC_pers_ac_inst[FTE],$A606))+LEN(INDEX(MfC_pers_ac_inst[Months],$A606))+LEN(INDEX(MfC_pers_ac_inst[Country],$A606))&gt;0,LEN(INDEX(MfC_pers_ac_inst[Category],$A606-1))+LEN(INDEX(MfC_pers_ac_inst[FTE],$A606-1))+LEN(INDEX(MfC_pers_ac_inst[Months],$A606-1))+LEN(INDEX(MfC_pers_ac_inst[Country],$A606-1))=0),$B$127,""),"")</f>
        <v/>
      </c>
      <c r="D606" s="195" t="str">
        <f>IFERROR(IF(AND(INDEX(MfC_pers_ac_inst[Category]="",$A606),OR(INDEX(MfC_pers_ac_inst[FTE],$A606)&gt;0,INDEX(MfC_pers_ac_inst[Months],$A606)&gt;0,INDEX(MfC_pers_ac_inst[Costs],$A606)&gt;0,LEN(INDEX(MfC_pers_ac_inst[Country],$A606))&gt;0)),$B$171,""),"")</f>
        <v/>
      </c>
      <c r="E606" s="195" t="e">
        <f>IF(AND(INDEX(MfC_pers_ac_inst[Category],A606)&lt;&gt;"",OR(INDEX(MfC_pers_ac_inst[FTE],A606)&lt;=0,INDEX(MfC_pers_ac_inst[Months],A606)&lt;=0)),INDEX(salaries_academic[],MATCH(INDEX(MfC_pers_ac_inst[Category],A606),salaries_academic[category],0),2),"")</f>
        <v>#REF!</v>
      </c>
      <c r="F606" s="195" t="str">
        <f>IFERROR(IF(Tabel33[Instruction]="",IF(AND(INDEX(MfC_pers_ac_inst[Country]="",A606),OR(INDEX(MfC_pers_ac_inst[Category],A606)&lt;&gt;"",INDEX(MfC_pers_ac_inst[FTE],A606)&gt;0,INDEX(MfC_pers_ac_inst[Months],A606)&gt;0,INDEX(MfC_pers_ac_inst[Costs],A606)&gt;0,LEN(INDEX(MfC_pers_ac_inst[Country],A606))&gt;0)),$B$173,""),""),"")</f>
        <v/>
      </c>
      <c r="G606" s="195" t="e">
        <f>IF(AND(Tabel33[Instruction]="",Tabel33[Country not specified]=""),IF(AND(INDEX(MfC_pers_ac_inst[Category],A606)&lt;&gt;"",INDEX(MfC_pers_ac_inst[Costs],A606)&lt;=0),IF(INDEX(salaries_academic[],MATCH(INDEX(MfC_pers_ac_inst[Category],A606),salaries_academic[category],0),3)="",$B$172,""),""),"")</f>
        <v>#REF!</v>
      </c>
      <c r="H606" s="218" t="str">
        <f>IFERROR(IF(AND(INDEX(salaries_academic[],MATCH(INDEX(MfC_pers_ac_inst[Category],A606),salaries_academic[category],0),3)&gt;0,INDEX(MfC_pers_ac_inst[Costs],A606)&gt;0),$B$174,""),"")</f>
        <v/>
      </c>
      <c r="I606" s="218" t="str">
        <f>IFERROR(IF(AND(organisation_type="yes",VALUE(INDEX(MfC_pers_ac_inst[Amount],A606))&gt;0,ISBLANK(INDEX(MfC_pers_ac_inst[Organisation type],A606))),$B$175,""),"")</f>
        <v/>
      </c>
      <c r="J606" s="218" t="str">
        <f>IFERROR(IF(AND(organisation_name="yes",VALUE(INDEX(MfC_pers_ac_inst[Amount],A606))&gt;0,ISBLANK(INDEX(MfC_pers_ac_inst[Name organisation],A606)),Tabel33[organisation type]=""),$B$176,""),"")</f>
        <v/>
      </c>
    </row>
    <row r="607" spans="1:10" outlineLevel="1" x14ac:dyDescent="0.35">
      <c r="A607" s="317">
        <v>88</v>
      </c>
      <c r="B607" s="317" t="str">
        <f t="array" ref="B607">IFERROR(INDEX(Tabel33[[#This Row],[Empty line]:[organisation name]],1,MATCH(TRUE,LEN(Tabel33[[#This Row],[Empty line]:[organisation name]])&gt;0,0)),"")</f>
        <v/>
      </c>
      <c r="C607" s="195" t="str">
        <f>IFERROR(IF(AND(LEN(INDEX(MfC_pers_ac_inst[Category],$A607))+LEN(INDEX(MfC_pers_ac_inst[FTE],$A607))+LEN(INDEX(MfC_pers_ac_inst[Months],$A607))+LEN(INDEX(MfC_pers_ac_inst[Country],$A607))&gt;0,LEN(INDEX(MfC_pers_ac_inst[Category],$A607-1))+LEN(INDEX(MfC_pers_ac_inst[FTE],$A607-1))+LEN(INDEX(MfC_pers_ac_inst[Months],$A607-1))+LEN(INDEX(MfC_pers_ac_inst[Country],$A607-1))=0),$B$127,""),"")</f>
        <v/>
      </c>
      <c r="D607" s="195" t="str">
        <f>IFERROR(IF(AND(INDEX(MfC_pers_ac_inst[Category]="",$A607),OR(INDEX(MfC_pers_ac_inst[FTE],$A607)&gt;0,INDEX(MfC_pers_ac_inst[Months],$A607)&gt;0,INDEX(MfC_pers_ac_inst[Costs],$A607)&gt;0,LEN(INDEX(MfC_pers_ac_inst[Country],$A607))&gt;0)),$B$171,""),"")</f>
        <v/>
      </c>
      <c r="E607" s="195" t="e">
        <f>IF(AND(INDEX(MfC_pers_ac_inst[Category],A607)&lt;&gt;"",OR(INDEX(MfC_pers_ac_inst[FTE],A607)&lt;=0,INDEX(MfC_pers_ac_inst[Months],A607)&lt;=0)),INDEX(salaries_academic[],MATCH(INDEX(MfC_pers_ac_inst[Category],A607),salaries_academic[category],0),2),"")</f>
        <v>#REF!</v>
      </c>
      <c r="F607" s="195" t="str">
        <f>IFERROR(IF(Tabel33[Instruction]="",IF(AND(INDEX(MfC_pers_ac_inst[Country]="",A607),OR(INDEX(MfC_pers_ac_inst[Category],A607)&lt;&gt;"",INDEX(MfC_pers_ac_inst[FTE],A607)&gt;0,INDEX(MfC_pers_ac_inst[Months],A607)&gt;0,INDEX(MfC_pers_ac_inst[Costs],A607)&gt;0,LEN(INDEX(MfC_pers_ac_inst[Country],A607))&gt;0)),$B$173,""),""),"")</f>
        <v/>
      </c>
      <c r="G607" s="195" t="e">
        <f>IF(AND(Tabel33[Instruction]="",Tabel33[Country not specified]=""),IF(AND(INDEX(MfC_pers_ac_inst[Category],A607)&lt;&gt;"",INDEX(MfC_pers_ac_inst[Costs],A607)&lt;=0),IF(INDEX(salaries_academic[],MATCH(INDEX(MfC_pers_ac_inst[Category],A607),salaries_academic[category],0),3)="",$B$172,""),""),"")</f>
        <v>#REF!</v>
      </c>
      <c r="H607" s="218" t="str">
        <f>IFERROR(IF(AND(INDEX(salaries_academic[],MATCH(INDEX(MfC_pers_ac_inst[Category],A607),salaries_academic[category],0),3)&gt;0,INDEX(MfC_pers_ac_inst[Costs],A607)&gt;0),$B$174,""),"")</f>
        <v/>
      </c>
      <c r="I607" s="218" t="str">
        <f>IFERROR(IF(AND(organisation_type="yes",VALUE(INDEX(MfC_pers_ac_inst[Amount],A607))&gt;0,ISBLANK(INDEX(MfC_pers_ac_inst[Organisation type],A607))),$B$175,""),"")</f>
        <v/>
      </c>
      <c r="J607" s="218" t="str">
        <f>IFERROR(IF(AND(organisation_name="yes",VALUE(INDEX(MfC_pers_ac_inst[Amount],A607))&gt;0,ISBLANK(INDEX(MfC_pers_ac_inst[Name organisation],A607)),Tabel33[organisation type]=""),$B$176,""),"")</f>
        <v/>
      </c>
    </row>
    <row r="608" spans="1:10" outlineLevel="1" x14ac:dyDescent="0.35">
      <c r="A608" s="317">
        <v>89</v>
      </c>
      <c r="B608" s="317" t="str">
        <f t="array" ref="B608">IFERROR(INDEX(Tabel33[[#This Row],[Empty line]:[organisation name]],1,MATCH(TRUE,LEN(Tabel33[[#This Row],[Empty line]:[organisation name]])&gt;0,0)),"")</f>
        <v/>
      </c>
      <c r="C608" s="195" t="str">
        <f>IFERROR(IF(AND(LEN(INDEX(MfC_pers_ac_inst[Category],$A608))+LEN(INDEX(MfC_pers_ac_inst[FTE],$A608))+LEN(INDEX(MfC_pers_ac_inst[Months],$A608))+LEN(INDEX(MfC_pers_ac_inst[Country],$A608))&gt;0,LEN(INDEX(MfC_pers_ac_inst[Category],$A608-1))+LEN(INDEX(MfC_pers_ac_inst[FTE],$A608-1))+LEN(INDEX(MfC_pers_ac_inst[Months],$A608-1))+LEN(INDEX(MfC_pers_ac_inst[Country],$A608-1))=0),$B$127,""),"")</f>
        <v/>
      </c>
      <c r="D608" s="195" t="str">
        <f>IFERROR(IF(AND(INDEX(MfC_pers_ac_inst[Category]="",$A608),OR(INDEX(MfC_pers_ac_inst[FTE],$A608)&gt;0,INDEX(MfC_pers_ac_inst[Months],$A608)&gt;0,INDEX(MfC_pers_ac_inst[Costs],$A608)&gt;0,LEN(INDEX(MfC_pers_ac_inst[Country],$A608))&gt;0)),$B$171,""),"")</f>
        <v/>
      </c>
      <c r="E608" s="195" t="e">
        <f>IF(AND(INDEX(MfC_pers_ac_inst[Category],A608)&lt;&gt;"",OR(INDEX(MfC_pers_ac_inst[FTE],A608)&lt;=0,INDEX(MfC_pers_ac_inst[Months],A608)&lt;=0)),INDEX(salaries_academic[],MATCH(INDEX(MfC_pers_ac_inst[Category],A608),salaries_academic[category],0),2),"")</f>
        <v>#REF!</v>
      </c>
      <c r="F608" s="195" t="str">
        <f>IFERROR(IF(Tabel33[Instruction]="",IF(AND(INDEX(MfC_pers_ac_inst[Country]="",A608),OR(INDEX(MfC_pers_ac_inst[Category],A608)&lt;&gt;"",INDEX(MfC_pers_ac_inst[FTE],A608)&gt;0,INDEX(MfC_pers_ac_inst[Months],A608)&gt;0,INDEX(MfC_pers_ac_inst[Costs],A608)&gt;0,LEN(INDEX(MfC_pers_ac_inst[Country],A608))&gt;0)),$B$173,""),""),"")</f>
        <v/>
      </c>
      <c r="G608" s="195" t="e">
        <f>IF(AND(Tabel33[Instruction]="",Tabel33[Country not specified]=""),IF(AND(INDEX(MfC_pers_ac_inst[Category],A608)&lt;&gt;"",INDEX(MfC_pers_ac_inst[Costs],A608)&lt;=0),IF(INDEX(salaries_academic[],MATCH(INDEX(MfC_pers_ac_inst[Category],A608),salaries_academic[category],0),3)="",$B$172,""),""),"")</f>
        <v>#REF!</v>
      </c>
      <c r="H608" s="218" t="str">
        <f>IFERROR(IF(AND(INDEX(salaries_academic[],MATCH(INDEX(MfC_pers_ac_inst[Category],A608),salaries_academic[category],0),3)&gt;0,INDEX(MfC_pers_ac_inst[Costs],A608)&gt;0),$B$174,""),"")</f>
        <v/>
      </c>
      <c r="I608" s="218" t="str">
        <f>IFERROR(IF(AND(organisation_type="yes",VALUE(INDEX(MfC_pers_ac_inst[Amount],A608))&gt;0,ISBLANK(INDEX(MfC_pers_ac_inst[Organisation type],A608))),$B$175,""),"")</f>
        <v/>
      </c>
      <c r="J608" s="218" t="str">
        <f>IFERROR(IF(AND(organisation_name="yes",VALUE(INDEX(MfC_pers_ac_inst[Amount],A608))&gt;0,ISBLANK(INDEX(MfC_pers_ac_inst[Name organisation],A608)),Tabel33[organisation type]=""),$B$176,""),"")</f>
        <v/>
      </c>
    </row>
    <row r="609" spans="1:10" outlineLevel="1" x14ac:dyDescent="0.35">
      <c r="A609" s="317">
        <v>90</v>
      </c>
      <c r="B609" s="317" t="str">
        <f t="array" ref="B609">IFERROR(INDEX(Tabel33[[#This Row],[Empty line]:[organisation name]],1,MATCH(TRUE,LEN(Tabel33[[#This Row],[Empty line]:[organisation name]])&gt;0,0)),"")</f>
        <v/>
      </c>
      <c r="C609" s="195" t="str">
        <f>IFERROR(IF(AND(LEN(INDEX(MfC_pers_ac_inst[Category],$A609))+LEN(INDEX(MfC_pers_ac_inst[FTE],$A609))+LEN(INDEX(MfC_pers_ac_inst[Months],$A609))+LEN(INDEX(MfC_pers_ac_inst[Country],$A609))&gt;0,LEN(INDEX(MfC_pers_ac_inst[Category],$A609-1))+LEN(INDEX(MfC_pers_ac_inst[FTE],$A609-1))+LEN(INDEX(MfC_pers_ac_inst[Months],$A609-1))+LEN(INDEX(MfC_pers_ac_inst[Country],$A609-1))=0),$B$127,""),"")</f>
        <v/>
      </c>
      <c r="D609" s="195" t="str">
        <f>IFERROR(IF(AND(INDEX(MfC_pers_ac_inst[Category]="",$A609),OR(INDEX(MfC_pers_ac_inst[FTE],$A609)&gt;0,INDEX(MfC_pers_ac_inst[Months],$A609)&gt;0,INDEX(MfC_pers_ac_inst[Costs],$A609)&gt;0,LEN(INDEX(MfC_pers_ac_inst[Country],$A609))&gt;0)),$B$171,""),"")</f>
        <v/>
      </c>
      <c r="E609" s="195" t="e">
        <f>IF(AND(INDEX(MfC_pers_ac_inst[Category],A609)&lt;&gt;"",OR(INDEX(MfC_pers_ac_inst[FTE],A609)&lt;=0,INDEX(MfC_pers_ac_inst[Months],A609)&lt;=0)),INDEX(salaries_academic[],MATCH(INDEX(MfC_pers_ac_inst[Category],A609),salaries_academic[category],0),2),"")</f>
        <v>#REF!</v>
      </c>
      <c r="F609" s="195" t="str">
        <f>IFERROR(IF(Tabel33[Instruction]="",IF(AND(INDEX(MfC_pers_ac_inst[Country]="",A609),OR(INDEX(MfC_pers_ac_inst[Category],A609)&lt;&gt;"",INDEX(MfC_pers_ac_inst[FTE],A609)&gt;0,INDEX(MfC_pers_ac_inst[Months],A609)&gt;0,INDEX(MfC_pers_ac_inst[Costs],A609)&gt;0,LEN(INDEX(MfC_pers_ac_inst[Country],A609))&gt;0)),$B$173,""),""),"")</f>
        <v/>
      </c>
      <c r="G609" s="195" t="e">
        <f>IF(AND(Tabel33[Instruction]="",Tabel33[Country not specified]=""),IF(AND(INDEX(MfC_pers_ac_inst[Category],A609)&lt;&gt;"",INDEX(MfC_pers_ac_inst[Costs],A609)&lt;=0),IF(INDEX(salaries_academic[],MATCH(INDEX(MfC_pers_ac_inst[Category],A609),salaries_academic[category],0),3)="",$B$172,""),""),"")</f>
        <v>#REF!</v>
      </c>
      <c r="H609" s="218" t="str">
        <f>IFERROR(IF(AND(INDEX(salaries_academic[],MATCH(INDEX(MfC_pers_ac_inst[Category],A609),salaries_academic[category],0),3)&gt;0,INDEX(MfC_pers_ac_inst[Costs],A609)&gt;0),$B$174,""),"")</f>
        <v/>
      </c>
      <c r="I609" s="218" t="str">
        <f>IFERROR(IF(AND(organisation_type="yes",VALUE(INDEX(MfC_pers_ac_inst[Amount],A609))&gt;0,ISBLANK(INDEX(MfC_pers_ac_inst[Organisation type],A609))),$B$175,""),"")</f>
        <v/>
      </c>
      <c r="J609" s="218" t="str">
        <f>IFERROR(IF(AND(organisation_name="yes",VALUE(INDEX(MfC_pers_ac_inst[Amount],A609))&gt;0,ISBLANK(INDEX(MfC_pers_ac_inst[Name organisation],A609)),Tabel33[organisation type]=""),$B$176,""),"")</f>
        <v/>
      </c>
    </row>
    <row r="610" spans="1:10" outlineLevel="1" x14ac:dyDescent="0.35">
      <c r="A610" s="317">
        <v>91</v>
      </c>
      <c r="B610" s="317" t="str">
        <f t="array" ref="B610">IFERROR(INDEX(Tabel33[[#This Row],[Empty line]:[organisation name]],1,MATCH(TRUE,LEN(Tabel33[[#This Row],[Empty line]:[organisation name]])&gt;0,0)),"")</f>
        <v/>
      </c>
      <c r="C610" s="195" t="str">
        <f>IFERROR(IF(AND(LEN(INDEX(MfC_pers_ac_inst[Category],$A610))+LEN(INDEX(MfC_pers_ac_inst[FTE],$A610))+LEN(INDEX(MfC_pers_ac_inst[Months],$A610))+LEN(INDEX(MfC_pers_ac_inst[Country],$A610))&gt;0,LEN(INDEX(MfC_pers_ac_inst[Category],$A610-1))+LEN(INDEX(MfC_pers_ac_inst[FTE],$A610-1))+LEN(INDEX(MfC_pers_ac_inst[Months],$A610-1))+LEN(INDEX(MfC_pers_ac_inst[Country],$A610-1))=0),$B$127,""),"")</f>
        <v/>
      </c>
      <c r="D610" s="195" t="str">
        <f>IFERROR(IF(AND(INDEX(MfC_pers_ac_inst[Category]="",$A610),OR(INDEX(MfC_pers_ac_inst[FTE],$A610)&gt;0,INDEX(MfC_pers_ac_inst[Months],$A610)&gt;0,INDEX(MfC_pers_ac_inst[Costs],$A610)&gt;0,LEN(INDEX(MfC_pers_ac_inst[Country],$A610))&gt;0)),$B$171,""),"")</f>
        <v/>
      </c>
      <c r="E610" s="195" t="e">
        <f>IF(AND(INDEX(MfC_pers_ac_inst[Category],A610)&lt;&gt;"",OR(INDEX(MfC_pers_ac_inst[FTE],A610)&lt;=0,INDEX(MfC_pers_ac_inst[Months],A610)&lt;=0)),INDEX(salaries_academic[],MATCH(INDEX(MfC_pers_ac_inst[Category],A610),salaries_academic[category],0),2),"")</f>
        <v>#REF!</v>
      </c>
      <c r="F610" s="195" t="str">
        <f>IFERROR(IF(Tabel33[Instruction]="",IF(AND(INDEX(MfC_pers_ac_inst[Country]="",A610),OR(INDEX(MfC_pers_ac_inst[Category],A610)&lt;&gt;"",INDEX(MfC_pers_ac_inst[FTE],A610)&gt;0,INDEX(MfC_pers_ac_inst[Months],A610)&gt;0,INDEX(MfC_pers_ac_inst[Costs],A610)&gt;0,LEN(INDEX(MfC_pers_ac_inst[Country],A610))&gt;0)),$B$173,""),""),"")</f>
        <v/>
      </c>
      <c r="G610" s="195" t="e">
        <f>IF(AND(Tabel33[Instruction]="",Tabel33[Country not specified]=""),IF(AND(INDEX(MfC_pers_ac_inst[Category],A610)&lt;&gt;"",INDEX(MfC_pers_ac_inst[Costs],A610)&lt;=0),IF(INDEX(salaries_academic[],MATCH(INDEX(MfC_pers_ac_inst[Category],A610),salaries_academic[category],0),3)="",$B$172,""),""),"")</f>
        <v>#REF!</v>
      </c>
      <c r="H610" s="218" t="str">
        <f>IFERROR(IF(AND(INDEX(salaries_academic[],MATCH(INDEX(MfC_pers_ac_inst[Category],A610),salaries_academic[category],0),3)&gt;0,INDEX(MfC_pers_ac_inst[Costs],A610)&gt;0),$B$174,""),"")</f>
        <v/>
      </c>
      <c r="I610" s="218" t="str">
        <f>IFERROR(IF(AND(organisation_type="yes",VALUE(INDEX(MfC_pers_ac_inst[Amount],A610))&gt;0,ISBLANK(INDEX(MfC_pers_ac_inst[Organisation type],A610))),$B$175,""),"")</f>
        <v/>
      </c>
      <c r="J610" s="218" t="str">
        <f>IFERROR(IF(AND(organisation_name="yes",VALUE(INDEX(MfC_pers_ac_inst[Amount],A610))&gt;0,ISBLANK(INDEX(MfC_pers_ac_inst[Name organisation],A610)),Tabel33[organisation type]=""),$B$176,""),"")</f>
        <v/>
      </c>
    </row>
    <row r="611" spans="1:10" outlineLevel="1" x14ac:dyDescent="0.35">
      <c r="A611" s="317">
        <v>92</v>
      </c>
      <c r="B611" s="317" t="str">
        <f t="array" ref="B611">IFERROR(INDEX(Tabel33[[#This Row],[Empty line]:[organisation name]],1,MATCH(TRUE,LEN(Tabel33[[#This Row],[Empty line]:[organisation name]])&gt;0,0)),"")</f>
        <v/>
      </c>
      <c r="C611" s="195" t="str">
        <f>IFERROR(IF(AND(LEN(INDEX(MfC_pers_ac_inst[Category],$A611))+LEN(INDEX(MfC_pers_ac_inst[FTE],$A611))+LEN(INDEX(MfC_pers_ac_inst[Months],$A611))+LEN(INDEX(MfC_pers_ac_inst[Country],$A611))&gt;0,LEN(INDEX(MfC_pers_ac_inst[Category],$A611-1))+LEN(INDEX(MfC_pers_ac_inst[FTE],$A611-1))+LEN(INDEX(MfC_pers_ac_inst[Months],$A611-1))+LEN(INDEX(MfC_pers_ac_inst[Country],$A611-1))=0),$B$127,""),"")</f>
        <v/>
      </c>
      <c r="D611" s="195" t="str">
        <f>IFERROR(IF(AND(INDEX(MfC_pers_ac_inst[Category]="",$A611),OR(INDEX(MfC_pers_ac_inst[FTE],$A611)&gt;0,INDEX(MfC_pers_ac_inst[Months],$A611)&gt;0,INDEX(MfC_pers_ac_inst[Costs],$A611)&gt;0,LEN(INDEX(MfC_pers_ac_inst[Country],$A611))&gt;0)),$B$171,""),"")</f>
        <v/>
      </c>
      <c r="E611" s="195" t="e">
        <f>IF(AND(INDEX(MfC_pers_ac_inst[Category],A611)&lt;&gt;"",OR(INDEX(MfC_pers_ac_inst[FTE],A611)&lt;=0,INDEX(MfC_pers_ac_inst[Months],A611)&lt;=0)),INDEX(salaries_academic[],MATCH(INDEX(MfC_pers_ac_inst[Category],A611),salaries_academic[category],0),2),"")</f>
        <v>#REF!</v>
      </c>
      <c r="F611" s="195" t="str">
        <f>IFERROR(IF(Tabel33[Instruction]="",IF(AND(INDEX(MfC_pers_ac_inst[Country]="",A611),OR(INDEX(MfC_pers_ac_inst[Category],A611)&lt;&gt;"",INDEX(MfC_pers_ac_inst[FTE],A611)&gt;0,INDEX(MfC_pers_ac_inst[Months],A611)&gt;0,INDEX(MfC_pers_ac_inst[Costs],A611)&gt;0,LEN(INDEX(MfC_pers_ac_inst[Country],A611))&gt;0)),$B$173,""),""),"")</f>
        <v/>
      </c>
      <c r="G611" s="195" t="e">
        <f>IF(AND(Tabel33[Instruction]="",Tabel33[Country not specified]=""),IF(AND(INDEX(MfC_pers_ac_inst[Category],A611)&lt;&gt;"",INDEX(MfC_pers_ac_inst[Costs],A611)&lt;=0),IF(INDEX(salaries_academic[],MATCH(INDEX(MfC_pers_ac_inst[Category],A611),salaries_academic[category],0),3)="",$B$172,""),""),"")</f>
        <v>#REF!</v>
      </c>
      <c r="H611" s="218" t="str">
        <f>IFERROR(IF(AND(INDEX(salaries_academic[],MATCH(INDEX(MfC_pers_ac_inst[Category],A611),salaries_academic[category],0),3)&gt;0,INDEX(MfC_pers_ac_inst[Costs],A611)&gt;0),$B$174,""),"")</f>
        <v/>
      </c>
      <c r="I611" s="218" t="str">
        <f>IFERROR(IF(AND(organisation_type="yes",VALUE(INDEX(MfC_pers_ac_inst[Amount],A611))&gt;0,ISBLANK(INDEX(MfC_pers_ac_inst[Organisation type],A611))),$B$175,""),"")</f>
        <v/>
      </c>
      <c r="J611" s="218" t="str">
        <f>IFERROR(IF(AND(organisation_name="yes",VALUE(INDEX(MfC_pers_ac_inst[Amount],A611))&gt;0,ISBLANK(INDEX(MfC_pers_ac_inst[Name organisation],A611)),Tabel33[organisation type]=""),$B$176,""),"")</f>
        <v/>
      </c>
    </row>
    <row r="612" spans="1:10" outlineLevel="1" x14ac:dyDescent="0.35">
      <c r="A612" s="317">
        <v>93</v>
      </c>
      <c r="B612" s="317" t="str">
        <f t="array" ref="B612">IFERROR(INDEX(Tabel33[[#This Row],[Empty line]:[organisation name]],1,MATCH(TRUE,LEN(Tabel33[[#This Row],[Empty line]:[organisation name]])&gt;0,0)),"")</f>
        <v/>
      </c>
      <c r="C612" s="195" t="str">
        <f>IFERROR(IF(AND(LEN(INDEX(MfC_pers_ac_inst[Category],$A612))+LEN(INDEX(MfC_pers_ac_inst[FTE],$A612))+LEN(INDEX(MfC_pers_ac_inst[Months],$A612))+LEN(INDEX(MfC_pers_ac_inst[Country],$A612))&gt;0,LEN(INDEX(MfC_pers_ac_inst[Category],$A612-1))+LEN(INDEX(MfC_pers_ac_inst[FTE],$A612-1))+LEN(INDEX(MfC_pers_ac_inst[Months],$A612-1))+LEN(INDEX(MfC_pers_ac_inst[Country],$A612-1))=0),$B$127,""),"")</f>
        <v/>
      </c>
      <c r="D612" s="195" t="str">
        <f>IFERROR(IF(AND(INDEX(MfC_pers_ac_inst[Category]="",$A612),OR(INDEX(MfC_pers_ac_inst[FTE],$A612)&gt;0,INDEX(MfC_pers_ac_inst[Months],$A612)&gt;0,INDEX(MfC_pers_ac_inst[Costs],$A612)&gt;0,LEN(INDEX(MfC_pers_ac_inst[Country],$A612))&gt;0)),$B$171,""),"")</f>
        <v/>
      </c>
      <c r="E612" s="195" t="e">
        <f>IF(AND(INDEX(MfC_pers_ac_inst[Category],A612)&lt;&gt;"",OR(INDEX(MfC_pers_ac_inst[FTE],A612)&lt;=0,INDEX(MfC_pers_ac_inst[Months],A612)&lt;=0)),INDEX(salaries_academic[],MATCH(INDEX(MfC_pers_ac_inst[Category],A612),salaries_academic[category],0),2),"")</f>
        <v>#REF!</v>
      </c>
      <c r="F612" s="195" t="str">
        <f>IFERROR(IF(Tabel33[Instruction]="",IF(AND(INDEX(MfC_pers_ac_inst[Country]="",A612),OR(INDEX(MfC_pers_ac_inst[Category],A612)&lt;&gt;"",INDEX(MfC_pers_ac_inst[FTE],A612)&gt;0,INDEX(MfC_pers_ac_inst[Months],A612)&gt;0,INDEX(MfC_pers_ac_inst[Costs],A612)&gt;0,LEN(INDEX(MfC_pers_ac_inst[Country],A612))&gt;0)),$B$173,""),""),"")</f>
        <v/>
      </c>
      <c r="G612" s="195" t="e">
        <f>IF(AND(Tabel33[Instruction]="",Tabel33[Country not specified]=""),IF(AND(INDEX(MfC_pers_ac_inst[Category],A612)&lt;&gt;"",INDEX(MfC_pers_ac_inst[Costs],A612)&lt;=0),IF(INDEX(salaries_academic[],MATCH(INDEX(MfC_pers_ac_inst[Category],A612),salaries_academic[category],0),3)="",$B$172,""),""),"")</f>
        <v>#REF!</v>
      </c>
      <c r="H612" s="218" t="str">
        <f>IFERROR(IF(AND(INDEX(salaries_academic[],MATCH(INDEX(MfC_pers_ac_inst[Category],A612),salaries_academic[category],0),3)&gt;0,INDEX(MfC_pers_ac_inst[Costs],A612)&gt;0),$B$174,""),"")</f>
        <v/>
      </c>
      <c r="I612" s="218" t="str">
        <f>IFERROR(IF(AND(organisation_type="yes",VALUE(INDEX(MfC_pers_ac_inst[Amount],A612))&gt;0,ISBLANK(INDEX(MfC_pers_ac_inst[Organisation type],A612))),$B$175,""),"")</f>
        <v/>
      </c>
      <c r="J612" s="218" t="str">
        <f>IFERROR(IF(AND(organisation_name="yes",VALUE(INDEX(MfC_pers_ac_inst[Amount],A612))&gt;0,ISBLANK(INDEX(MfC_pers_ac_inst[Name organisation],A612)),Tabel33[organisation type]=""),$B$176,""),"")</f>
        <v/>
      </c>
    </row>
    <row r="613" spans="1:10" outlineLevel="1" x14ac:dyDescent="0.35">
      <c r="A613" s="317">
        <v>94</v>
      </c>
      <c r="B613" s="317" t="str">
        <f t="array" ref="B613">IFERROR(INDEX(Tabel33[[#This Row],[Empty line]:[organisation name]],1,MATCH(TRUE,LEN(Tabel33[[#This Row],[Empty line]:[organisation name]])&gt;0,0)),"")</f>
        <v/>
      </c>
      <c r="C613" s="195" t="str">
        <f>IFERROR(IF(AND(LEN(INDEX(MfC_pers_ac_inst[Category],$A613))+LEN(INDEX(MfC_pers_ac_inst[FTE],$A613))+LEN(INDEX(MfC_pers_ac_inst[Months],$A613))+LEN(INDEX(MfC_pers_ac_inst[Country],$A613))&gt;0,LEN(INDEX(MfC_pers_ac_inst[Category],$A613-1))+LEN(INDEX(MfC_pers_ac_inst[FTE],$A613-1))+LEN(INDEX(MfC_pers_ac_inst[Months],$A613-1))+LEN(INDEX(MfC_pers_ac_inst[Country],$A613-1))=0),$B$127,""),"")</f>
        <v/>
      </c>
      <c r="D613" s="195" t="str">
        <f>IFERROR(IF(AND(INDEX(MfC_pers_ac_inst[Category]="",$A613),OR(INDEX(MfC_pers_ac_inst[FTE],$A613)&gt;0,INDEX(MfC_pers_ac_inst[Months],$A613)&gt;0,INDEX(MfC_pers_ac_inst[Costs],$A613)&gt;0,LEN(INDEX(MfC_pers_ac_inst[Country],$A613))&gt;0)),$B$171,""),"")</f>
        <v/>
      </c>
      <c r="E613" s="195" t="e">
        <f>IF(AND(INDEX(MfC_pers_ac_inst[Category],A613)&lt;&gt;"",OR(INDEX(MfC_pers_ac_inst[FTE],A613)&lt;=0,INDEX(MfC_pers_ac_inst[Months],A613)&lt;=0)),INDEX(salaries_academic[],MATCH(INDEX(MfC_pers_ac_inst[Category],A613),salaries_academic[category],0),2),"")</f>
        <v>#REF!</v>
      </c>
      <c r="F613" s="195" t="str">
        <f>IFERROR(IF(Tabel33[Instruction]="",IF(AND(INDEX(MfC_pers_ac_inst[Country]="",A613),OR(INDEX(MfC_pers_ac_inst[Category],A613)&lt;&gt;"",INDEX(MfC_pers_ac_inst[FTE],A613)&gt;0,INDEX(MfC_pers_ac_inst[Months],A613)&gt;0,INDEX(MfC_pers_ac_inst[Costs],A613)&gt;0,LEN(INDEX(MfC_pers_ac_inst[Country],A613))&gt;0)),$B$173,""),""),"")</f>
        <v/>
      </c>
      <c r="G613" s="195" t="e">
        <f>IF(AND(Tabel33[Instruction]="",Tabel33[Country not specified]=""),IF(AND(INDEX(MfC_pers_ac_inst[Category],A613)&lt;&gt;"",INDEX(MfC_pers_ac_inst[Costs],A613)&lt;=0),IF(INDEX(salaries_academic[],MATCH(INDEX(MfC_pers_ac_inst[Category],A613),salaries_academic[category],0),3)="",$B$172,""),""),"")</f>
        <v>#REF!</v>
      </c>
      <c r="H613" s="218" t="str">
        <f>IFERROR(IF(AND(INDEX(salaries_academic[],MATCH(INDEX(MfC_pers_ac_inst[Category],A613),salaries_academic[category],0),3)&gt;0,INDEX(MfC_pers_ac_inst[Costs],A613)&gt;0),$B$174,""),"")</f>
        <v/>
      </c>
      <c r="I613" s="218" t="str">
        <f>IFERROR(IF(AND(organisation_type="yes",VALUE(INDEX(MfC_pers_ac_inst[Amount],A613))&gt;0,ISBLANK(INDEX(MfC_pers_ac_inst[Organisation type],A613))),$B$175,""),"")</f>
        <v/>
      </c>
      <c r="J613" s="218" t="str">
        <f>IFERROR(IF(AND(organisation_name="yes",VALUE(INDEX(MfC_pers_ac_inst[Amount],A613))&gt;0,ISBLANK(INDEX(MfC_pers_ac_inst[Name organisation],A613)),Tabel33[organisation type]=""),$B$176,""),"")</f>
        <v/>
      </c>
    </row>
    <row r="614" spans="1:10" outlineLevel="1" x14ac:dyDescent="0.35">
      <c r="A614" s="317">
        <v>95</v>
      </c>
      <c r="B614" s="317" t="str">
        <f t="array" ref="B614">IFERROR(INDEX(Tabel33[[#This Row],[Empty line]:[organisation name]],1,MATCH(TRUE,LEN(Tabel33[[#This Row],[Empty line]:[organisation name]])&gt;0,0)),"")</f>
        <v/>
      </c>
      <c r="C614" s="195" t="str">
        <f>IFERROR(IF(AND(LEN(INDEX(MfC_pers_ac_inst[Category],$A614))+LEN(INDEX(MfC_pers_ac_inst[FTE],$A614))+LEN(INDEX(MfC_pers_ac_inst[Months],$A614))+LEN(INDEX(MfC_pers_ac_inst[Country],$A614))&gt;0,LEN(INDEX(MfC_pers_ac_inst[Category],$A614-1))+LEN(INDEX(MfC_pers_ac_inst[FTE],$A614-1))+LEN(INDEX(MfC_pers_ac_inst[Months],$A614-1))+LEN(INDEX(MfC_pers_ac_inst[Country],$A614-1))=0),$B$127,""),"")</f>
        <v/>
      </c>
      <c r="D614" s="195" t="str">
        <f>IFERROR(IF(AND(INDEX(MfC_pers_ac_inst[Category]="",$A614),OR(INDEX(MfC_pers_ac_inst[FTE],$A614)&gt;0,INDEX(MfC_pers_ac_inst[Months],$A614)&gt;0,INDEX(MfC_pers_ac_inst[Costs],$A614)&gt;0,LEN(INDEX(MfC_pers_ac_inst[Country],$A614))&gt;0)),$B$171,""),"")</f>
        <v/>
      </c>
      <c r="E614" s="195" t="e">
        <f>IF(AND(INDEX(MfC_pers_ac_inst[Category],A614)&lt;&gt;"",OR(INDEX(MfC_pers_ac_inst[FTE],A614)&lt;=0,INDEX(MfC_pers_ac_inst[Months],A614)&lt;=0)),INDEX(salaries_academic[],MATCH(INDEX(MfC_pers_ac_inst[Category],A614),salaries_academic[category],0),2),"")</f>
        <v>#REF!</v>
      </c>
      <c r="F614" s="195" t="str">
        <f>IFERROR(IF(Tabel33[Instruction]="",IF(AND(INDEX(MfC_pers_ac_inst[Country]="",A614),OR(INDEX(MfC_pers_ac_inst[Category],A614)&lt;&gt;"",INDEX(MfC_pers_ac_inst[FTE],A614)&gt;0,INDEX(MfC_pers_ac_inst[Months],A614)&gt;0,INDEX(MfC_pers_ac_inst[Costs],A614)&gt;0,LEN(INDEX(MfC_pers_ac_inst[Country],A614))&gt;0)),$B$173,""),""),"")</f>
        <v/>
      </c>
      <c r="G614" s="195" t="e">
        <f>IF(AND(Tabel33[Instruction]="",Tabel33[Country not specified]=""),IF(AND(INDEX(MfC_pers_ac_inst[Category],A614)&lt;&gt;"",INDEX(MfC_pers_ac_inst[Costs],A614)&lt;=0),IF(INDEX(salaries_academic[],MATCH(INDEX(MfC_pers_ac_inst[Category],A614),salaries_academic[category],0),3)="",$B$172,""),""),"")</f>
        <v>#REF!</v>
      </c>
      <c r="H614" s="218" t="str">
        <f>IFERROR(IF(AND(INDEX(salaries_academic[],MATCH(INDEX(MfC_pers_ac_inst[Category],A614),salaries_academic[category],0),3)&gt;0,INDEX(MfC_pers_ac_inst[Costs],A614)&gt;0),$B$174,""),"")</f>
        <v/>
      </c>
      <c r="I614" s="218" t="str">
        <f>IFERROR(IF(AND(organisation_type="yes",VALUE(INDEX(MfC_pers_ac_inst[Amount],A614))&gt;0,ISBLANK(INDEX(MfC_pers_ac_inst[Organisation type],A614))),$B$175,""),"")</f>
        <v/>
      </c>
      <c r="J614" s="218" t="str">
        <f>IFERROR(IF(AND(organisation_name="yes",VALUE(INDEX(MfC_pers_ac_inst[Amount],A614))&gt;0,ISBLANK(INDEX(MfC_pers_ac_inst[Name organisation],A614)),Tabel33[organisation type]=""),$B$176,""),"")</f>
        <v/>
      </c>
    </row>
    <row r="615" spans="1:10" outlineLevel="1" x14ac:dyDescent="0.35">
      <c r="A615" s="317">
        <v>96</v>
      </c>
      <c r="B615" s="317" t="str">
        <f t="array" ref="B615">IFERROR(INDEX(Tabel33[[#This Row],[Empty line]:[organisation name]],1,MATCH(TRUE,LEN(Tabel33[[#This Row],[Empty line]:[organisation name]])&gt;0,0)),"")</f>
        <v/>
      </c>
      <c r="C615" s="195" t="str">
        <f>IFERROR(IF(AND(LEN(INDEX(MfC_pers_ac_inst[Category],$A615))+LEN(INDEX(MfC_pers_ac_inst[FTE],$A615))+LEN(INDEX(MfC_pers_ac_inst[Months],$A615))+LEN(INDEX(MfC_pers_ac_inst[Country],$A615))&gt;0,LEN(INDEX(MfC_pers_ac_inst[Category],$A615-1))+LEN(INDEX(MfC_pers_ac_inst[FTE],$A615-1))+LEN(INDEX(MfC_pers_ac_inst[Months],$A615-1))+LEN(INDEX(MfC_pers_ac_inst[Country],$A615-1))=0),$B$127,""),"")</f>
        <v/>
      </c>
      <c r="D615" s="195" t="str">
        <f>IFERROR(IF(AND(INDEX(MfC_pers_ac_inst[Category]="",$A615),OR(INDEX(MfC_pers_ac_inst[FTE],$A615)&gt;0,INDEX(MfC_pers_ac_inst[Months],$A615)&gt;0,INDEX(MfC_pers_ac_inst[Costs],$A615)&gt;0,LEN(INDEX(MfC_pers_ac_inst[Country],$A615))&gt;0)),$B$171,""),"")</f>
        <v/>
      </c>
      <c r="E615" s="195" t="e">
        <f>IF(AND(INDEX(MfC_pers_ac_inst[Category],A615)&lt;&gt;"",OR(INDEX(MfC_pers_ac_inst[FTE],A615)&lt;=0,INDEX(MfC_pers_ac_inst[Months],A615)&lt;=0)),INDEX(salaries_academic[],MATCH(INDEX(MfC_pers_ac_inst[Category],A615),salaries_academic[category],0),2),"")</f>
        <v>#REF!</v>
      </c>
      <c r="F615" s="195" t="str">
        <f>IFERROR(IF(Tabel33[Instruction]="",IF(AND(INDEX(MfC_pers_ac_inst[Country]="",A615),OR(INDEX(MfC_pers_ac_inst[Category],A615)&lt;&gt;"",INDEX(MfC_pers_ac_inst[FTE],A615)&gt;0,INDEX(MfC_pers_ac_inst[Months],A615)&gt;0,INDEX(MfC_pers_ac_inst[Costs],A615)&gt;0,LEN(INDEX(MfC_pers_ac_inst[Country],A615))&gt;0)),$B$173,""),""),"")</f>
        <v/>
      </c>
      <c r="G615" s="195" t="e">
        <f>IF(AND(Tabel33[Instruction]="",Tabel33[Country not specified]=""),IF(AND(INDEX(MfC_pers_ac_inst[Category],A615)&lt;&gt;"",INDEX(MfC_pers_ac_inst[Costs],A615)&lt;=0),IF(INDEX(salaries_academic[],MATCH(INDEX(MfC_pers_ac_inst[Category],A615),salaries_academic[category],0),3)="",$B$172,""),""),"")</f>
        <v>#REF!</v>
      </c>
      <c r="H615" s="218" t="str">
        <f>IFERROR(IF(AND(INDEX(salaries_academic[],MATCH(INDEX(MfC_pers_ac_inst[Category],A615),salaries_academic[category],0),3)&gt;0,INDEX(MfC_pers_ac_inst[Costs],A615)&gt;0),$B$174,""),"")</f>
        <v/>
      </c>
      <c r="I615" s="218" t="str">
        <f>IFERROR(IF(AND(organisation_type="yes",VALUE(INDEX(MfC_pers_ac_inst[Amount],A615))&gt;0,ISBLANK(INDEX(MfC_pers_ac_inst[Organisation type],A615))),$B$175,""),"")</f>
        <v/>
      </c>
      <c r="J615" s="218" t="str">
        <f>IFERROR(IF(AND(organisation_name="yes",VALUE(INDEX(MfC_pers_ac_inst[Amount],A615))&gt;0,ISBLANK(INDEX(MfC_pers_ac_inst[Name organisation],A615)),Tabel33[organisation type]=""),$B$176,""),"")</f>
        <v/>
      </c>
    </row>
    <row r="616" spans="1:10" outlineLevel="1" x14ac:dyDescent="0.35">
      <c r="A616" s="317">
        <v>97</v>
      </c>
      <c r="B616" s="317" t="str">
        <f t="array" ref="B616">IFERROR(INDEX(Tabel33[[#This Row],[Empty line]:[organisation name]],1,MATCH(TRUE,LEN(Tabel33[[#This Row],[Empty line]:[organisation name]])&gt;0,0)),"")</f>
        <v/>
      </c>
      <c r="C616" s="195" t="str">
        <f>IFERROR(IF(AND(LEN(INDEX(MfC_pers_ac_inst[Category],$A616))+LEN(INDEX(MfC_pers_ac_inst[FTE],$A616))+LEN(INDEX(MfC_pers_ac_inst[Months],$A616))+LEN(INDEX(MfC_pers_ac_inst[Country],$A616))&gt;0,LEN(INDEX(MfC_pers_ac_inst[Category],$A616-1))+LEN(INDEX(MfC_pers_ac_inst[FTE],$A616-1))+LEN(INDEX(MfC_pers_ac_inst[Months],$A616-1))+LEN(INDEX(MfC_pers_ac_inst[Country],$A616-1))=0),$B$127,""),"")</f>
        <v/>
      </c>
      <c r="D616" s="195" t="str">
        <f>IFERROR(IF(AND(INDEX(MfC_pers_ac_inst[Category]="",$A616),OR(INDEX(MfC_pers_ac_inst[FTE],$A616)&gt;0,INDEX(MfC_pers_ac_inst[Months],$A616)&gt;0,INDEX(MfC_pers_ac_inst[Costs],$A616)&gt;0,LEN(INDEX(MfC_pers_ac_inst[Country],$A616))&gt;0)),$B$171,""),"")</f>
        <v/>
      </c>
      <c r="E616" s="195" t="e">
        <f>IF(AND(INDEX(MfC_pers_ac_inst[Category],A616)&lt;&gt;"",OR(INDEX(MfC_pers_ac_inst[FTE],A616)&lt;=0,INDEX(MfC_pers_ac_inst[Months],A616)&lt;=0)),INDEX(salaries_academic[],MATCH(INDEX(MfC_pers_ac_inst[Category],A616),salaries_academic[category],0),2),"")</f>
        <v>#REF!</v>
      </c>
      <c r="F616" s="195" t="str">
        <f>IFERROR(IF(Tabel33[Instruction]="",IF(AND(INDEX(MfC_pers_ac_inst[Country]="",A616),OR(INDEX(MfC_pers_ac_inst[Category],A616)&lt;&gt;"",INDEX(MfC_pers_ac_inst[FTE],A616)&gt;0,INDEX(MfC_pers_ac_inst[Months],A616)&gt;0,INDEX(MfC_pers_ac_inst[Costs],A616)&gt;0,LEN(INDEX(MfC_pers_ac_inst[Country],A616))&gt;0)),$B$173,""),""),"")</f>
        <v/>
      </c>
      <c r="G616" s="195" t="e">
        <f>IF(AND(Tabel33[Instruction]="",Tabel33[Country not specified]=""),IF(AND(INDEX(MfC_pers_ac_inst[Category],A616)&lt;&gt;"",INDEX(MfC_pers_ac_inst[Costs],A616)&lt;=0),IF(INDEX(salaries_academic[],MATCH(INDEX(MfC_pers_ac_inst[Category],A616),salaries_academic[category],0),3)="",$B$172,""),""),"")</f>
        <v>#REF!</v>
      </c>
      <c r="H616" s="218" t="str">
        <f>IFERROR(IF(AND(INDEX(salaries_academic[],MATCH(INDEX(MfC_pers_ac_inst[Category],A616),salaries_academic[category],0),3)&gt;0,INDEX(MfC_pers_ac_inst[Costs],A616)&gt;0),$B$174,""),"")</f>
        <v/>
      </c>
      <c r="I616" s="218" t="str">
        <f>IFERROR(IF(AND(organisation_type="yes",VALUE(INDEX(MfC_pers_ac_inst[Amount],A616))&gt;0,ISBLANK(INDEX(MfC_pers_ac_inst[Organisation type],A616))),$B$175,""),"")</f>
        <v/>
      </c>
      <c r="J616" s="218" t="str">
        <f>IFERROR(IF(AND(organisation_name="yes",VALUE(INDEX(MfC_pers_ac_inst[Amount],A616))&gt;0,ISBLANK(INDEX(MfC_pers_ac_inst[Name organisation],A616)),Tabel33[organisation type]=""),$B$176,""),"")</f>
        <v/>
      </c>
    </row>
    <row r="617" spans="1:10" outlineLevel="1" x14ac:dyDescent="0.35">
      <c r="A617" s="317">
        <v>98</v>
      </c>
      <c r="B617" s="317" t="str">
        <f t="array" ref="B617">IFERROR(INDEX(Tabel33[[#This Row],[Empty line]:[organisation name]],1,MATCH(TRUE,LEN(Tabel33[[#This Row],[Empty line]:[organisation name]])&gt;0,0)),"")</f>
        <v/>
      </c>
      <c r="C617" s="195" t="str">
        <f>IFERROR(IF(AND(LEN(INDEX(MfC_pers_ac_inst[Category],$A617))+LEN(INDEX(MfC_pers_ac_inst[FTE],$A617))+LEN(INDEX(MfC_pers_ac_inst[Months],$A617))+LEN(INDEX(MfC_pers_ac_inst[Country],$A617))&gt;0,LEN(INDEX(MfC_pers_ac_inst[Category],$A617-1))+LEN(INDEX(MfC_pers_ac_inst[FTE],$A617-1))+LEN(INDEX(MfC_pers_ac_inst[Months],$A617-1))+LEN(INDEX(MfC_pers_ac_inst[Country],$A617-1))=0),$B$127,""),"")</f>
        <v/>
      </c>
      <c r="D617" s="195" t="str">
        <f>IFERROR(IF(AND(INDEX(MfC_pers_ac_inst[Category]="",$A617),OR(INDEX(MfC_pers_ac_inst[FTE],$A617)&gt;0,INDEX(MfC_pers_ac_inst[Months],$A617)&gt;0,INDEX(MfC_pers_ac_inst[Costs],$A617)&gt;0,LEN(INDEX(MfC_pers_ac_inst[Country],$A617))&gt;0)),$B$171,""),"")</f>
        <v/>
      </c>
      <c r="E617" s="195" t="e">
        <f>IF(AND(INDEX(MfC_pers_ac_inst[Category],A617)&lt;&gt;"",OR(INDEX(MfC_pers_ac_inst[FTE],A617)&lt;=0,INDEX(MfC_pers_ac_inst[Months],A617)&lt;=0)),INDEX(salaries_academic[],MATCH(INDEX(MfC_pers_ac_inst[Category],A617),salaries_academic[category],0),2),"")</f>
        <v>#REF!</v>
      </c>
      <c r="F617" s="195" t="str">
        <f>IFERROR(IF(Tabel33[Instruction]="",IF(AND(INDEX(MfC_pers_ac_inst[Country]="",A617),OR(INDEX(MfC_pers_ac_inst[Category],A617)&lt;&gt;"",INDEX(MfC_pers_ac_inst[FTE],A617)&gt;0,INDEX(MfC_pers_ac_inst[Months],A617)&gt;0,INDEX(MfC_pers_ac_inst[Costs],A617)&gt;0,LEN(INDEX(MfC_pers_ac_inst[Country],A617))&gt;0)),$B$173,""),""),"")</f>
        <v/>
      </c>
      <c r="G617" s="195" t="e">
        <f>IF(AND(Tabel33[Instruction]="",Tabel33[Country not specified]=""),IF(AND(INDEX(MfC_pers_ac_inst[Category],A617)&lt;&gt;"",INDEX(MfC_pers_ac_inst[Costs],A617)&lt;=0),IF(INDEX(salaries_academic[],MATCH(INDEX(MfC_pers_ac_inst[Category],A617),salaries_academic[category],0),3)="",$B$172,""),""),"")</f>
        <v>#REF!</v>
      </c>
      <c r="H617" s="218" t="str">
        <f>IFERROR(IF(AND(INDEX(salaries_academic[],MATCH(INDEX(MfC_pers_ac_inst[Category],A617),salaries_academic[category],0),3)&gt;0,INDEX(MfC_pers_ac_inst[Costs],A617)&gt;0),$B$174,""),"")</f>
        <v/>
      </c>
      <c r="I617" s="218" t="str">
        <f>IFERROR(IF(AND(organisation_type="yes",VALUE(INDEX(MfC_pers_ac_inst[Amount],A617))&gt;0,ISBLANK(INDEX(MfC_pers_ac_inst[Organisation type],A617))),$B$175,""),"")</f>
        <v/>
      </c>
      <c r="J617" s="218" t="str">
        <f>IFERROR(IF(AND(organisation_name="yes",VALUE(INDEX(MfC_pers_ac_inst[Amount],A617))&gt;0,ISBLANK(INDEX(MfC_pers_ac_inst[Name organisation],A617)),Tabel33[organisation type]=""),$B$176,""),"")</f>
        <v/>
      </c>
    </row>
    <row r="618" spans="1:10" outlineLevel="1" x14ac:dyDescent="0.35">
      <c r="A618" s="317">
        <v>99</v>
      </c>
      <c r="B618" s="317" t="str">
        <f t="array" ref="B618">IFERROR(INDEX(Tabel33[[#This Row],[Empty line]:[organisation name]],1,MATCH(TRUE,LEN(Tabel33[[#This Row],[Empty line]:[organisation name]])&gt;0,0)),"")</f>
        <v/>
      </c>
      <c r="C618" s="195" t="str">
        <f>IFERROR(IF(AND(LEN(INDEX(MfC_pers_ac_inst[Category],$A618))+LEN(INDEX(MfC_pers_ac_inst[FTE],$A618))+LEN(INDEX(MfC_pers_ac_inst[Months],$A618))+LEN(INDEX(MfC_pers_ac_inst[Country],$A618))&gt;0,LEN(INDEX(MfC_pers_ac_inst[Category],$A618-1))+LEN(INDEX(MfC_pers_ac_inst[FTE],$A618-1))+LEN(INDEX(MfC_pers_ac_inst[Months],$A618-1))+LEN(INDEX(MfC_pers_ac_inst[Country],$A618-1))=0),$B$127,""),"")</f>
        <v/>
      </c>
      <c r="D618" s="195" t="str">
        <f>IFERROR(IF(AND(INDEX(MfC_pers_ac_inst[Category]="",$A618),OR(INDEX(MfC_pers_ac_inst[FTE],$A618)&gt;0,INDEX(MfC_pers_ac_inst[Months],$A618)&gt;0,INDEX(MfC_pers_ac_inst[Costs],$A618)&gt;0,LEN(INDEX(MfC_pers_ac_inst[Country],$A618))&gt;0)),$B$171,""),"")</f>
        <v/>
      </c>
      <c r="E618" s="195" t="e">
        <f>IF(AND(INDEX(MfC_pers_ac_inst[Category],A618)&lt;&gt;"",OR(INDEX(MfC_pers_ac_inst[FTE],A618)&lt;=0,INDEX(MfC_pers_ac_inst[Months],A618)&lt;=0)),INDEX(salaries_academic[],MATCH(INDEX(MfC_pers_ac_inst[Category],A618),salaries_academic[category],0),2),"")</f>
        <v>#REF!</v>
      </c>
      <c r="F618" s="195" t="str">
        <f>IFERROR(IF(Tabel33[Instruction]="",IF(AND(INDEX(MfC_pers_ac_inst[Country]="",A618),OR(INDEX(MfC_pers_ac_inst[Category],A618)&lt;&gt;"",INDEX(MfC_pers_ac_inst[FTE],A618)&gt;0,INDEX(MfC_pers_ac_inst[Months],A618)&gt;0,INDEX(MfC_pers_ac_inst[Costs],A618)&gt;0,LEN(INDEX(MfC_pers_ac_inst[Country],A618))&gt;0)),$B$173,""),""),"")</f>
        <v/>
      </c>
      <c r="G618" s="195" t="e">
        <f>IF(AND(Tabel33[Instruction]="",Tabel33[Country not specified]=""),IF(AND(INDEX(MfC_pers_ac_inst[Category],A618)&lt;&gt;"",INDEX(MfC_pers_ac_inst[Costs],A618)&lt;=0),IF(INDEX(salaries_academic[],MATCH(INDEX(MfC_pers_ac_inst[Category],A618),salaries_academic[category],0),3)="",$B$172,""),""),"")</f>
        <v>#REF!</v>
      </c>
      <c r="H618" s="218" t="str">
        <f>IFERROR(IF(AND(INDEX(salaries_academic[],MATCH(INDEX(MfC_pers_ac_inst[Category],A618),salaries_academic[category],0),3)&gt;0,INDEX(MfC_pers_ac_inst[Costs],A618)&gt;0),$B$174,""),"")</f>
        <v/>
      </c>
      <c r="I618" s="218" t="str">
        <f>IFERROR(IF(AND(organisation_type="yes",VALUE(INDEX(MfC_pers_ac_inst[Amount],A618))&gt;0,ISBLANK(INDEX(MfC_pers_ac_inst[Organisation type],A618))),$B$175,""),"")</f>
        <v/>
      </c>
      <c r="J618" s="218" t="str">
        <f>IFERROR(IF(AND(organisation_name="yes",VALUE(INDEX(MfC_pers_ac_inst[Amount],A618))&gt;0,ISBLANK(INDEX(MfC_pers_ac_inst[Name organisation],A618)),Tabel33[organisation type]=""),$B$176,""),"")</f>
        <v/>
      </c>
    </row>
    <row r="619" spans="1:10" outlineLevel="1" x14ac:dyDescent="0.35">
      <c r="A619" s="317">
        <v>100</v>
      </c>
      <c r="B619" s="317" t="str">
        <f t="array" ref="B619">IFERROR(INDEX(Tabel33[[#This Row],[Empty line]:[organisation name]],1,MATCH(TRUE,LEN(Tabel33[[#This Row],[Empty line]:[organisation name]])&gt;0,0)),"")</f>
        <v/>
      </c>
      <c r="C619" s="195" t="str">
        <f>IFERROR(IF(AND(LEN(INDEX(MfC_pers_ac_inst[Category],$A619))+LEN(INDEX(MfC_pers_ac_inst[FTE],$A619))+LEN(INDEX(MfC_pers_ac_inst[Months],$A619))+LEN(INDEX(MfC_pers_ac_inst[Country],$A619))&gt;0,LEN(INDEX(MfC_pers_ac_inst[Category],$A619-1))+LEN(INDEX(MfC_pers_ac_inst[FTE],$A619-1))+LEN(INDEX(MfC_pers_ac_inst[Months],$A619-1))+LEN(INDEX(MfC_pers_ac_inst[Country],$A619-1))=0),$B$127,""),"")</f>
        <v/>
      </c>
      <c r="D619" s="195" t="str">
        <f>IFERROR(IF(AND(INDEX(MfC_pers_ac_inst[Category]="",$A619),OR(INDEX(MfC_pers_ac_inst[FTE],$A619)&gt;0,INDEX(MfC_pers_ac_inst[Months],$A619)&gt;0,INDEX(MfC_pers_ac_inst[Costs],$A619)&gt;0,LEN(INDEX(MfC_pers_ac_inst[Country],$A619))&gt;0)),$B$171,""),"")</f>
        <v/>
      </c>
      <c r="E619" s="195" t="e">
        <f>IF(AND(INDEX(MfC_pers_ac_inst[Category],A619)&lt;&gt;"",OR(INDEX(MfC_pers_ac_inst[FTE],A619)&lt;=0,INDEX(MfC_pers_ac_inst[Months],A619)&lt;=0)),INDEX(salaries_academic[],MATCH(INDEX(MfC_pers_ac_inst[Category],A619),salaries_academic[category],0),2),"")</f>
        <v>#REF!</v>
      </c>
      <c r="F619" s="195" t="str">
        <f>IFERROR(IF(Tabel33[Instruction]="",IF(AND(INDEX(MfC_pers_ac_inst[Country]="",A619),OR(INDEX(MfC_pers_ac_inst[Category],A619)&lt;&gt;"",INDEX(MfC_pers_ac_inst[FTE],A619)&gt;0,INDEX(MfC_pers_ac_inst[Months],A619)&gt;0,INDEX(MfC_pers_ac_inst[Costs],A619)&gt;0,LEN(INDEX(MfC_pers_ac_inst[Country],A619))&gt;0)),$B$173,""),""),"")</f>
        <v/>
      </c>
      <c r="G619" s="195" t="e">
        <f>IF(AND(Tabel33[Instruction]="",Tabel33[Country not specified]=""),IF(AND(INDEX(MfC_pers_ac_inst[Category],A619)&lt;&gt;"",INDEX(MfC_pers_ac_inst[Costs],A619)&lt;=0),IF(INDEX(salaries_academic[],MATCH(INDEX(MfC_pers_ac_inst[Category],A619),salaries_academic[category],0),3)="",$B$172,""),""),"")</f>
        <v>#REF!</v>
      </c>
      <c r="H619" s="218" t="str">
        <f>IFERROR(IF(AND(INDEX(salaries_academic[],MATCH(INDEX(MfC_pers_ac_inst[Category],A619),salaries_academic[category],0),3)&gt;0,INDEX(MfC_pers_ac_inst[Costs],A619)&gt;0),$B$174,""),"")</f>
        <v/>
      </c>
      <c r="I619" s="218" t="str">
        <f>IFERROR(IF(AND(organisation_type="yes",VALUE(INDEX(MfC_pers_ac_inst[Amount],A619))&gt;0,ISBLANK(INDEX(MfC_pers_ac_inst[Organisation type],A619))),$B$175,""),"")</f>
        <v/>
      </c>
      <c r="J619" s="218" t="str">
        <f>IFERROR(IF(AND(organisation_name="yes",VALUE(INDEX(MfC_pers_ac_inst[Amount],A619))&gt;0,ISBLANK(INDEX(MfC_pers_ac_inst[Name organisation],A619)),Tabel33[organisation type]=""),$B$176,""),"")</f>
        <v/>
      </c>
    </row>
    <row r="621" spans="1:10" ht="18.5" x14ac:dyDescent="0.45">
      <c r="A621" s="196" t="s">
        <v>807</v>
      </c>
    </row>
    <row r="622" spans="1:10" ht="12" customHeight="1" x14ac:dyDescent="0.35">
      <c r="A622" s="371" t="s">
        <v>579</v>
      </c>
      <c r="B622" s="371" t="s">
        <v>592</v>
      </c>
      <c r="C622" s="371" t="s">
        <v>804</v>
      </c>
      <c r="D622" s="371" t="s">
        <v>808</v>
      </c>
      <c r="E622" s="371" t="s">
        <v>809</v>
      </c>
      <c r="F622" s="371" t="s">
        <v>817</v>
      </c>
      <c r="G622" s="371" t="s">
        <v>818</v>
      </c>
      <c r="H622" s="371" t="s">
        <v>810</v>
      </c>
      <c r="I622" s="371" t="s">
        <v>811</v>
      </c>
    </row>
    <row r="623" spans="1:10" ht="12" customHeight="1" x14ac:dyDescent="0.35">
      <c r="A623" s="372">
        <v>1</v>
      </c>
      <c r="B623" s="195" t="str">
        <f t="array" ref="B623">IFERROR(INDEX(comb_notes_inkind[[#This Row],[Empty line]:[No organisation name]],1,MATCH(TRUE,LEN(comb_notes_inkind[[#This Row],[Empty line]:[No organisation name]])&gt;0,0)),"")</f>
        <v/>
      </c>
      <c r="C623" s="195" t="str">
        <f>IFERROR(IF(AND(LEN(INDEX(inkind[Description],$A623))+LEN(INDEX(inkind[Name organisation],$A623))+LEN(INDEX(inkind[[  ]],$A623))+LEN(INDEX(inkind[Nr of units or Nr of hours],$A623))&gt;0,LEN(INDEX(inkind[Description],$A623-1))+LEN(INDEX(inkind[Name organisation],$A623-1))+LEN(INDEX(inkind[[  ]],$A623-1))+LEN(INDEX(inkind[Nr of units or Nr of hours],$A623-1))=0),$B$127,""),"")</f>
        <v/>
      </c>
      <c r="D623" s="195" t="str">
        <f>IF(AND(INDEX(inkind[Amount],$A623)&gt;0,LEN(INDEX(inkind[Name organisation],$A623))=0,cofunding_inkind_def_rates="yes"),$B$183,"")</f>
        <v/>
      </c>
      <c r="E623" s="195" t="str">
        <f>IF(AND(INDEX(inkind[Amount],$A623)&gt;0,LEN(INDEX(inkind[[  ]],$A623))=0,cofunding_inkind_def_rates="yes"),$B$183,"")</f>
        <v/>
      </c>
      <c r="F623" s="195" t="str">
        <f>IF(AND(INDEX(inkind[[  ]],$A623)="Junior",INDEX(inkind[Unit price or hourly rate],$A623)&gt;cofunding_junior_rate),$B$186,IF(AND(INDEX(inkind[[  ]],$A623)="Senior",INDEX(inkind[Unit price or hourly rate],$A623)&gt;cofunding_senior_rate),$B$187,""))</f>
        <v/>
      </c>
      <c r="G623" s="195" t="str">
        <f>IF(AND(INDEX(inkind[Name organisation],$A623)="Materials",LEN(INDEX(inkind[[  ]],$A623))&gt;0),$B$184,"")</f>
        <v/>
      </c>
      <c r="H623" s="195" t="str">
        <f>IF(AND(INDEX(inkind[Amount],$A623)&gt;0,LEN(INDEX(inkind[Organisation type],$A623))=0),$B$175,"")</f>
        <v/>
      </c>
      <c r="I623" s="195" t="str">
        <f>IF(AND(INDEX(inkind[Amount],$A623)&gt;0,LEN(INDEX(inkind[Name organisation2],$A623))=0),$B$176,"")</f>
        <v/>
      </c>
    </row>
    <row r="624" spans="1:10" ht="12" customHeight="1" x14ac:dyDescent="0.35">
      <c r="A624" s="372">
        <v>2</v>
      </c>
      <c r="B624" s="195" t="str">
        <f t="array" ref="B624">IFERROR(INDEX(comb_notes_inkind[[#This Row],[Empty line]:[No organisation name]],1,MATCH(TRUE,LEN(comb_notes_inkind[[#This Row],[Empty line]:[No organisation name]])&gt;0,0)),"")</f>
        <v/>
      </c>
      <c r="C624" s="195" t="str">
        <f>IFERROR(IF(AND(LEN(INDEX(inkind[Description],$A624))+LEN(INDEX(inkind[Name organisation],$A624))+LEN(INDEX(inkind[[  ]],$A624))+LEN(INDEX(inkind[Nr of units or Nr of hours],$A624))&gt;0,LEN(INDEX(inkind[Description],$A624-1))+LEN(INDEX(inkind[Name organisation],$A624-1))+LEN(INDEX(inkind[[  ]],$A624-1))+LEN(INDEX(inkind[Nr of units or Nr of hours],$A624-1))=0),$B$127,""),"")</f>
        <v/>
      </c>
      <c r="D624" s="195" t="str">
        <f>IF(AND(INDEX(inkind[Amount],$A624)&gt;0,LEN(INDEX(inkind[Name organisation],$A624))=0,cofunding_inkind_def_rates="yes"),$B$183,"")</f>
        <v/>
      </c>
      <c r="E624" s="195" t="str">
        <f>IF(AND(INDEX(inkind[Amount],$A624)&gt;0,LEN(INDEX(inkind[[  ]],$A624))=0,cofunding_inkind_def_rates="yes"),$B$183,"")</f>
        <v/>
      </c>
      <c r="F624" s="195" t="str">
        <f>IF(AND(INDEX(inkind[[  ]],$A624)="Junior",INDEX(inkind[Unit price or hourly rate],$A624)&gt;cofunding_junior_rate),$B$186,IF(AND(INDEX(inkind[[  ]],$A624)="Senior",INDEX(inkind[Unit price or hourly rate],$A624)&gt;cofunding_senior_rate),$B$187,""))</f>
        <v/>
      </c>
      <c r="G624" s="195" t="str">
        <f>IF(AND(INDEX(inkind[Name organisation],$A624)="Materials",LEN(INDEX(inkind[[  ]],$A624))&gt;0),$B$184,"")</f>
        <v/>
      </c>
      <c r="H624" s="195" t="str">
        <f>IF(AND(INDEX(inkind[Amount],$A624)&gt;0,LEN(INDEX(inkind[Organisation type],$A624))=0),$B$175,"")</f>
        <v/>
      </c>
      <c r="I624" s="195" t="str">
        <f>IF(AND(INDEX(inkind[Amount],$A624)&gt;0,LEN(INDEX(inkind[Name organisation2],$A624))=0),$B$176,"")</f>
        <v/>
      </c>
    </row>
    <row r="625" spans="1:9" ht="12" customHeight="1" x14ac:dyDescent="0.35">
      <c r="A625" s="372">
        <v>3</v>
      </c>
      <c r="B625" s="195" t="str">
        <f t="array" ref="B625">IFERROR(INDEX(comb_notes_inkind[[#This Row],[Empty line]:[No organisation name]],1,MATCH(TRUE,LEN(comb_notes_inkind[[#This Row],[Empty line]:[No organisation name]])&gt;0,0)),"")</f>
        <v/>
      </c>
      <c r="C625" s="195" t="str">
        <f>IFERROR(IF(AND(LEN(INDEX(inkind[Description],$A625))+LEN(INDEX(inkind[Name organisation],$A625))+LEN(INDEX(inkind[[  ]],$A625))+LEN(INDEX(inkind[Nr of units or Nr of hours],$A625))&gt;0,LEN(INDEX(inkind[Description],$A625-1))+LEN(INDEX(inkind[Name organisation],$A625-1))+LEN(INDEX(inkind[[  ]],$A625-1))+LEN(INDEX(inkind[Nr of units or Nr of hours],$A625-1))=0),$B$127,""),"")</f>
        <v/>
      </c>
      <c r="D625" s="195" t="str">
        <f>IF(AND(INDEX(inkind[Amount],$A625)&gt;0,LEN(INDEX(inkind[Name organisation],$A625))=0,cofunding_inkind_def_rates="yes"),$B$183,"")</f>
        <v/>
      </c>
      <c r="E625" s="195" t="str">
        <f>IF(AND(INDEX(inkind[Amount],$A625)&gt;0,LEN(INDEX(inkind[[  ]],$A625))=0,cofunding_inkind_def_rates="yes"),$B$183,"")</f>
        <v/>
      </c>
      <c r="F625" s="195" t="str">
        <f>IF(AND(INDEX(inkind[[  ]],$A625)="Junior",INDEX(inkind[Unit price or hourly rate],$A625)&gt;cofunding_junior_rate),$B$186,IF(AND(INDEX(inkind[[  ]],$A625)="Senior",INDEX(inkind[Unit price or hourly rate],$A625)&gt;cofunding_senior_rate),$B$187,""))</f>
        <v/>
      </c>
      <c r="G625" s="195" t="str">
        <f>IF(AND(INDEX(inkind[Name organisation],$A625)="Materials",LEN(INDEX(inkind[[  ]],$A625))&gt;0),$B$184,"")</f>
        <v/>
      </c>
      <c r="H625" s="195" t="str">
        <f>IF(AND(INDEX(inkind[Amount],$A625)&gt;0,LEN(INDEX(inkind[Organisation type],$A625))=0),$B$175,"")</f>
        <v/>
      </c>
      <c r="I625" s="195" t="str">
        <f>IF(AND(INDEX(inkind[Amount],$A625)&gt;0,LEN(INDEX(inkind[Name organisation2],$A625))=0),$B$176,"")</f>
        <v/>
      </c>
    </row>
    <row r="626" spans="1:9" ht="12" customHeight="1" x14ac:dyDescent="0.35">
      <c r="A626" s="372">
        <v>4</v>
      </c>
      <c r="B626" s="195" t="str">
        <f t="array" ref="B626">IFERROR(INDEX(comb_notes_inkind[[#This Row],[Empty line]:[No organisation name]],1,MATCH(TRUE,LEN(comb_notes_inkind[[#This Row],[Empty line]:[No organisation name]])&gt;0,0)),"")</f>
        <v/>
      </c>
      <c r="C626" s="195" t="str">
        <f>IFERROR(IF(AND(LEN(INDEX(inkind[Description],$A626))+LEN(INDEX(inkind[Name organisation],$A626))+LEN(INDEX(inkind[[  ]],$A626))+LEN(INDEX(inkind[Nr of units or Nr of hours],$A626))&gt;0,LEN(INDEX(inkind[Description],$A626-1))+LEN(INDEX(inkind[Name organisation],$A626-1))+LEN(INDEX(inkind[[  ]],$A626-1))+LEN(INDEX(inkind[Nr of units or Nr of hours],$A626-1))=0),$B$127,""),"")</f>
        <v/>
      </c>
      <c r="D626" s="195" t="str">
        <f>IF(AND(INDEX(inkind[Amount],$A626)&gt;0,LEN(INDEX(inkind[Name organisation],$A626))=0,cofunding_inkind_def_rates="yes"),$B$183,"")</f>
        <v/>
      </c>
      <c r="E626" s="195" t="str">
        <f>IF(AND(INDEX(inkind[Amount],$A626)&gt;0,LEN(INDEX(inkind[[  ]],$A626))=0,cofunding_inkind_def_rates="yes"),$B$183,"")</f>
        <v/>
      </c>
      <c r="F626" s="195" t="str">
        <f>IF(AND(INDEX(inkind[[  ]],$A626)="Junior",INDEX(inkind[Unit price or hourly rate],$A626)&gt;cofunding_junior_rate),$B$186,IF(AND(INDEX(inkind[[  ]],$A626)="Senior",INDEX(inkind[Unit price or hourly rate],$A626)&gt;cofunding_senior_rate),$B$187,""))</f>
        <v/>
      </c>
      <c r="G626" s="195" t="str">
        <f>IF(AND(INDEX(inkind[Name organisation],$A626)="Materials",LEN(INDEX(inkind[[  ]],$A626))&gt;0),$B$184,"")</f>
        <v/>
      </c>
      <c r="H626" s="195" t="str">
        <f>IF(AND(INDEX(inkind[Amount],$A626)&gt;0,LEN(INDEX(inkind[Organisation type],$A626))=0),$B$175,"")</f>
        <v/>
      </c>
      <c r="I626" s="195" t="str">
        <f>IF(AND(INDEX(inkind[Amount],$A626)&gt;0,LEN(INDEX(inkind[Name organisation2],$A626))=0),$B$176,"")</f>
        <v/>
      </c>
    </row>
    <row r="627" spans="1:9" ht="12" customHeight="1" x14ac:dyDescent="0.35">
      <c r="A627" s="372">
        <v>5</v>
      </c>
      <c r="B627" s="195" t="str">
        <f t="array" ref="B627">IFERROR(INDEX(comb_notes_inkind[[#This Row],[Empty line]:[No organisation name]],1,MATCH(TRUE,LEN(comb_notes_inkind[[#This Row],[Empty line]:[No organisation name]])&gt;0,0)),"")</f>
        <v/>
      </c>
      <c r="C627" s="195" t="str">
        <f>IFERROR(IF(AND(LEN(INDEX(inkind[Description],$A627))+LEN(INDEX(inkind[Name organisation],$A627))+LEN(INDEX(inkind[[  ]],$A627))+LEN(INDEX(inkind[Nr of units or Nr of hours],$A627))&gt;0,LEN(INDEX(inkind[Description],$A627-1))+LEN(INDEX(inkind[Name organisation],$A627-1))+LEN(INDEX(inkind[[  ]],$A627-1))+LEN(INDEX(inkind[Nr of units or Nr of hours],$A627-1))=0),$B$127,""),"")</f>
        <v/>
      </c>
      <c r="D627" s="195" t="str">
        <f>IF(AND(INDEX(inkind[Amount],$A627)&gt;0,LEN(INDEX(inkind[Name organisation],$A627))=0,cofunding_inkind_def_rates="yes"),$B$183,"")</f>
        <v/>
      </c>
      <c r="E627" s="195" t="str">
        <f>IF(AND(INDEX(inkind[Amount],$A627)&gt;0,LEN(INDEX(inkind[[  ]],$A627))=0,cofunding_inkind_def_rates="yes"),$B$183,"")</f>
        <v/>
      </c>
      <c r="F627" s="195" t="str">
        <f>IF(AND(INDEX(inkind[[  ]],$A627)="Junior",INDEX(inkind[Unit price or hourly rate],$A627)&gt;cofunding_junior_rate),$B$186,IF(AND(INDEX(inkind[[  ]],$A627)="Senior",INDEX(inkind[Unit price or hourly rate],$A627)&gt;cofunding_senior_rate),$B$187,""))</f>
        <v/>
      </c>
      <c r="G627" s="195" t="str">
        <f>IF(AND(INDEX(inkind[Name organisation],$A627)="Materials",LEN(INDEX(inkind[[  ]],$A627))&gt;0),$B$184,"")</f>
        <v/>
      </c>
      <c r="H627" s="195" t="str">
        <f>IF(AND(INDEX(inkind[Amount],$A627)&gt;0,LEN(INDEX(inkind[Organisation type],$A627))=0),$B$175,"")</f>
        <v/>
      </c>
      <c r="I627" s="195" t="str">
        <f>IF(AND(INDEX(inkind[Amount],$A627)&gt;0,LEN(INDEX(inkind[Name organisation2],$A627))=0),$B$176,"")</f>
        <v/>
      </c>
    </row>
    <row r="628" spans="1:9" ht="12" customHeight="1" x14ac:dyDescent="0.35">
      <c r="A628" s="372">
        <v>6</v>
      </c>
      <c r="B628" s="195" t="str">
        <f t="array" ref="B628">IFERROR(INDEX(comb_notes_inkind[[#This Row],[Empty line]:[No organisation name]],1,MATCH(TRUE,LEN(comb_notes_inkind[[#This Row],[Empty line]:[No organisation name]])&gt;0,0)),"")</f>
        <v/>
      </c>
      <c r="C628" s="195" t="str">
        <f>IFERROR(IF(AND(LEN(INDEX(inkind[Description],$A628))+LEN(INDEX(inkind[Name organisation],$A628))+LEN(INDEX(inkind[[  ]],$A628))+LEN(INDEX(inkind[Nr of units or Nr of hours],$A628))&gt;0,LEN(INDEX(inkind[Description],$A628-1))+LEN(INDEX(inkind[Name organisation],$A628-1))+LEN(INDEX(inkind[[  ]],$A628-1))+LEN(INDEX(inkind[Nr of units or Nr of hours],$A628-1))=0),$B$127,""),"")</f>
        <v/>
      </c>
      <c r="D628" s="195" t="str">
        <f>IF(AND(INDEX(inkind[Amount],$A628)&gt;0,LEN(INDEX(inkind[Name organisation],$A628))=0,cofunding_inkind_def_rates="yes"),$B$183,"")</f>
        <v/>
      </c>
      <c r="E628" s="195" t="str">
        <f>IF(AND(INDEX(inkind[Amount],$A628)&gt;0,LEN(INDEX(inkind[[  ]],$A628))=0,cofunding_inkind_def_rates="yes"),$B$183,"")</f>
        <v/>
      </c>
      <c r="F628" s="195" t="str">
        <f>IF(AND(INDEX(inkind[[  ]],$A628)="Junior",INDEX(inkind[Unit price or hourly rate],$A628)&gt;cofunding_junior_rate),$B$186,IF(AND(INDEX(inkind[[  ]],$A628)="Senior",INDEX(inkind[Unit price or hourly rate],$A628)&gt;cofunding_senior_rate),$B$187,""))</f>
        <v/>
      </c>
      <c r="G628" s="195" t="str">
        <f>IF(AND(INDEX(inkind[Name organisation],$A628)="Materials",LEN(INDEX(inkind[[  ]],$A628))&gt;0),$B$184,"")</f>
        <v/>
      </c>
      <c r="H628" s="195" t="str">
        <f>IF(AND(INDEX(inkind[Amount],$A628)&gt;0,LEN(INDEX(inkind[Organisation type],$A628))=0),$B$175,"")</f>
        <v/>
      </c>
      <c r="I628" s="195" t="str">
        <f>IF(AND(INDEX(inkind[Amount],$A628)&gt;0,LEN(INDEX(inkind[Name organisation2],$A628))=0),$B$176,"")</f>
        <v/>
      </c>
    </row>
    <row r="629" spans="1:9" ht="12" customHeight="1" x14ac:dyDescent="0.35">
      <c r="A629" s="372">
        <v>7</v>
      </c>
      <c r="B629" s="195" t="str">
        <f t="array" ref="B629">IFERROR(INDEX(comb_notes_inkind[[#This Row],[Empty line]:[No organisation name]],1,MATCH(TRUE,LEN(comb_notes_inkind[[#This Row],[Empty line]:[No organisation name]])&gt;0,0)),"")</f>
        <v/>
      </c>
      <c r="C629" s="195" t="str">
        <f>IFERROR(IF(AND(LEN(INDEX(inkind[Description],$A629))+LEN(INDEX(inkind[Name organisation],$A629))+LEN(INDEX(inkind[[  ]],$A629))+LEN(INDEX(inkind[Nr of units or Nr of hours],$A629))&gt;0,LEN(INDEX(inkind[Description],$A629-1))+LEN(INDEX(inkind[Name organisation],$A629-1))+LEN(INDEX(inkind[[  ]],$A629-1))+LEN(INDEX(inkind[Nr of units or Nr of hours],$A629-1))=0),$B$127,""),"")</f>
        <v/>
      </c>
      <c r="D629" s="195" t="str">
        <f>IF(AND(INDEX(inkind[Amount],$A629)&gt;0,LEN(INDEX(inkind[Name organisation],$A629))=0,cofunding_inkind_def_rates="yes"),$B$183,"")</f>
        <v/>
      </c>
      <c r="E629" s="195" t="str">
        <f>IF(AND(INDEX(inkind[Amount],$A629)&gt;0,LEN(INDEX(inkind[[  ]],$A629))=0,cofunding_inkind_def_rates="yes"),$B$183,"")</f>
        <v/>
      </c>
      <c r="F629" s="195" t="str">
        <f>IF(AND(INDEX(inkind[[  ]],$A629)="Junior",INDEX(inkind[Unit price or hourly rate],$A629)&gt;cofunding_junior_rate),$B$186,IF(AND(INDEX(inkind[[  ]],$A629)="Senior",INDEX(inkind[Unit price or hourly rate],$A629)&gt;cofunding_senior_rate),$B$187,""))</f>
        <v/>
      </c>
      <c r="G629" s="195" t="str">
        <f>IF(AND(INDEX(inkind[Name organisation],$A629)="Materials",LEN(INDEX(inkind[[  ]],$A629))&gt;0),$B$184,"")</f>
        <v/>
      </c>
      <c r="H629" s="195" t="str">
        <f>IF(AND(INDEX(inkind[Amount],$A629)&gt;0,LEN(INDEX(inkind[Organisation type],$A629))=0),$B$175,"")</f>
        <v/>
      </c>
      <c r="I629" s="195" t="str">
        <f>IF(AND(INDEX(inkind[Amount],$A629)&gt;0,LEN(INDEX(inkind[Name organisation2],$A629))=0),$B$176,"")</f>
        <v/>
      </c>
    </row>
    <row r="630" spans="1:9" ht="12" customHeight="1" x14ac:dyDescent="0.35">
      <c r="A630" s="372">
        <v>8</v>
      </c>
      <c r="B630" s="195" t="str">
        <f t="array" ref="B630">IFERROR(INDEX(comb_notes_inkind[[#This Row],[Empty line]:[No organisation name]],1,MATCH(TRUE,LEN(comb_notes_inkind[[#This Row],[Empty line]:[No organisation name]])&gt;0,0)),"")</f>
        <v/>
      </c>
      <c r="C630" s="195" t="str">
        <f>IFERROR(IF(AND(LEN(INDEX(inkind[Description],$A630))+LEN(INDEX(inkind[Name organisation],$A630))+LEN(INDEX(inkind[[  ]],$A630))+LEN(INDEX(inkind[Nr of units or Nr of hours],$A630))&gt;0,LEN(INDEX(inkind[Description],$A630-1))+LEN(INDEX(inkind[Name organisation],$A630-1))+LEN(INDEX(inkind[[  ]],$A630-1))+LEN(INDEX(inkind[Nr of units or Nr of hours],$A630-1))=0),$B$127,""),"")</f>
        <v/>
      </c>
      <c r="D630" s="195" t="str">
        <f>IF(AND(INDEX(inkind[Amount],$A630)&gt;0,LEN(INDEX(inkind[Name organisation],$A630))=0,cofunding_inkind_def_rates="yes"),$B$183,"")</f>
        <v/>
      </c>
      <c r="E630" s="195" t="str">
        <f>IF(AND(INDEX(inkind[Amount],$A630)&gt;0,LEN(INDEX(inkind[[  ]],$A630))=0,cofunding_inkind_def_rates="yes"),$B$183,"")</f>
        <v/>
      </c>
      <c r="F630" s="195" t="str">
        <f>IF(AND(INDEX(inkind[[  ]],$A630)="Junior",INDEX(inkind[Unit price or hourly rate],$A630)&gt;cofunding_junior_rate),$B$186,IF(AND(INDEX(inkind[[  ]],$A630)="Senior",INDEX(inkind[Unit price or hourly rate],$A630)&gt;cofunding_senior_rate),$B$187,""))</f>
        <v/>
      </c>
      <c r="G630" s="195" t="str">
        <f>IF(AND(INDEX(inkind[Name organisation],$A630)="Materials",LEN(INDEX(inkind[[  ]],$A630))&gt;0),$B$184,"")</f>
        <v/>
      </c>
      <c r="H630" s="195" t="str">
        <f>IF(AND(INDEX(inkind[Amount],$A630)&gt;0,LEN(INDEX(inkind[Organisation type],$A630))=0),$B$175,"")</f>
        <v/>
      </c>
      <c r="I630" s="195" t="str">
        <f>IF(AND(INDEX(inkind[Amount],$A630)&gt;0,LEN(INDEX(inkind[Name organisation2],$A630))=0),$B$176,"")</f>
        <v/>
      </c>
    </row>
    <row r="631" spans="1:9" ht="12" customHeight="1" x14ac:dyDescent="0.35">
      <c r="A631" s="372">
        <v>9</v>
      </c>
      <c r="B631" s="195" t="str">
        <f t="array" ref="B631">IFERROR(INDEX(comb_notes_inkind[[#This Row],[Empty line]:[No organisation name]],1,MATCH(TRUE,LEN(comb_notes_inkind[[#This Row],[Empty line]:[No organisation name]])&gt;0,0)),"")</f>
        <v/>
      </c>
      <c r="C631" s="195" t="str">
        <f>IFERROR(IF(AND(LEN(INDEX(inkind[Description],$A631))+LEN(INDEX(inkind[Name organisation],$A631))+LEN(INDEX(inkind[[  ]],$A631))+LEN(INDEX(inkind[Nr of units or Nr of hours],$A631))&gt;0,LEN(INDEX(inkind[Description],$A631-1))+LEN(INDEX(inkind[Name organisation],$A631-1))+LEN(INDEX(inkind[[  ]],$A631-1))+LEN(INDEX(inkind[Nr of units or Nr of hours],$A631-1))=0),$B$127,""),"")</f>
        <v/>
      </c>
      <c r="D631" s="195" t="str">
        <f>IF(AND(INDEX(inkind[Amount],$A631)&gt;0,LEN(INDEX(inkind[Name organisation],$A631))=0,cofunding_inkind_def_rates="yes"),$B$183,"")</f>
        <v/>
      </c>
      <c r="E631" s="195" t="str">
        <f>IF(AND(INDEX(inkind[Amount],$A631)&gt;0,LEN(INDEX(inkind[[  ]],$A631))=0,cofunding_inkind_def_rates="yes"),$B$183,"")</f>
        <v/>
      </c>
      <c r="F631" s="195" t="str">
        <f>IF(AND(INDEX(inkind[[  ]],$A631)="Junior",INDEX(inkind[Unit price or hourly rate],$A631)&gt;cofunding_junior_rate),$B$186,IF(AND(INDEX(inkind[[  ]],$A631)="Senior",INDEX(inkind[Unit price or hourly rate],$A631)&gt;cofunding_senior_rate),$B$187,""))</f>
        <v/>
      </c>
      <c r="G631" s="195" t="str">
        <f>IF(AND(INDEX(inkind[Name organisation],$A631)="Materials",LEN(INDEX(inkind[[  ]],$A631))&gt;0),$B$184,"")</f>
        <v/>
      </c>
      <c r="H631" s="195" t="str">
        <f>IF(AND(INDEX(inkind[Amount],$A631)&gt;0,LEN(INDEX(inkind[Organisation type],$A631))=0),$B$175,"")</f>
        <v/>
      </c>
      <c r="I631" s="195" t="str">
        <f>IF(AND(INDEX(inkind[Amount],$A631)&gt;0,LEN(INDEX(inkind[Name organisation2],$A631))=0),$B$176,"")</f>
        <v/>
      </c>
    </row>
    <row r="632" spans="1:9" ht="12" customHeight="1" x14ac:dyDescent="0.35">
      <c r="A632" s="372">
        <v>10</v>
      </c>
      <c r="B632" s="195" t="str">
        <f t="array" ref="B632">IFERROR(INDEX(comb_notes_inkind[[#This Row],[Empty line]:[No organisation name]],1,MATCH(TRUE,LEN(comb_notes_inkind[[#This Row],[Empty line]:[No organisation name]])&gt;0,0)),"")</f>
        <v/>
      </c>
      <c r="C632" s="195" t="str">
        <f>IFERROR(IF(AND(LEN(INDEX(inkind[Description],$A632))+LEN(INDEX(inkind[Name organisation],$A632))+LEN(INDEX(inkind[[  ]],$A632))+LEN(INDEX(inkind[Nr of units or Nr of hours],$A632))&gt;0,LEN(INDEX(inkind[Description],$A632-1))+LEN(INDEX(inkind[Name organisation],$A632-1))+LEN(INDEX(inkind[[  ]],$A632-1))+LEN(INDEX(inkind[Nr of units or Nr of hours],$A632-1))=0),$B$127,""),"")</f>
        <v/>
      </c>
      <c r="D632" s="195" t="str">
        <f>IF(AND(INDEX(inkind[Amount],$A632)&gt;0,LEN(INDEX(inkind[Name organisation],$A632))=0,cofunding_inkind_def_rates="yes"),$B$183,"")</f>
        <v/>
      </c>
      <c r="E632" s="195" t="str">
        <f>IF(AND(INDEX(inkind[Amount],$A632)&gt;0,LEN(INDEX(inkind[[  ]],$A632))=0,cofunding_inkind_def_rates="yes"),$B$183,"")</f>
        <v/>
      </c>
      <c r="F632" s="195" t="str">
        <f>IF(AND(INDEX(inkind[[  ]],$A632)="Junior",INDEX(inkind[Unit price or hourly rate],$A632)&gt;cofunding_junior_rate),$B$186,IF(AND(INDEX(inkind[[  ]],$A632)="Senior",INDEX(inkind[Unit price or hourly rate],$A632)&gt;cofunding_senior_rate),$B$187,""))</f>
        <v/>
      </c>
      <c r="G632" s="195" t="str">
        <f>IF(AND(INDEX(inkind[Name organisation],$A632)="Materials",LEN(INDEX(inkind[[  ]],$A632))&gt;0),$B$184,"")</f>
        <v/>
      </c>
      <c r="H632" s="195" t="str">
        <f>IF(AND(INDEX(inkind[Amount],$A632)&gt;0,LEN(INDEX(inkind[Organisation type],$A632))=0),$B$175,"")</f>
        <v/>
      </c>
      <c r="I632" s="195" t="str">
        <f>IF(AND(INDEX(inkind[Amount],$A632)&gt;0,LEN(INDEX(inkind[Name organisation2],$A632))=0),$B$176,"")</f>
        <v/>
      </c>
    </row>
    <row r="633" spans="1:9" ht="12" customHeight="1" x14ac:dyDescent="0.35">
      <c r="A633" s="372">
        <v>11</v>
      </c>
      <c r="B633" s="195" t="str">
        <f t="array" ref="B633">IFERROR(INDEX(comb_notes_inkind[[#This Row],[Empty line]:[No organisation name]],1,MATCH(TRUE,LEN(comb_notes_inkind[[#This Row],[Empty line]:[No organisation name]])&gt;0,0)),"")</f>
        <v/>
      </c>
      <c r="C633" s="195" t="str">
        <f>IFERROR(IF(AND(LEN(INDEX(inkind[Description],$A633))+LEN(INDEX(inkind[Name organisation],$A633))+LEN(INDEX(inkind[[  ]],$A633))+LEN(INDEX(inkind[Nr of units or Nr of hours],$A633))&gt;0,LEN(INDEX(inkind[Description],$A633-1))+LEN(INDEX(inkind[Name organisation],$A633-1))+LEN(INDEX(inkind[[  ]],$A633-1))+LEN(INDEX(inkind[Nr of units or Nr of hours],$A633-1))=0),$B$127,""),"")</f>
        <v/>
      </c>
      <c r="D633" s="195" t="str">
        <f>IF(AND(INDEX(inkind[Amount],$A633)&gt;0,LEN(INDEX(inkind[Name organisation],$A633))=0,cofunding_inkind_def_rates="yes"),$B$183,"")</f>
        <v/>
      </c>
      <c r="E633" s="195" t="str">
        <f>IF(AND(INDEX(inkind[Amount],$A633)&gt;0,LEN(INDEX(inkind[[  ]],$A633))=0,cofunding_inkind_def_rates="yes"),$B$183,"")</f>
        <v/>
      </c>
      <c r="F633" s="195" t="str">
        <f>IF(AND(INDEX(inkind[[  ]],$A633)="Junior",INDEX(inkind[Unit price or hourly rate],$A633)&gt;cofunding_junior_rate),$B$186,IF(AND(INDEX(inkind[[  ]],$A633)="Senior",INDEX(inkind[Unit price or hourly rate],$A633)&gt;cofunding_senior_rate),$B$187,""))</f>
        <v/>
      </c>
      <c r="G633" s="195" t="str">
        <f>IF(AND(INDEX(inkind[Name organisation],$A633)="Materials",LEN(INDEX(inkind[[  ]],$A633))&gt;0),$B$184,"")</f>
        <v/>
      </c>
      <c r="H633" s="195" t="str">
        <f>IF(AND(INDEX(inkind[Amount],$A633)&gt;0,LEN(INDEX(inkind[Organisation type],$A633))=0),$B$175,"")</f>
        <v/>
      </c>
      <c r="I633" s="195" t="str">
        <f>IF(AND(INDEX(inkind[Amount],$A633)&gt;0,LEN(INDEX(inkind[Name organisation2],$A633))=0),$B$176,"")</f>
        <v/>
      </c>
    </row>
    <row r="634" spans="1:9" ht="12" customHeight="1" x14ac:dyDescent="0.35">
      <c r="A634" s="372">
        <v>12</v>
      </c>
      <c r="B634" s="195" t="str">
        <f t="array" ref="B634">IFERROR(INDEX(comb_notes_inkind[[#This Row],[Empty line]:[No organisation name]],1,MATCH(TRUE,LEN(comb_notes_inkind[[#This Row],[Empty line]:[No organisation name]])&gt;0,0)),"")</f>
        <v/>
      </c>
      <c r="C634" s="195" t="str">
        <f>IFERROR(IF(AND(LEN(INDEX(inkind[Description],$A634))+LEN(INDEX(inkind[Name organisation],$A634))+LEN(INDEX(inkind[[  ]],$A634))+LEN(INDEX(inkind[Nr of units or Nr of hours],$A634))&gt;0,LEN(INDEX(inkind[Description],$A634-1))+LEN(INDEX(inkind[Name organisation],$A634-1))+LEN(INDEX(inkind[[  ]],$A634-1))+LEN(INDEX(inkind[Nr of units or Nr of hours],$A634-1))=0),$B$127,""),"")</f>
        <v/>
      </c>
      <c r="D634" s="195" t="str">
        <f>IF(AND(INDEX(inkind[Amount],$A634)&gt;0,LEN(INDEX(inkind[Name organisation],$A634))=0,cofunding_inkind_def_rates="yes"),$B$183,"")</f>
        <v/>
      </c>
      <c r="E634" s="195" t="str">
        <f>IF(AND(INDEX(inkind[Amount],$A634)&gt;0,LEN(INDEX(inkind[[  ]],$A634))=0,cofunding_inkind_def_rates="yes"),$B$183,"")</f>
        <v/>
      </c>
      <c r="F634" s="195" t="str">
        <f>IF(AND(INDEX(inkind[[  ]],$A634)="Junior",INDEX(inkind[Unit price or hourly rate],$A634)&gt;cofunding_junior_rate),$B$186,IF(AND(INDEX(inkind[[  ]],$A634)="Senior",INDEX(inkind[Unit price or hourly rate],$A634)&gt;cofunding_senior_rate),$B$187,""))</f>
        <v/>
      </c>
      <c r="G634" s="195" t="str">
        <f>IF(AND(INDEX(inkind[Name organisation],$A634)="Materials",LEN(INDEX(inkind[[  ]],$A634))&gt;0),$B$184,"")</f>
        <v/>
      </c>
      <c r="H634" s="195" t="str">
        <f>IF(AND(INDEX(inkind[Amount],$A634)&gt;0,LEN(INDEX(inkind[Organisation type],$A634))=0),$B$175,"")</f>
        <v/>
      </c>
      <c r="I634" s="195" t="str">
        <f>IF(AND(INDEX(inkind[Amount],$A634)&gt;0,LEN(INDEX(inkind[Name organisation2],$A634))=0),$B$176,"")</f>
        <v/>
      </c>
    </row>
    <row r="635" spans="1:9" ht="12" customHeight="1" x14ac:dyDescent="0.35">
      <c r="A635" s="372">
        <v>13</v>
      </c>
      <c r="B635" s="195" t="str">
        <f t="array" ref="B635">IFERROR(INDEX(comb_notes_inkind[[#This Row],[Empty line]:[No organisation name]],1,MATCH(TRUE,LEN(comb_notes_inkind[[#This Row],[Empty line]:[No organisation name]])&gt;0,0)),"")</f>
        <v/>
      </c>
      <c r="C635" s="195" t="str">
        <f>IFERROR(IF(AND(LEN(INDEX(inkind[Description],$A635))+LEN(INDEX(inkind[Name organisation],$A635))+LEN(INDEX(inkind[[  ]],$A635))+LEN(INDEX(inkind[Nr of units or Nr of hours],$A635))&gt;0,LEN(INDEX(inkind[Description],$A635-1))+LEN(INDEX(inkind[Name organisation],$A635-1))+LEN(INDEX(inkind[[  ]],$A635-1))+LEN(INDEX(inkind[Nr of units or Nr of hours],$A635-1))=0),$B$127,""),"")</f>
        <v/>
      </c>
      <c r="D635" s="195" t="str">
        <f>IF(AND(INDEX(inkind[Amount],$A635)&gt;0,LEN(INDEX(inkind[Name organisation],$A635))=0,cofunding_inkind_def_rates="yes"),$B$183,"")</f>
        <v/>
      </c>
      <c r="E635" s="195" t="str">
        <f>IF(AND(INDEX(inkind[Amount],$A635)&gt;0,LEN(INDEX(inkind[[  ]],$A635))=0,cofunding_inkind_def_rates="yes"),$B$183,"")</f>
        <v/>
      </c>
      <c r="F635" s="195" t="str">
        <f>IF(AND(INDEX(inkind[[  ]],$A635)="Junior",INDEX(inkind[Unit price or hourly rate],$A635)&gt;cofunding_junior_rate),$B$186,IF(AND(INDEX(inkind[[  ]],$A635)="Senior",INDEX(inkind[Unit price or hourly rate],$A635)&gt;cofunding_senior_rate),$B$187,""))</f>
        <v/>
      </c>
      <c r="G635" s="195" t="str">
        <f>IF(AND(INDEX(inkind[Name organisation],$A635)="Materials",LEN(INDEX(inkind[[  ]],$A635))&gt;0),$B$184,"")</f>
        <v/>
      </c>
      <c r="H635" s="195" t="str">
        <f>IF(AND(INDEX(inkind[Amount],$A635)&gt;0,LEN(INDEX(inkind[Organisation type],$A635))=0),$B$175,"")</f>
        <v/>
      </c>
      <c r="I635" s="195" t="str">
        <f>IF(AND(INDEX(inkind[Amount],$A635)&gt;0,LEN(INDEX(inkind[Name organisation2],$A635))=0),$B$176,"")</f>
        <v/>
      </c>
    </row>
    <row r="636" spans="1:9" ht="12" customHeight="1" x14ac:dyDescent="0.35">
      <c r="A636" s="372">
        <v>14</v>
      </c>
      <c r="B636" s="195" t="str">
        <f t="array" ref="B636">IFERROR(INDEX(comb_notes_inkind[[#This Row],[Empty line]:[No organisation name]],1,MATCH(TRUE,LEN(comb_notes_inkind[[#This Row],[Empty line]:[No organisation name]])&gt;0,0)),"")</f>
        <v/>
      </c>
      <c r="C636" s="195" t="str">
        <f>IFERROR(IF(AND(LEN(INDEX(inkind[Description],$A636))+LEN(INDEX(inkind[Name organisation],$A636))+LEN(INDEX(inkind[[  ]],$A636))+LEN(INDEX(inkind[Nr of units or Nr of hours],$A636))&gt;0,LEN(INDEX(inkind[Description],$A636-1))+LEN(INDEX(inkind[Name organisation],$A636-1))+LEN(INDEX(inkind[[  ]],$A636-1))+LEN(INDEX(inkind[Nr of units or Nr of hours],$A636-1))=0),$B$127,""),"")</f>
        <v/>
      </c>
      <c r="D636" s="195" t="str">
        <f>IF(AND(INDEX(inkind[Amount],$A636)&gt;0,LEN(INDEX(inkind[Name organisation],$A636))=0,cofunding_inkind_def_rates="yes"),$B$183,"")</f>
        <v/>
      </c>
      <c r="E636" s="195" t="str">
        <f>IF(AND(INDEX(inkind[Amount],$A636)&gt;0,LEN(INDEX(inkind[[  ]],$A636))=0,cofunding_inkind_def_rates="yes"),$B$183,"")</f>
        <v/>
      </c>
      <c r="F636" s="195" t="str">
        <f>IF(AND(INDEX(inkind[[  ]],$A636)="Junior",INDEX(inkind[Unit price or hourly rate],$A636)&gt;cofunding_junior_rate),$B$186,IF(AND(INDEX(inkind[[  ]],$A636)="Senior",INDEX(inkind[Unit price or hourly rate],$A636)&gt;cofunding_senior_rate),$B$187,""))</f>
        <v/>
      </c>
      <c r="G636" s="195" t="str">
        <f>IF(AND(INDEX(inkind[Name organisation],$A636)="Materials",LEN(INDEX(inkind[[  ]],$A636))&gt;0),$B$184,"")</f>
        <v/>
      </c>
      <c r="H636" s="195" t="str">
        <f>IF(AND(INDEX(inkind[Amount],$A636)&gt;0,LEN(INDEX(inkind[Organisation type],$A636))=0),$B$175,"")</f>
        <v/>
      </c>
      <c r="I636" s="195" t="str">
        <f>IF(AND(INDEX(inkind[Amount],$A636)&gt;0,LEN(INDEX(inkind[Name organisation2],$A636))=0),$B$176,"")</f>
        <v/>
      </c>
    </row>
    <row r="637" spans="1:9" ht="12" customHeight="1" x14ac:dyDescent="0.35">
      <c r="A637" s="372">
        <v>15</v>
      </c>
      <c r="B637" s="195" t="str">
        <f t="array" ref="B637">IFERROR(INDEX(comb_notes_inkind[[#This Row],[Empty line]:[No organisation name]],1,MATCH(TRUE,LEN(comb_notes_inkind[[#This Row],[Empty line]:[No organisation name]])&gt;0,0)),"")</f>
        <v/>
      </c>
      <c r="C637" s="195" t="str">
        <f>IFERROR(IF(AND(LEN(INDEX(inkind[Description],$A637))+LEN(INDEX(inkind[Name organisation],$A637))+LEN(INDEX(inkind[[  ]],$A637))+LEN(INDEX(inkind[Nr of units or Nr of hours],$A637))&gt;0,LEN(INDEX(inkind[Description],$A637-1))+LEN(INDEX(inkind[Name organisation],$A637-1))+LEN(INDEX(inkind[[  ]],$A637-1))+LEN(INDEX(inkind[Nr of units or Nr of hours],$A637-1))=0),$B$127,""),"")</f>
        <v/>
      </c>
      <c r="D637" s="195" t="str">
        <f>IF(AND(INDEX(inkind[Amount],$A637)&gt;0,LEN(INDEX(inkind[Name organisation],$A637))=0,cofunding_inkind_def_rates="yes"),$B$183,"")</f>
        <v/>
      </c>
      <c r="E637" s="195" t="str">
        <f>IF(AND(INDEX(inkind[Amount],$A637)&gt;0,LEN(INDEX(inkind[[  ]],$A637))=0,cofunding_inkind_def_rates="yes"),$B$183,"")</f>
        <v/>
      </c>
      <c r="F637" s="195" t="str">
        <f>IF(AND(INDEX(inkind[[  ]],$A637)="Junior",INDEX(inkind[Unit price or hourly rate],$A637)&gt;cofunding_junior_rate),$B$186,IF(AND(INDEX(inkind[[  ]],$A637)="Senior",INDEX(inkind[Unit price or hourly rate],$A637)&gt;cofunding_senior_rate),$B$187,""))</f>
        <v/>
      </c>
      <c r="G637" s="195" t="str">
        <f>IF(AND(INDEX(inkind[Name organisation],$A637)="Materials",LEN(INDEX(inkind[[  ]],$A637))&gt;0),$B$184,"")</f>
        <v/>
      </c>
      <c r="H637" s="195" t="str">
        <f>IF(AND(INDEX(inkind[Amount],$A637)&gt;0,LEN(INDEX(inkind[Organisation type],$A637))=0),$B$175,"")</f>
        <v/>
      </c>
      <c r="I637" s="195" t="str">
        <f>IF(AND(INDEX(inkind[Amount],$A637)&gt;0,LEN(INDEX(inkind[Name organisation2],$A637))=0),$B$176,"")</f>
        <v/>
      </c>
    </row>
    <row r="638" spans="1:9" ht="12" customHeight="1" x14ac:dyDescent="0.35">
      <c r="A638" s="372">
        <v>16</v>
      </c>
      <c r="B638" s="195" t="str">
        <f t="array" ref="B638">IFERROR(INDEX(comb_notes_inkind[[#This Row],[Empty line]:[No organisation name]],1,MATCH(TRUE,LEN(comb_notes_inkind[[#This Row],[Empty line]:[No organisation name]])&gt;0,0)),"")</f>
        <v/>
      </c>
      <c r="C638" s="195" t="str">
        <f>IFERROR(IF(AND(LEN(INDEX(inkind[Description],$A638))+LEN(INDEX(inkind[Name organisation],$A638))+LEN(INDEX(inkind[[  ]],$A638))+LEN(INDEX(inkind[Nr of units or Nr of hours],$A638))&gt;0,LEN(INDEX(inkind[Description],$A638-1))+LEN(INDEX(inkind[Name organisation],$A638-1))+LEN(INDEX(inkind[[  ]],$A638-1))+LEN(INDEX(inkind[Nr of units or Nr of hours],$A638-1))=0),$B$127,""),"")</f>
        <v/>
      </c>
      <c r="D638" s="195" t="e">
        <f>IF(AND(INDEX(inkind[Amount],$A638)&gt;0,LEN(INDEX(inkind[Name organisation],$A638))=0,cofunding_inkind_def_rates="yes"),$B$183,"")</f>
        <v>#REF!</v>
      </c>
      <c r="E638" s="195" t="e">
        <f>IF(AND(INDEX(inkind[Amount],$A638)&gt;0,LEN(INDEX(inkind[[  ]],$A638))=0,cofunding_inkind_def_rates="yes"),$B$183,"")</f>
        <v>#REF!</v>
      </c>
      <c r="F638" s="195" t="e">
        <f>IF(AND(INDEX(inkind[[  ]],$A638)="Junior",INDEX(inkind[Unit price or hourly rate],$A638)&gt;cofunding_junior_rate),$B$186,IF(AND(INDEX(inkind[[  ]],$A638)="Senior",INDEX(inkind[Unit price or hourly rate],$A638)&gt;cofunding_senior_rate),$B$187,""))</f>
        <v>#REF!</v>
      </c>
      <c r="G638" s="195" t="e">
        <f>IF(AND(INDEX(inkind[Name organisation],$A638)="Materials",LEN(INDEX(inkind[[  ]],$A638))&gt;0),$B$184,"")</f>
        <v>#REF!</v>
      </c>
      <c r="H638" s="195" t="e">
        <f>IF(AND(INDEX(inkind[Amount],$A638)&gt;0,LEN(INDEX(inkind[Organisation type],$A638))=0),$B$175,"")</f>
        <v>#REF!</v>
      </c>
      <c r="I638" s="195" t="e">
        <f>IF(AND(INDEX(inkind[Amount],$A638)&gt;0,LEN(INDEX(inkind[Name organisation2],$A638))=0),$B$176,"")</f>
        <v>#REF!</v>
      </c>
    </row>
    <row r="639" spans="1:9" ht="12" customHeight="1" x14ac:dyDescent="0.35">
      <c r="A639" s="372">
        <v>17</v>
      </c>
      <c r="B639" s="195" t="str">
        <f t="array" ref="B639">IFERROR(INDEX(comb_notes_inkind[[#This Row],[Empty line]:[No organisation name]],1,MATCH(TRUE,LEN(comb_notes_inkind[[#This Row],[Empty line]:[No organisation name]])&gt;0,0)),"")</f>
        <v/>
      </c>
      <c r="C639" s="195" t="str">
        <f>IFERROR(IF(AND(LEN(INDEX(inkind[Description],$A639))+LEN(INDEX(inkind[Name organisation],$A639))+LEN(INDEX(inkind[[  ]],$A639))+LEN(INDEX(inkind[Nr of units or Nr of hours],$A639))&gt;0,LEN(INDEX(inkind[Description],$A639-1))+LEN(INDEX(inkind[Name organisation],$A639-1))+LEN(INDEX(inkind[[  ]],$A639-1))+LEN(INDEX(inkind[Nr of units or Nr of hours],$A639-1))=0),$B$127,""),"")</f>
        <v/>
      </c>
      <c r="D639" s="195" t="e">
        <f>IF(AND(INDEX(inkind[Amount],$A639)&gt;0,LEN(INDEX(inkind[Name organisation],$A639))=0,cofunding_inkind_def_rates="yes"),$B$183,"")</f>
        <v>#REF!</v>
      </c>
      <c r="E639" s="195" t="e">
        <f>IF(AND(INDEX(inkind[Amount],$A639)&gt;0,LEN(INDEX(inkind[[  ]],$A639))=0,cofunding_inkind_def_rates="yes"),$B$183,"")</f>
        <v>#REF!</v>
      </c>
      <c r="F639" s="195" t="e">
        <f>IF(AND(INDEX(inkind[[  ]],$A639)="Junior",INDEX(inkind[Unit price or hourly rate],$A639)&gt;cofunding_junior_rate),$B$186,IF(AND(INDEX(inkind[[  ]],$A639)="Senior",INDEX(inkind[Unit price or hourly rate],$A639)&gt;cofunding_senior_rate),$B$187,""))</f>
        <v>#REF!</v>
      </c>
      <c r="G639" s="195" t="e">
        <f>IF(AND(INDEX(inkind[Name organisation],$A639)="Materials",LEN(INDEX(inkind[[  ]],$A639))&gt;0),$B$184,"")</f>
        <v>#REF!</v>
      </c>
      <c r="H639" s="195" t="e">
        <f>IF(AND(INDEX(inkind[Amount],$A639)&gt;0,LEN(INDEX(inkind[Organisation type],$A639))=0),$B$175,"")</f>
        <v>#REF!</v>
      </c>
      <c r="I639" s="195" t="e">
        <f>IF(AND(INDEX(inkind[Amount],$A639)&gt;0,LEN(INDEX(inkind[Name organisation2],$A639))=0),$B$176,"")</f>
        <v>#REF!</v>
      </c>
    </row>
    <row r="640" spans="1:9" ht="12" customHeight="1" x14ac:dyDescent="0.35">
      <c r="A640" s="372">
        <v>18</v>
      </c>
      <c r="B640" s="195" t="str">
        <f t="array" ref="B640">IFERROR(INDEX(comb_notes_inkind[[#This Row],[Empty line]:[No organisation name]],1,MATCH(TRUE,LEN(comb_notes_inkind[[#This Row],[Empty line]:[No organisation name]])&gt;0,0)),"")</f>
        <v/>
      </c>
      <c r="C640" s="195" t="str">
        <f>IFERROR(IF(AND(LEN(INDEX(inkind[Description],$A640))+LEN(INDEX(inkind[Name organisation],$A640))+LEN(INDEX(inkind[[  ]],$A640))+LEN(INDEX(inkind[Nr of units or Nr of hours],$A640))&gt;0,LEN(INDEX(inkind[Description],$A640-1))+LEN(INDEX(inkind[Name organisation],$A640-1))+LEN(INDEX(inkind[[  ]],$A640-1))+LEN(INDEX(inkind[Nr of units or Nr of hours],$A640-1))=0),$B$127,""),"")</f>
        <v/>
      </c>
      <c r="D640" s="195" t="e">
        <f>IF(AND(INDEX(inkind[Amount],$A640)&gt;0,LEN(INDEX(inkind[Name organisation],$A640))=0,cofunding_inkind_def_rates="yes"),$B$183,"")</f>
        <v>#REF!</v>
      </c>
      <c r="E640" s="195" t="e">
        <f>IF(AND(INDEX(inkind[Amount],$A640)&gt;0,LEN(INDEX(inkind[[  ]],$A640))=0,cofunding_inkind_def_rates="yes"),$B$183,"")</f>
        <v>#REF!</v>
      </c>
      <c r="F640" s="195" t="e">
        <f>IF(AND(INDEX(inkind[[  ]],$A640)="Junior",INDEX(inkind[Unit price or hourly rate],$A640)&gt;cofunding_junior_rate),$B$186,IF(AND(INDEX(inkind[[  ]],$A640)="Senior",INDEX(inkind[Unit price or hourly rate],$A640)&gt;cofunding_senior_rate),$B$187,""))</f>
        <v>#REF!</v>
      </c>
      <c r="G640" s="195" t="e">
        <f>IF(AND(INDEX(inkind[Name organisation],$A640)="Materials",LEN(INDEX(inkind[[  ]],$A640))&gt;0),$B$184,"")</f>
        <v>#REF!</v>
      </c>
      <c r="H640" s="195" t="e">
        <f>IF(AND(INDEX(inkind[Amount],$A640)&gt;0,LEN(INDEX(inkind[Organisation type],$A640))=0),$B$175,"")</f>
        <v>#REF!</v>
      </c>
      <c r="I640" s="195" t="e">
        <f>IF(AND(INDEX(inkind[Amount],$A640)&gt;0,LEN(INDEX(inkind[Name organisation2],$A640))=0),$B$176,"")</f>
        <v>#REF!</v>
      </c>
    </row>
    <row r="641" spans="1:9" ht="12" customHeight="1" x14ac:dyDescent="0.35">
      <c r="A641" s="372">
        <v>19</v>
      </c>
      <c r="B641" s="195" t="str">
        <f t="array" ref="B641">IFERROR(INDEX(comb_notes_inkind[[#This Row],[Empty line]:[No organisation name]],1,MATCH(TRUE,LEN(comb_notes_inkind[[#This Row],[Empty line]:[No organisation name]])&gt;0,0)),"")</f>
        <v/>
      </c>
      <c r="C641" s="195" t="str">
        <f>IFERROR(IF(AND(LEN(INDEX(inkind[Description],$A641))+LEN(INDEX(inkind[Name organisation],$A641))+LEN(INDEX(inkind[[  ]],$A641))+LEN(INDEX(inkind[Nr of units or Nr of hours],$A641))&gt;0,LEN(INDEX(inkind[Description],$A641-1))+LEN(INDEX(inkind[Name organisation],$A641-1))+LEN(INDEX(inkind[[  ]],$A641-1))+LEN(INDEX(inkind[Nr of units or Nr of hours],$A641-1))=0),$B$127,""),"")</f>
        <v/>
      </c>
      <c r="D641" s="195" t="e">
        <f>IF(AND(INDEX(inkind[Amount],$A641)&gt;0,LEN(INDEX(inkind[Name organisation],$A641))=0,cofunding_inkind_def_rates="yes"),$B$183,"")</f>
        <v>#REF!</v>
      </c>
      <c r="E641" s="195" t="e">
        <f>IF(AND(INDEX(inkind[Amount],$A641)&gt;0,LEN(INDEX(inkind[[  ]],$A641))=0,cofunding_inkind_def_rates="yes"),$B$183,"")</f>
        <v>#REF!</v>
      </c>
      <c r="F641" s="195" t="e">
        <f>IF(AND(INDEX(inkind[[  ]],$A641)="Junior",INDEX(inkind[Unit price or hourly rate],$A641)&gt;cofunding_junior_rate),$B$186,IF(AND(INDEX(inkind[[  ]],$A641)="Senior",INDEX(inkind[Unit price or hourly rate],$A641)&gt;cofunding_senior_rate),$B$187,""))</f>
        <v>#REF!</v>
      </c>
      <c r="G641" s="195" t="e">
        <f>IF(AND(INDEX(inkind[Name organisation],$A641)="Materials",LEN(INDEX(inkind[[  ]],$A641))&gt;0),$B$184,"")</f>
        <v>#REF!</v>
      </c>
      <c r="H641" s="195" t="e">
        <f>IF(AND(INDEX(inkind[Amount],$A641)&gt;0,LEN(INDEX(inkind[Organisation type],$A641))=0),$B$175,"")</f>
        <v>#REF!</v>
      </c>
      <c r="I641" s="195" t="e">
        <f>IF(AND(INDEX(inkind[Amount],$A641)&gt;0,LEN(INDEX(inkind[Name organisation2],$A641))=0),$B$176,"")</f>
        <v>#REF!</v>
      </c>
    </row>
    <row r="642" spans="1:9" ht="12" customHeight="1" x14ac:dyDescent="0.35">
      <c r="A642" s="372">
        <v>20</v>
      </c>
      <c r="B642" s="195" t="str">
        <f t="array" ref="B642">IFERROR(INDEX(comb_notes_inkind[[#This Row],[Empty line]:[No organisation name]],1,MATCH(TRUE,LEN(comb_notes_inkind[[#This Row],[Empty line]:[No organisation name]])&gt;0,0)),"")</f>
        <v/>
      </c>
      <c r="C642" s="195" t="str">
        <f>IFERROR(IF(AND(LEN(INDEX(inkind[Description],$A642))+LEN(INDEX(inkind[Name organisation],$A642))+LEN(INDEX(inkind[[  ]],$A642))+LEN(INDEX(inkind[Nr of units or Nr of hours],$A642))&gt;0,LEN(INDEX(inkind[Description],$A642-1))+LEN(INDEX(inkind[Name organisation],$A642-1))+LEN(INDEX(inkind[[  ]],$A642-1))+LEN(INDEX(inkind[Nr of units or Nr of hours],$A642-1))=0),$B$127,""),"")</f>
        <v/>
      </c>
      <c r="D642" s="195" t="e">
        <f>IF(AND(INDEX(inkind[Amount],$A642)&gt;0,LEN(INDEX(inkind[Name organisation],$A642))=0,cofunding_inkind_def_rates="yes"),$B$183,"")</f>
        <v>#REF!</v>
      </c>
      <c r="E642" s="195" t="e">
        <f>IF(AND(INDEX(inkind[Amount],$A642)&gt;0,LEN(INDEX(inkind[[  ]],$A642))=0,cofunding_inkind_def_rates="yes"),$B$183,"")</f>
        <v>#REF!</v>
      </c>
      <c r="F642" s="195" t="e">
        <f>IF(AND(INDEX(inkind[[  ]],$A642)="Junior",INDEX(inkind[Unit price or hourly rate],$A642)&gt;cofunding_junior_rate),$B$186,IF(AND(INDEX(inkind[[  ]],$A642)="Senior",INDEX(inkind[Unit price or hourly rate],$A642)&gt;cofunding_senior_rate),$B$187,""))</f>
        <v>#REF!</v>
      </c>
      <c r="G642" s="195" t="e">
        <f>IF(AND(INDEX(inkind[Name organisation],$A642)="Materials",LEN(INDEX(inkind[[  ]],$A642))&gt;0),$B$184,"")</f>
        <v>#REF!</v>
      </c>
      <c r="H642" s="195" t="e">
        <f>IF(AND(INDEX(inkind[Amount],$A642)&gt;0,LEN(INDEX(inkind[Organisation type],$A642))=0),$B$175,"")</f>
        <v>#REF!</v>
      </c>
      <c r="I642" s="195" t="e">
        <f>IF(AND(INDEX(inkind[Amount],$A642)&gt;0,LEN(INDEX(inkind[Name organisation2],$A642))=0),$B$176,"")</f>
        <v>#REF!</v>
      </c>
    </row>
    <row r="643" spans="1:9" ht="12" customHeight="1" x14ac:dyDescent="0.35">
      <c r="A643" s="372">
        <v>21</v>
      </c>
      <c r="B643" s="195" t="str">
        <f t="array" ref="B643">IFERROR(INDEX(comb_notes_inkind[[#This Row],[Empty line]:[No organisation name]],1,MATCH(TRUE,LEN(comb_notes_inkind[[#This Row],[Empty line]:[No organisation name]])&gt;0,0)),"")</f>
        <v/>
      </c>
      <c r="C643" s="195" t="str">
        <f>IFERROR(IF(AND(LEN(INDEX(inkind[Description],$A643))+LEN(INDEX(inkind[Name organisation],$A643))+LEN(INDEX(inkind[[  ]],$A643))+LEN(INDEX(inkind[Nr of units or Nr of hours],$A643))&gt;0,LEN(INDEX(inkind[Description],$A643-1))+LEN(INDEX(inkind[Name organisation],$A643-1))+LEN(INDEX(inkind[[  ]],$A643-1))+LEN(INDEX(inkind[Nr of units or Nr of hours],$A643-1))=0),$B$127,""),"")</f>
        <v/>
      </c>
      <c r="D643" s="195" t="e">
        <f>IF(AND(INDEX(inkind[Amount],$A643)&gt;0,LEN(INDEX(inkind[Name organisation],$A643))=0,cofunding_inkind_def_rates="yes"),$B$183,"")</f>
        <v>#REF!</v>
      </c>
      <c r="E643" s="195" t="e">
        <f>IF(AND(INDEX(inkind[Amount],$A643)&gt;0,LEN(INDEX(inkind[[  ]],$A643))=0,cofunding_inkind_def_rates="yes"),$B$183,"")</f>
        <v>#REF!</v>
      </c>
      <c r="F643" s="195" t="e">
        <f>IF(AND(INDEX(inkind[[  ]],$A643)="Junior",INDEX(inkind[Unit price or hourly rate],$A643)&gt;cofunding_junior_rate),$B$186,IF(AND(INDEX(inkind[[  ]],$A643)="Senior",INDEX(inkind[Unit price or hourly rate],$A643)&gt;cofunding_senior_rate),$B$187,""))</f>
        <v>#REF!</v>
      </c>
      <c r="G643" s="195" t="e">
        <f>IF(AND(INDEX(inkind[Name organisation],$A643)="Materials",LEN(INDEX(inkind[[  ]],$A643))&gt;0),$B$184,"")</f>
        <v>#REF!</v>
      </c>
      <c r="H643" s="195" t="e">
        <f>IF(AND(INDEX(inkind[Amount],$A643)&gt;0,LEN(INDEX(inkind[Organisation type],$A643))=0),$B$175,"")</f>
        <v>#REF!</v>
      </c>
      <c r="I643" s="195" t="e">
        <f>IF(AND(INDEX(inkind[Amount],$A643)&gt;0,LEN(INDEX(inkind[Name organisation2],$A643))=0),$B$176,"")</f>
        <v>#REF!</v>
      </c>
    </row>
    <row r="644" spans="1:9" ht="12" customHeight="1" x14ac:dyDescent="0.35">
      <c r="A644" s="372">
        <v>22</v>
      </c>
      <c r="B644" s="195" t="str">
        <f t="array" ref="B644">IFERROR(INDEX(comb_notes_inkind[[#This Row],[Empty line]:[No organisation name]],1,MATCH(TRUE,LEN(comb_notes_inkind[[#This Row],[Empty line]:[No organisation name]])&gt;0,0)),"")</f>
        <v/>
      </c>
      <c r="C644" s="195" t="str">
        <f>IFERROR(IF(AND(LEN(INDEX(inkind[Description],$A644))+LEN(INDEX(inkind[Name organisation],$A644))+LEN(INDEX(inkind[[  ]],$A644))+LEN(INDEX(inkind[Nr of units or Nr of hours],$A644))&gt;0,LEN(INDEX(inkind[Description],$A644-1))+LEN(INDEX(inkind[Name organisation],$A644-1))+LEN(INDEX(inkind[[  ]],$A644-1))+LEN(INDEX(inkind[Nr of units or Nr of hours],$A644-1))=0),$B$127,""),"")</f>
        <v/>
      </c>
      <c r="D644" s="195" t="e">
        <f>IF(AND(INDEX(inkind[Amount],$A644)&gt;0,LEN(INDEX(inkind[Name organisation],$A644))=0,cofunding_inkind_def_rates="yes"),$B$183,"")</f>
        <v>#REF!</v>
      </c>
      <c r="E644" s="195" t="e">
        <f>IF(AND(INDEX(inkind[Amount],$A644)&gt;0,LEN(INDEX(inkind[[  ]],$A644))=0,cofunding_inkind_def_rates="yes"),$B$183,"")</f>
        <v>#REF!</v>
      </c>
      <c r="F644" s="195" t="e">
        <f>IF(AND(INDEX(inkind[[  ]],$A644)="Junior",INDEX(inkind[Unit price or hourly rate],$A644)&gt;cofunding_junior_rate),$B$186,IF(AND(INDEX(inkind[[  ]],$A644)="Senior",INDEX(inkind[Unit price or hourly rate],$A644)&gt;cofunding_senior_rate),$B$187,""))</f>
        <v>#REF!</v>
      </c>
      <c r="G644" s="195" t="e">
        <f>IF(AND(INDEX(inkind[Name organisation],$A644)="Materials",LEN(INDEX(inkind[[  ]],$A644))&gt;0),$B$184,"")</f>
        <v>#REF!</v>
      </c>
      <c r="H644" s="195" t="e">
        <f>IF(AND(INDEX(inkind[Amount],$A644)&gt;0,LEN(INDEX(inkind[Organisation type],$A644))=0),$B$175,"")</f>
        <v>#REF!</v>
      </c>
      <c r="I644" s="195" t="e">
        <f>IF(AND(INDEX(inkind[Amount],$A644)&gt;0,LEN(INDEX(inkind[Name organisation2],$A644))=0),$B$176,"")</f>
        <v>#REF!</v>
      </c>
    </row>
    <row r="645" spans="1:9" ht="12" customHeight="1" x14ac:dyDescent="0.35">
      <c r="A645" s="372">
        <v>23</v>
      </c>
      <c r="B645" s="195" t="str">
        <f t="array" ref="B645">IFERROR(INDEX(comb_notes_inkind[[#This Row],[Empty line]:[No organisation name]],1,MATCH(TRUE,LEN(comb_notes_inkind[[#This Row],[Empty line]:[No organisation name]])&gt;0,0)),"")</f>
        <v/>
      </c>
      <c r="C645" s="195" t="str">
        <f>IFERROR(IF(AND(LEN(INDEX(inkind[Description],$A645))+LEN(INDEX(inkind[Name organisation],$A645))+LEN(INDEX(inkind[[  ]],$A645))+LEN(INDEX(inkind[Nr of units or Nr of hours],$A645))&gt;0,LEN(INDEX(inkind[Description],$A645-1))+LEN(INDEX(inkind[Name organisation],$A645-1))+LEN(INDEX(inkind[[  ]],$A645-1))+LEN(INDEX(inkind[Nr of units or Nr of hours],$A645-1))=0),$B$127,""),"")</f>
        <v/>
      </c>
      <c r="D645" s="195" t="e">
        <f>IF(AND(INDEX(inkind[Amount],$A645)&gt;0,LEN(INDEX(inkind[Name organisation],$A645))=0,cofunding_inkind_def_rates="yes"),$B$183,"")</f>
        <v>#REF!</v>
      </c>
      <c r="E645" s="195" t="e">
        <f>IF(AND(INDEX(inkind[Amount],$A645)&gt;0,LEN(INDEX(inkind[[  ]],$A645))=0,cofunding_inkind_def_rates="yes"),$B$183,"")</f>
        <v>#REF!</v>
      </c>
      <c r="F645" s="195" t="e">
        <f>IF(AND(INDEX(inkind[[  ]],$A645)="Junior",INDEX(inkind[Unit price or hourly rate],$A645)&gt;cofunding_junior_rate),$B$186,IF(AND(INDEX(inkind[[  ]],$A645)="Senior",INDEX(inkind[Unit price or hourly rate],$A645)&gt;cofunding_senior_rate),$B$187,""))</f>
        <v>#REF!</v>
      </c>
      <c r="G645" s="195" t="e">
        <f>IF(AND(INDEX(inkind[Name organisation],$A645)="Materials",LEN(INDEX(inkind[[  ]],$A645))&gt;0),$B$184,"")</f>
        <v>#REF!</v>
      </c>
      <c r="H645" s="195" t="e">
        <f>IF(AND(INDEX(inkind[Amount],$A645)&gt;0,LEN(INDEX(inkind[Organisation type],$A645))=0),$B$175,"")</f>
        <v>#REF!</v>
      </c>
      <c r="I645" s="195" t="e">
        <f>IF(AND(INDEX(inkind[Amount],$A645)&gt;0,LEN(INDEX(inkind[Name organisation2],$A645))=0),$B$176,"")</f>
        <v>#REF!</v>
      </c>
    </row>
    <row r="646" spans="1:9" ht="12" customHeight="1" x14ac:dyDescent="0.35">
      <c r="A646" s="372">
        <v>24</v>
      </c>
      <c r="B646" s="195" t="str">
        <f t="array" ref="B646">IFERROR(INDEX(comb_notes_inkind[[#This Row],[Empty line]:[No organisation name]],1,MATCH(TRUE,LEN(comb_notes_inkind[[#This Row],[Empty line]:[No organisation name]])&gt;0,0)),"")</f>
        <v/>
      </c>
      <c r="C646" s="195" t="str">
        <f>IFERROR(IF(AND(LEN(INDEX(inkind[Description],$A646))+LEN(INDEX(inkind[Name organisation],$A646))+LEN(INDEX(inkind[[  ]],$A646))+LEN(INDEX(inkind[Nr of units or Nr of hours],$A646))&gt;0,LEN(INDEX(inkind[Description],$A646-1))+LEN(INDEX(inkind[Name organisation],$A646-1))+LEN(INDEX(inkind[[  ]],$A646-1))+LEN(INDEX(inkind[Nr of units or Nr of hours],$A646-1))=0),$B$127,""),"")</f>
        <v/>
      </c>
      <c r="D646" s="195" t="e">
        <f>IF(AND(INDEX(inkind[Amount],$A646)&gt;0,LEN(INDEX(inkind[Name organisation],$A646))=0,cofunding_inkind_def_rates="yes"),$B$183,"")</f>
        <v>#REF!</v>
      </c>
      <c r="E646" s="195" t="e">
        <f>IF(AND(INDEX(inkind[Amount],$A646)&gt;0,LEN(INDEX(inkind[[  ]],$A646))=0,cofunding_inkind_def_rates="yes"),$B$183,"")</f>
        <v>#REF!</v>
      </c>
      <c r="F646" s="195" t="e">
        <f>IF(AND(INDEX(inkind[[  ]],$A646)="Junior",INDEX(inkind[Unit price or hourly rate],$A646)&gt;cofunding_junior_rate),$B$186,IF(AND(INDEX(inkind[[  ]],$A646)="Senior",INDEX(inkind[Unit price or hourly rate],$A646)&gt;cofunding_senior_rate),$B$187,""))</f>
        <v>#REF!</v>
      </c>
      <c r="G646" s="195" t="e">
        <f>IF(AND(INDEX(inkind[Name organisation],$A646)="Materials",LEN(INDEX(inkind[[  ]],$A646))&gt;0),$B$184,"")</f>
        <v>#REF!</v>
      </c>
      <c r="H646" s="195" t="e">
        <f>IF(AND(INDEX(inkind[Amount],$A646)&gt;0,LEN(INDEX(inkind[Organisation type],$A646))=0),$B$175,"")</f>
        <v>#REF!</v>
      </c>
      <c r="I646" s="195" t="e">
        <f>IF(AND(INDEX(inkind[Amount],$A646)&gt;0,LEN(INDEX(inkind[Name organisation2],$A646))=0),$B$176,"")</f>
        <v>#REF!</v>
      </c>
    </row>
    <row r="647" spans="1:9" ht="12" customHeight="1" x14ac:dyDescent="0.35">
      <c r="A647" s="372">
        <v>25</v>
      </c>
      <c r="B647" s="195" t="str">
        <f t="array" ref="B647">IFERROR(INDEX(comb_notes_inkind[[#This Row],[Empty line]:[No organisation name]],1,MATCH(TRUE,LEN(comb_notes_inkind[[#This Row],[Empty line]:[No organisation name]])&gt;0,0)),"")</f>
        <v/>
      </c>
      <c r="C647" s="195" t="str">
        <f>IFERROR(IF(AND(LEN(INDEX(inkind[Description],$A647))+LEN(INDEX(inkind[Name organisation],$A647))+LEN(INDEX(inkind[[  ]],$A647))+LEN(INDEX(inkind[Nr of units or Nr of hours],$A647))&gt;0,LEN(INDEX(inkind[Description],$A647-1))+LEN(INDEX(inkind[Name organisation],$A647-1))+LEN(INDEX(inkind[[  ]],$A647-1))+LEN(INDEX(inkind[Nr of units or Nr of hours],$A647-1))=0),$B$127,""),"")</f>
        <v/>
      </c>
      <c r="D647" s="195" t="e">
        <f>IF(AND(INDEX(inkind[Amount],$A647)&gt;0,LEN(INDEX(inkind[Name organisation],$A647))=0,cofunding_inkind_def_rates="yes"),$B$183,"")</f>
        <v>#REF!</v>
      </c>
      <c r="E647" s="195" t="e">
        <f>IF(AND(INDEX(inkind[Amount],$A647)&gt;0,LEN(INDEX(inkind[[  ]],$A647))=0,cofunding_inkind_def_rates="yes"),$B$183,"")</f>
        <v>#REF!</v>
      </c>
      <c r="F647" s="195" t="e">
        <f>IF(AND(INDEX(inkind[[  ]],$A647)="Junior",INDEX(inkind[Unit price or hourly rate],$A647)&gt;cofunding_junior_rate),$B$186,IF(AND(INDEX(inkind[[  ]],$A647)="Senior",INDEX(inkind[Unit price or hourly rate],$A647)&gt;cofunding_senior_rate),$B$187,""))</f>
        <v>#REF!</v>
      </c>
      <c r="G647" s="195" t="e">
        <f>IF(AND(INDEX(inkind[Name organisation],$A647)="Materials",LEN(INDEX(inkind[[  ]],$A647))&gt;0),$B$184,"")</f>
        <v>#REF!</v>
      </c>
      <c r="H647" s="195" t="e">
        <f>IF(AND(INDEX(inkind[Amount],$A647)&gt;0,LEN(INDEX(inkind[Organisation type],$A647))=0),$B$175,"")</f>
        <v>#REF!</v>
      </c>
      <c r="I647" s="195" t="e">
        <f>IF(AND(INDEX(inkind[Amount],$A647)&gt;0,LEN(INDEX(inkind[Name organisation2],$A647))=0),$B$176,"")</f>
        <v>#REF!</v>
      </c>
    </row>
    <row r="648" spans="1:9" ht="12" customHeight="1" x14ac:dyDescent="0.35">
      <c r="A648" s="372">
        <v>26</v>
      </c>
      <c r="B648" s="195" t="str">
        <f t="array" ref="B648">IFERROR(INDEX(comb_notes_inkind[[#This Row],[Empty line]:[No organisation name]],1,MATCH(TRUE,LEN(comb_notes_inkind[[#This Row],[Empty line]:[No organisation name]])&gt;0,0)),"")</f>
        <v/>
      </c>
      <c r="C648" s="195" t="str">
        <f>IFERROR(IF(AND(LEN(INDEX(inkind[Description],$A648))+LEN(INDEX(inkind[Name organisation],$A648))+LEN(INDEX(inkind[[  ]],$A648))+LEN(INDEX(inkind[Nr of units or Nr of hours],$A648))&gt;0,LEN(INDEX(inkind[Description],$A648-1))+LEN(INDEX(inkind[Name organisation],$A648-1))+LEN(INDEX(inkind[[  ]],$A648-1))+LEN(INDEX(inkind[Nr of units or Nr of hours],$A648-1))=0),$B$127,""),"")</f>
        <v/>
      </c>
      <c r="D648" s="195" t="e">
        <f>IF(AND(INDEX(inkind[Amount],$A648)&gt;0,LEN(INDEX(inkind[Name organisation],$A648))=0,cofunding_inkind_def_rates="yes"),$B$183,"")</f>
        <v>#REF!</v>
      </c>
      <c r="E648" s="195" t="e">
        <f>IF(AND(INDEX(inkind[Amount],$A648)&gt;0,LEN(INDEX(inkind[[  ]],$A648))=0,cofunding_inkind_def_rates="yes"),$B$183,"")</f>
        <v>#REF!</v>
      </c>
      <c r="F648" s="195" t="e">
        <f>IF(AND(INDEX(inkind[[  ]],$A648)="Junior",INDEX(inkind[Unit price or hourly rate],$A648)&gt;cofunding_junior_rate),$B$186,IF(AND(INDEX(inkind[[  ]],$A648)="Senior",INDEX(inkind[Unit price or hourly rate],$A648)&gt;cofunding_senior_rate),$B$187,""))</f>
        <v>#REF!</v>
      </c>
      <c r="G648" s="195" t="e">
        <f>IF(AND(INDEX(inkind[Name organisation],$A648)="Materials",LEN(INDEX(inkind[[  ]],$A648))&gt;0),$B$184,"")</f>
        <v>#REF!</v>
      </c>
      <c r="H648" s="195" t="e">
        <f>IF(AND(INDEX(inkind[Amount],$A648)&gt;0,LEN(INDEX(inkind[Organisation type],$A648))=0),$B$175,"")</f>
        <v>#REF!</v>
      </c>
      <c r="I648" s="195" t="e">
        <f>IF(AND(INDEX(inkind[Amount],$A648)&gt;0,LEN(INDEX(inkind[Name organisation2],$A648))=0),$B$176,"")</f>
        <v>#REF!</v>
      </c>
    </row>
    <row r="649" spans="1:9" ht="12" customHeight="1" x14ac:dyDescent="0.35">
      <c r="A649" s="372">
        <v>27</v>
      </c>
      <c r="B649" s="195" t="str">
        <f t="array" ref="B649">IFERROR(INDEX(comb_notes_inkind[[#This Row],[Empty line]:[No organisation name]],1,MATCH(TRUE,LEN(comb_notes_inkind[[#This Row],[Empty line]:[No organisation name]])&gt;0,0)),"")</f>
        <v/>
      </c>
      <c r="C649" s="195" t="str">
        <f>IFERROR(IF(AND(LEN(INDEX(inkind[Description],$A649))+LEN(INDEX(inkind[Name organisation],$A649))+LEN(INDEX(inkind[[  ]],$A649))+LEN(INDEX(inkind[Nr of units or Nr of hours],$A649))&gt;0,LEN(INDEX(inkind[Description],$A649-1))+LEN(INDEX(inkind[Name organisation],$A649-1))+LEN(INDEX(inkind[[  ]],$A649-1))+LEN(INDEX(inkind[Nr of units or Nr of hours],$A649-1))=0),$B$127,""),"")</f>
        <v/>
      </c>
      <c r="D649" s="195" t="e">
        <f>IF(AND(INDEX(inkind[Amount],$A649)&gt;0,LEN(INDEX(inkind[Name organisation],$A649))=0,cofunding_inkind_def_rates="yes"),$B$183,"")</f>
        <v>#REF!</v>
      </c>
      <c r="E649" s="195" t="e">
        <f>IF(AND(INDEX(inkind[Amount],$A649)&gt;0,LEN(INDEX(inkind[[  ]],$A649))=0,cofunding_inkind_def_rates="yes"),$B$183,"")</f>
        <v>#REF!</v>
      </c>
      <c r="F649" s="195" t="e">
        <f>IF(AND(INDEX(inkind[[  ]],$A649)="Junior",INDEX(inkind[Unit price or hourly rate],$A649)&gt;cofunding_junior_rate),$B$186,IF(AND(INDEX(inkind[[  ]],$A649)="Senior",INDEX(inkind[Unit price or hourly rate],$A649)&gt;cofunding_senior_rate),$B$187,""))</f>
        <v>#REF!</v>
      </c>
      <c r="G649" s="195" t="e">
        <f>IF(AND(INDEX(inkind[Name organisation],$A649)="Materials",LEN(INDEX(inkind[[  ]],$A649))&gt;0),$B$184,"")</f>
        <v>#REF!</v>
      </c>
      <c r="H649" s="195" t="e">
        <f>IF(AND(INDEX(inkind[Amount],$A649)&gt;0,LEN(INDEX(inkind[Organisation type],$A649))=0),$B$175,"")</f>
        <v>#REF!</v>
      </c>
      <c r="I649" s="195" t="e">
        <f>IF(AND(INDEX(inkind[Amount],$A649)&gt;0,LEN(INDEX(inkind[Name organisation2],$A649))=0),$B$176,"")</f>
        <v>#REF!</v>
      </c>
    </row>
    <row r="650" spans="1:9" ht="12" customHeight="1" x14ac:dyDescent="0.35">
      <c r="A650" s="372">
        <v>28</v>
      </c>
      <c r="B650" s="195" t="str">
        <f t="array" ref="B650">IFERROR(INDEX(comb_notes_inkind[[#This Row],[Empty line]:[No organisation name]],1,MATCH(TRUE,LEN(comb_notes_inkind[[#This Row],[Empty line]:[No organisation name]])&gt;0,0)),"")</f>
        <v/>
      </c>
      <c r="C650" s="195" t="str">
        <f>IFERROR(IF(AND(LEN(INDEX(inkind[Description],$A650))+LEN(INDEX(inkind[Name organisation],$A650))+LEN(INDEX(inkind[[  ]],$A650))+LEN(INDEX(inkind[Nr of units or Nr of hours],$A650))&gt;0,LEN(INDEX(inkind[Description],$A650-1))+LEN(INDEX(inkind[Name organisation],$A650-1))+LEN(INDEX(inkind[[  ]],$A650-1))+LEN(INDEX(inkind[Nr of units or Nr of hours],$A650-1))=0),$B$127,""),"")</f>
        <v/>
      </c>
      <c r="D650" s="195" t="e">
        <f>IF(AND(INDEX(inkind[Amount],$A650)&gt;0,LEN(INDEX(inkind[Name organisation],$A650))=0,cofunding_inkind_def_rates="yes"),$B$183,"")</f>
        <v>#REF!</v>
      </c>
      <c r="E650" s="195" t="e">
        <f>IF(AND(INDEX(inkind[Amount],$A650)&gt;0,LEN(INDEX(inkind[[  ]],$A650))=0,cofunding_inkind_def_rates="yes"),$B$183,"")</f>
        <v>#REF!</v>
      </c>
      <c r="F650" s="195" t="e">
        <f>IF(AND(INDEX(inkind[[  ]],$A650)="Junior",INDEX(inkind[Unit price or hourly rate],$A650)&gt;cofunding_junior_rate),$B$186,IF(AND(INDEX(inkind[[  ]],$A650)="Senior",INDEX(inkind[Unit price or hourly rate],$A650)&gt;cofunding_senior_rate),$B$187,""))</f>
        <v>#REF!</v>
      </c>
      <c r="G650" s="195" t="e">
        <f>IF(AND(INDEX(inkind[Name organisation],$A650)="Materials",LEN(INDEX(inkind[[  ]],$A650))&gt;0),$B$184,"")</f>
        <v>#REF!</v>
      </c>
      <c r="H650" s="195" t="e">
        <f>IF(AND(INDEX(inkind[Amount],$A650)&gt;0,LEN(INDEX(inkind[Organisation type],$A650))=0),$B$175,"")</f>
        <v>#REF!</v>
      </c>
      <c r="I650" s="195" t="e">
        <f>IF(AND(INDEX(inkind[Amount],$A650)&gt;0,LEN(INDEX(inkind[Name organisation2],$A650))=0),$B$176,"")</f>
        <v>#REF!</v>
      </c>
    </row>
    <row r="651" spans="1:9" ht="12" customHeight="1" x14ac:dyDescent="0.35">
      <c r="A651" s="372">
        <v>29</v>
      </c>
      <c r="B651" s="195" t="str">
        <f t="array" ref="B651">IFERROR(INDEX(comb_notes_inkind[[#This Row],[Empty line]:[No organisation name]],1,MATCH(TRUE,LEN(comb_notes_inkind[[#This Row],[Empty line]:[No organisation name]])&gt;0,0)),"")</f>
        <v/>
      </c>
      <c r="C651" s="195" t="str">
        <f>IFERROR(IF(AND(LEN(INDEX(inkind[Description],$A651))+LEN(INDEX(inkind[Name organisation],$A651))+LEN(INDEX(inkind[[  ]],$A651))+LEN(INDEX(inkind[Nr of units or Nr of hours],$A651))&gt;0,LEN(INDEX(inkind[Description],$A651-1))+LEN(INDEX(inkind[Name organisation],$A651-1))+LEN(INDEX(inkind[[  ]],$A651-1))+LEN(INDEX(inkind[Nr of units or Nr of hours],$A651-1))=0),$B$127,""),"")</f>
        <v/>
      </c>
      <c r="D651" s="195" t="e">
        <f>IF(AND(INDEX(inkind[Amount],$A651)&gt;0,LEN(INDEX(inkind[Name organisation],$A651))=0,cofunding_inkind_def_rates="yes"),$B$183,"")</f>
        <v>#REF!</v>
      </c>
      <c r="E651" s="195" t="e">
        <f>IF(AND(INDEX(inkind[Amount],$A651)&gt;0,LEN(INDEX(inkind[[  ]],$A651))=0,cofunding_inkind_def_rates="yes"),$B$183,"")</f>
        <v>#REF!</v>
      </c>
      <c r="F651" s="195" t="e">
        <f>IF(AND(INDEX(inkind[[  ]],$A651)="Junior",INDEX(inkind[Unit price or hourly rate],$A651)&gt;cofunding_junior_rate),$B$186,IF(AND(INDEX(inkind[[  ]],$A651)="Senior",INDEX(inkind[Unit price or hourly rate],$A651)&gt;cofunding_senior_rate),$B$187,""))</f>
        <v>#REF!</v>
      </c>
      <c r="G651" s="195" t="e">
        <f>IF(AND(INDEX(inkind[Name organisation],$A651)="Materials",LEN(INDEX(inkind[[  ]],$A651))&gt;0),$B$184,"")</f>
        <v>#REF!</v>
      </c>
      <c r="H651" s="195" t="e">
        <f>IF(AND(INDEX(inkind[Amount],$A651)&gt;0,LEN(INDEX(inkind[Organisation type],$A651))=0),$B$175,"")</f>
        <v>#REF!</v>
      </c>
      <c r="I651" s="195" t="e">
        <f>IF(AND(INDEX(inkind[Amount],$A651)&gt;0,LEN(INDEX(inkind[Name organisation2],$A651))=0),$B$176,"")</f>
        <v>#REF!</v>
      </c>
    </row>
    <row r="652" spans="1:9" ht="12" customHeight="1" x14ac:dyDescent="0.35">
      <c r="A652" s="372">
        <v>30</v>
      </c>
      <c r="B652" s="195" t="str">
        <f t="array" ref="B652">IFERROR(INDEX(comb_notes_inkind[[#This Row],[Empty line]:[No organisation name]],1,MATCH(TRUE,LEN(comb_notes_inkind[[#This Row],[Empty line]:[No organisation name]])&gt;0,0)),"")</f>
        <v/>
      </c>
      <c r="C652" s="195" t="str">
        <f>IFERROR(IF(AND(LEN(INDEX(inkind[Description],$A652))+LEN(INDEX(inkind[Name organisation],$A652))+LEN(INDEX(inkind[[  ]],$A652))+LEN(INDEX(inkind[Nr of units or Nr of hours],$A652))&gt;0,LEN(INDEX(inkind[Description],$A652-1))+LEN(INDEX(inkind[Name organisation],$A652-1))+LEN(INDEX(inkind[[  ]],$A652-1))+LEN(INDEX(inkind[Nr of units or Nr of hours],$A652-1))=0),$B$127,""),"")</f>
        <v/>
      </c>
      <c r="D652" s="195" t="e">
        <f>IF(AND(INDEX(inkind[Amount],$A652)&gt;0,LEN(INDEX(inkind[Name organisation],$A652))=0,cofunding_inkind_def_rates="yes"),$B$183,"")</f>
        <v>#REF!</v>
      </c>
      <c r="E652" s="195" t="e">
        <f>IF(AND(INDEX(inkind[Amount],$A652)&gt;0,LEN(INDEX(inkind[[  ]],$A652))=0,cofunding_inkind_def_rates="yes"),$B$183,"")</f>
        <v>#REF!</v>
      </c>
      <c r="F652" s="195" t="e">
        <f>IF(AND(INDEX(inkind[[  ]],$A652)="Junior",INDEX(inkind[Unit price or hourly rate],$A652)&gt;cofunding_junior_rate),$B$186,IF(AND(INDEX(inkind[[  ]],$A652)="Senior",INDEX(inkind[Unit price or hourly rate],$A652)&gt;cofunding_senior_rate),$B$187,""))</f>
        <v>#REF!</v>
      </c>
      <c r="G652" s="195" t="e">
        <f>IF(AND(INDEX(inkind[Name organisation],$A652)="Materials",LEN(INDEX(inkind[[  ]],$A652))&gt;0),$B$184,"")</f>
        <v>#REF!</v>
      </c>
      <c r="H652" s="195" t="e">
        <f>IF(AND(INDEX(inkind[Amount],$A652)&gt;0,LEN(INDEX(inkind[Organisation type],$A652))=0),$B$175,"")</f>
        <v>#REF!</v>
      </c>
      <c r="I652" s="195" t="e">
        <f>IF(AND(INDEX(inkind[Amount],$A652)&gt;0,LEN(INDEX(inkind[Name organisation2],$A652))=0),$B$176,"")</f>
        <v>#REF!</v>
      </c>
    </row>
    <row r="653" spans="1:9" ht="12" customHeight="1" x14ac:dyDescent="0.35">
      <c r="A653" s="372">
        <v>31</v>
      </c>
      <c r="B653" s="195" t="str">
        <f t="array" ref="B653">IFERROR(INDEX(comb_notes_inkind[[#This Row],[Empty line]:[No organisation name]],1,MATCH(TRUE,LEN(comb_notes_inkind[[#This Row],[Empty line]:[No organisation name]])&gt;0,0)),"")</f>
        <v/>
      </c>
      <c r="C653" s="195" t="str">
        <f>IFERROR(IF(AND(LEN(INDEX(inkind[Description],$A653))+LEN(INDEX(inkind[Name organisation],$A653))+LEN(INDEX(inkind[[  ]],$A653))+LEN(INDEX(inkind[Nr of units or Nr of hours],$A653))&gt;0,LEN(INDEX(inkind[Description],$A653-1))+LEN(INDEX(inkind[Name organisation],$A653-1))+LEN(INDEX(inkind[[  ]],$A653-1))+LEN(INDEX(inkind[Nr of units or Nr of hours],$A653-1))=0),$B$127,""),"")</f>
        <v/>
      </c>
      <c r="D653" s="195" t="e">
        <f>IF(AND(INDEX(inkind[Amount],$A653)&gt;0,LEN(INDEX(inkind[Name organisation],$A653))=0,cofunding_inkind_def_rates="yes"),$B$183,"")</f>
        <v>#REF!</v>
      </c>
      <c r="E653" s="195" t="e">
        <f>IF(AND(INDEX(inkind[Amount],$A653)&gt;0,LEN(INDEX(inkind[[  ]],$A653))=0,cofunding_inkind_def_rates="yes"),$B$183,"")</f>
        <v>#REF!</v>
      </c>
      <c r="F653" s="195" t="e">
        <f>IF(AND(INDEX(inkind[[  ]],$A653)="Junior",INDEX(inkind[Unit price or hourly rate],$A653)&gt;cofunding_junior_rate),$B$186,IF(AND(INDEX(inkind[[  ]],$A653)="Senior",INDEX(inkind[Unit price or hourly rate],$A653)&gt;cofunding_senior_rate),$B$187,""))</f>
        <v>#REF!</v>
      </c>
      <c r="G653" s="195" t="e">
        <f>IF(AND(INDEX(inkind[Name organisation],$A653)="Materials",LEN(INDEX(inkind[[  ]],$A653))&gt;0),$B$184,"")</f>
        <v>#REF!</v>
      </c>
      <c r="H653" s="195" t="e">
        <f>IF(AND(INDEX(inkind[Amount],$A653)&gt;0,LEN(INDEX(inkind[Organisation type],$A653))=0),$B$175,"")</f>
        <v>#REF!</v>
      </c>
      <c r="I653" s="195" t="e">
        <f>IF(AND(INDEX(inkind[Amount],$A653)&gt;0,LEN(INDEX(inkind[Name organisation2],$A653))=0),$B$176,"")</f>
        <v>#REF!</v>
      </c>
    </row>
    <row r="654" spans="1:9" ht="12" customHeight="1" x14ac:dyDescent="0.35">
      <c r="A654" s="372">
        <v>32</v>
      </c>
      <c r="B654" s="195" t="str">
        <f t="array" ref="B654">IFERROR(INDEX(comb_notes_inkind[[#This Row],[Empty line]:[No organisation name]],1,MATCH(TRUE,LEN(comb_notes_inkind[[#This Row],[Empty line]:[No organisation name]])&gt;0,0)),"")</f>
        <v/>
      </c>
      <c r="C654" s="195" t="str">
        <f>IFERROR(IF(AND(LEN(INDEX(inkind[Description],$A654))+LEN(INDEX(inkind[Name organisation],$A654))+LEN(INDEX(inkind[[  ]],$A654))+LEN(INDEX(inkind[Nr of units or Nr of hours],$A654))&gt;0,LEN(INDEX(inkind[Description],$A654-1))+LEN(INDEX(inkind[Name organisation],$A654-1))+LEN(INDEX(inkind[[  ]],$A654-1))+LEN(INDEX(inkind[Nr of units or Nr of hours],$A654-1))=0),$B$127,""),"")</f>
        <v/>
      </c>
      <c r="D654" s="195" t="e">
        <f>IF(AND(INDEX(inkind[Amount],$A654)&gt;0,LEN(INDEX(inkind[Name organisation],$A654))=0,cofunding_inkind_def_rates="yes"),$B$183,"")</f>
        <v>#REF!</v>
      </c>
      <c r="E654" s="195" t="e">
        <f>IF(AND(INDEX(inkind[Amount],$A654)&gt;0,LEN(INDEX(inkind[[  ]],$A654))=0,cofunding_inkind_def_rates="yes"),$B$183,"")</f>
        <v>#REF!</v>
      </c>
      <c r="F654" s="195" t="e">
        <f>IF(AND(INDEX(inkind[[  ]],$A654)="Junior",INDEX(inkind[Unit price or hourly rate],$A654)&gt;cofunding_junior_rate),$B$186,IF(AND(INDEX(inkind[[  ]],$A654)="Senior",INDEX(inkind[Unit price or hourly rate],$A654)&gt;cofunding_senior_rate),$B$187,""))</f>
        <v>#REF!</v>
      </c>
      <c r="G654" s="195" t="e">
        <f>IF(AND(INDEX(inkind[Name organisation],$A654)="Materials",LEN(INDEX(inkind[[  ]],$A654))&gt;0),$B$184,"")</f>
        <v>#REF!</v>
      </c>
      <c r="H654" s="195" t="e">
        <f>IF(AND(INDEX(inkind[Amount],$A654)&gt;0,LEN(INDEX(inkind[Organisation type],$A654))=0),$B$175,"")</f>
        <v>#REF!</v>
      </c>
      <c r="I654" s="195" t="e">
        <f>IF(AND(INDEX(inkind[Amount],$A654)&gt;0,LEN(INDEX(inkind[Name organisation2],$A654))=0),$B$176,"")</f>
        <v>#REF!</v>
      </c>
    </row>
    <row r="655" spans="1:9" ht="12" customHeight="1" x14ac:dyDescent="0.35">
      <c r="A655" s="372">
        <v>33</v>
      </c>
      <c r="B655" s="195" t="str">
        <f t="array" ref="B655">IFERROR(INDEX(comb_notes_inkind[[#This Row],[Empty line]:[No organisation name]],1,MATCH(TRUE,LEN(comb_notes_inkind[[#This Row],[Empty line]:[No organisation name]])&gt;0,0)),"")</f>
        <v/>
      </c>
      <c r="C655" s="195" t="str">
        <f>IFERROR(IF(AND(LEN(INDEX(inkind[Description],$A655))+LEN(INDEX(inkind[Name organisation],$A655))+LEN(INDEX(inkind[[  ]],$A655))+LEN(INDEX(inkind[Nr of units or Nr of hours],$A655))&gt;0,LEN(INDEX(inkind[Description],$A655-1))+LEN(INDEX(inkind[Name organisation],$A655-1))+LEN(INDEX(inkind[[  ]],$A655-1))+LEN(INDEX(inkind[Nr of units or Nr of hours],$A655-1))=0),$B$127,""),"")</f>
        <v/>
      </c>
      <c r="D655" s="195" t="e">
        <f>IF(AND(INDEX(inkind[Amount],$A655)&gt;0,LEN(INDEX(inkind[Name organisation],$A655))=0,cofunding_inkind_def_rates="yes"),$B$183,"")</f>
        <v>#REF!</v>
      </c>
      <c r="E655" s="195" t="e">
        <f>IF(AND(INDEX(inkind[Amount],$A655)&gt;0,LEN(INDEX(inkind[[  ]],$A655))=0,cofunding_inkind_def_rates="yes"),$B$183,"")</f>
        <v>#REF!</v>
      </c>
      <c r="F655" s="195" t="e">
        <f>IF(AND(INDEX(inkind[[  ]],$A655)="Junior",INDEX(inkind[Unit price or hourly rate],$A655)&gt;cofunding_junior_rate),$B$186,IF(AND(INDEX(inkind[[  ]],$A655)="Senior",INDEX(inkind[Unit price or hourly rate],$A655)&gt;cofunding_senior_rate),$B$187,""))</f>
        <v>#REF!</v>
      </c>
      <c r="G655" s="195" t="e">
        <f>IF(AND(INDEX(inkind[Name organisation],$A655)="Materials",LEN(INDEX(inkind[[  ]],$A655))&gt;0),$B$184,"")</f>
        <v>#REF!</v>
      </c>
      <c r="H655" s="195" t="e">
        <f>IF(AND(INDEX(inkind[Amount],$A655)&gt;0,LEN(INDEX(inkind[Organisation type],$A655))=0),$B$175,"")</f>
        <v>#REF!</v>
      </c>
      <c r="I655" s="195" t="e">
        <f>IF(AND(INDEX(inkind[Amount],$A655)&gt;0,LEN(INDEX(inkind[Name organisation2],$A655))=0),$B$176,"")</f>
        <v>#REF!</v>
      </c>
    </row>
    <row r="656" spans="1:9" ht="12" customHeight="1" x14ac:dyDescent="0.35">
      <c r="A656" s="372">
        <v>34</v>
      </c>
      <c r="B656" s="195" t="str">
        <f t="array" ref="B656">IFERROR(INDEX(comb_notes_inkind[[#This Row],[Empty line]:[No organisation name]],1,MATCH(TRUE,LEN(comb_notes_inkind[[#This Row],[Empty line]:[No organisation name]])&gt;0,0)),"")</f>
        <v/>
      </c>
      <c r="C656" s="195" t="str">
        <f>IFERROR(IF(AND(LEN(INDEX(inkind[Description],$A656))+LEN(INDEX(inkind[Name organisation],$A656))+LEN(INDEX(inkind[[  ]],$A656))+LEN(INDEX(inkind[Nr of units or Nr of hours],$A656))&gt;0,LEN(INDEX(inkind[Description],$A656-1))+LEN(INDEX(inkind[Name organisation],$A656-1))+LEN(INDEX(inkind[[  ]],$A656-1))+LEN(INDEX(inkind[Nr of units or Nr of hours],$A656-1))=0),$B$127,""),"")</f>
        <v/>
      </c>
      <c r="D656" s="195" t="e">
        <f>IF(AND(INDEX(inkind[Amount],$A656)&gt;0,LEN(INDEX(inkind[Name organisation],$A656))=0,cofunding_inkind_def_rates="yes"),$B$183,"")</f>
        <v>#REF!</v>
      </c>
      <c r="E656" s="195" t="e">
        <f>IF(AND(INDEX(inkind[Amount],$A656)&gt;0,LEN(INDEX(inkind[[  ]],$A656))=0,cofunding_inkind_def_rates="yes"),$B$183,"")</f>
        <v>#REF!</v>
      </c>
      <c r="F656" s="195" t="e">
        <f>IF(AND(INDEX(inkind[[  ]],$A656)="Junior",INDEX(inkind[Unit price or hourly rate],$A656)&gt;cofunding_junior_rate),$B$186,IF(AND(INDEX(inkind[[  ]],$A656)="Senior",INDEX(inkind[Unit price or hourly rate],$A656)&gt;cofunding_senior_rate),$B$187,""))</f>
        <v>#REF!</v>
      </c>
      <c r="G656" s="195" t="e">
        <f>IF(AND(INDEX(inkind[Name organisation],$A656)="Materials",LEN(INDEX(inkind[[  ]],$A656))&gt;0),$B$184,"")</f>
        <v>#REF!</v>
      </c>
      <c r="H656" s="195" t="e">
        <f>IF(AND(INDEX(inkind[Amount],$A656)&gt;0,LEN(INDEX(inkind[Organisation type],$A656))=0),$B$175,"")</f>
        <v>#REF!</v>
      </c>
      <c r="I656" s="195" t="e">
        <f>IF(AND(INDEX(inkind[Amount],$A656)&gt;0,LEN(INDEX(inkind[Name organisation2],$A656))=0),$B$176,"")</f>
        <v>#REF!</v>
      </c>
    </row>
    <row r="657" spans="1:9" ht="12" customHeight="1" x14ac:dyDescent="0.35">
      <c r="A657" s="372">
        <v>35</v>
      </c>
      <c r="B657" s="195" t="str">
        <f t="array" ref="B657">IFERROR(INDEX(comb_notes_inkind[[#This Row],[Empty line]:[No organisation name]],1,MATCH(TRUE,LEN(comb_notes_inkind[[#This Row],[Empty line]:[No organisation name]])&gt;0,0)),"")</f>
        <v/>
      </c>
      <c r="C657" s="195" t="str">
        <f>IFERROR(IF(AND(LEN(INDEX(inkind[Description],$A657))+LEN(INDEX(inkind[Name organisation],$A657))+LEN(INDEX(inkind[[  ]],$A657))+LEN(INDEX(inkind[Nr of units or Nr of hours],$A657))&gt;0,LEN(INDEX(inkind[Description],$A657-1))+LEN(INDEX(inkind[Name organisation],$A657-1))+LEN(INDEX(inkind[[  ]],$A657-1))+LEN(INDEX(inkind[Nr of units or Nr of hours],$A657-1))=0),$B$127,""),"")</f>
        <v/>
      </c>
      <c r="D657" s="195" t="e">
        <f>IF(AND(INDEX(inkind[Amount],$A657)&gt;0,LEN(INDEX(inkind[Name organisation],$A657))=0,cofunding_inkind_def_rates="yes"),$B$183,"")</f>
        <v>#REF!</v>
      </c>
      <c r="E657" s="195" t="e">
        <f>IF(AND(INDEX(inkind[Amount],$A657)&gt;0,LEN(INDEX(inkind[[  ]],$A657))=0,cofunding_inkind_def_rates="yes"),$B$183,"")</f>
        <v>#REF!</v>
      </c>
      <c r="F657" s="195" t="e">
        <f>IF(AND(INDEX(inkind[[  ]],$A657)="Junior",INDEX(inkind[Unit price or hourly rate],$A657)&gt;cofunding_junior_rate),$B$186,IF(AND(INDEX(inkind[[  ]],$A657)="Senior",INDEX(inkind[Unit price or hourly rate],$A657)&gt;cofunding_senior_rate),$B$187,""))</f>
        <v>#REF!</v>
      </c>
      <c r="G657" s="195" t="e">
        <f>IF(AND(INDEX(inkind[Name organisation],$A657)="Materials",LEN(INDEX(inkind[[  ]],$A657))&gt;0),$B$184,"")</f>
        <v>#REF!</v>
      </c>
      <c r="H657" s="195" t="e">
        <f>IF(AND(INDEX(inkind[Amount],$A657)&gt;0,LEN(INDEX(inkind[Organisation type],$A657))=0),$B$175,"")</f>
        <v>#REF!</v>
      </c>
      <c r="I657" s="195" t="e">
        <f>IF(AND(INDEX(inkind[Amount],$A657)&gt;0,LEN(INDEX(inkind[Name organisation2],$A657))=0),$B$176,"")</f>
        <v>#REF!</v>
      </c>
    </row>
    <row r="658" spans="1:9" ht="12" customHeight="1" x14ac:dyDescent="0.35">
      <c r="A658" s="372">
        <v>36</v>
      </c>
      <c r="B658" s="195" t="str">
        <f t="array" ref="B658">IFERROR(INDEX(comb_notes_inkind[[#This Row],[Empty line]:[No organisation name]],1,MATCH(TRUE,LEN(comb_notes_inkind[[#This Row],[Empty line]:[No organisation name]])&gt;0,0)),"")</f>
        <v/>
      </c>
      <c r="C658" s="195" t="str">
        <f>IFERROR(IF(AND(LEN(INDEX(inkind[Description],$A658))+LEN(INDEX(inkind[Name organisation],$A658))+LEN(INDEX(inkind[[  ]],$A658))+LEN(INDEX(inkind[Nr of units or Nr of hours],$A658))&gt;0,LEN(INDEX(inkind[Description],$A658-1))+LEN(INDEX(inkind[Name organisation],$A658-1))+LEN(INDEX(inkind[[  ]],$A658-1))+LEN(INDEX(inkind[Nr of units or Nr of hours],$A658-1))=0),$B$127,""),"")</f>
        <v/>
      </c>
      <c r="D658" s="195" t="e">
        <f>IF(AND(INDEX(inkind[Amount],$A658)&gt;0,LEN(INDEX(inkind[Name organisation],$A658))=0,cofunding_inkind_def_rates="yes"),$B$183,"")</f>
        <v>#REF!</v>
      </c>
      <c r="E658" s="195" t="e">
        <f>IF(AND(INDEX(inkind[Amount],$A658)&gt;0,LEN(INDEX(inkind[[  ]],$A658))=0,cofunding_inkind_def_rates="yes"),$B$183,"")</f>
        <v>#REF!</v>
      </c>
      <c r="F658" s="195" t="e">
        <f>IF(AND(INDEX(inkind[[  ]],$A658)="Junior",INDEX(inkind[Unit price or hourly rate],$A658)&gt;cofunding_junior_rate),$B$186,IF(AND(INDEX(inkind[[  ]],$A658)="Senior",INDEX(inkind[Unit price or hourly rate],$A658)&gt;cofunding_senior_rate),$B$187,""))</f>
        <v>#REF!</v>
      </c>
      <c r="G658" s="195" t="e">
        <f>IF(AND(INDEX(inkind[Name organisation],$A658)="Materials",LEN(INDEX(inkind[[  ]],$A658))&gt;0),$B$184,"")</f>
        <v>#REF!</v>
      </c>
      <c r="H658" s="195" t="e">
        <f>IF(AND(INDEX(inkind[Amount],$A658)&gt;0,LEN(INDEX(inkind[Organisation type],$A658))=0),$B$175,"")</f>
        <v>#REF!</v>
      </c>
      <c r="I658" s="195" t="e">
        <f>IF(AND(INDEX(inkind[Amount],$A658)&gt;0,LEN(INDEX(inkind[Name organisation2],$A658))=0),$B$176,"")</f>
        <v>#REF!</v>
      </c>
    </row>
    <row r="659" spans="1:9" ht="12" customHeight="1" x14ac:dyDescent="0.35">
      <c r="A659" s="372">
        <v>37</v>
      </c>
      <c r="B659" s="195" t="str">
        <f t="array" ref="B659">IFERROR(INDEX(comb_notes_inkind[[#This Row],[Empty line]:[No organisation name]],1,MATCH(TRUE,LEN(comb_notes_inkind[[#This Row],[Empty line]:[No organisation name]])&gt;0,0)),"")</f>
        <v/>
      </c>
      <c r="C659" s="195" t="str">
        <f>IFERROR(IF(AND(LEN(INDEX(inkind[Description],$A659))+LEN(INDEX(inkind[Name organisation],$A659))+LEN(INDEX(inkind[[  ]],$A659))+LEN(INDEX(inkind[Nr of units or Nr of hours],$A659))&gt;0,LEN(INDEX(inkind[Description],$A659-1))+LEN(INDEX(inkind[Name organisation],$A659-1))+LEN(INDEX(inkind[[  ]],$A659-1))+LEN(INDEX(inkind[Nr of units or Nr of hours],$A659-1))=0),$B$127,""),"")</f>
        <v/>
      </c>
      <c r="D659" s="195" t="e">
        <f>IF(AND(INDEX(inkind[Amount],$A659)&gt;0,LEN(INDEX(inkind[Name organisation],$A659))=0,cofunding_inkind_def_rates="yes"),$B$183,"")</f>
        <v>#REF!</v>
      </c>
      <c r="E659" s="195" t="e">
        <f>IF(AND(INDEX(inkind[Amount],$A659)&gt;0,LEN(INDEX(inkind[[  ]],$A659))=0,cofunding_inkind_def_rates="yes"),$B$183,"")</f>
        <v>#REF!</v>
      </c>
      <c r="F659" s="195" t="e">
        <f>IF(AND(INDEX(inkind[[  ]],$A659)="Junior",INDEX(inkind[Unit price or hourly rate],$A659)&gt;cofunding_junior_rate),$B$186,IF(AND(INDEX(inkind[[  ]],$A659)="Senior",INDEX(inkind[Unit price or hourly rate],$A659)&gt;cofunding_senior_rate),$B$187,""))</f>
        <v>#REF!</v>
      </c>
      <c r="G659" s="195" t="e">
        <f>IF(AND(INDEX(inkind[Name organisation],$A659)="Materials",LEN(INDEX(inkind[[  ]],$A659))&gt;0),$B$184,"")</f>
        <v>#REF!</v>
      </c>
      <c r="H659" s="195" t="e">
        <f>IF(AND(INDEX(inkind[Amount],$A659)&gt;0,LEN(INDEX(inkind[Organisation type],$A659))=0),$B$175,"")</f>
        <v>#REF!</v>
      </c>
      <c r="I659" s="195" t="e">
        <f>IF(AND(INDEX(inkind[Amount],$A659)&gt;0,LEN(INDEX(inkind[Name organisation2],$A659))=0),$B$176,"")</f>
        <v>#REF!</v>
      </c>
    </row>
    <row r="660" spans="1:9" ht="12" customHeight="1" x14ac:dyDescent="0.35">
      <c r="A660" s="372">
        <v>38</v>
      </c>
      <c r="B660" s="195" t="str">
        <f t="array" ref="B660">IFERROR(INDEX(comb_notes_inkind[[#This Row],[Empty line]:[No organisation name]],1,MATCH(TRUE,LEN(comb_notes_inkind[[#This Row],[Empty line]:[No organisation name]])&gt;0,0)),"")</f>
        <v/>
      </c>
      <c r="C660" s="195" t="str">
        <f>IFERROR(IF(AND(LEN(INDEX(inkind[Description],$A660))+LEN(INDEX(inkind[Name organisation],$A660))+LEN(INDEX(inkind[[  ]],$A660))+LEN(INDEX(inkind[Nr of units or Nr of hours],$A660))&gt;0,LEN(INDEX(inkind[Description],$A660-1))+LEN(INDEX(inkind[Name organisation],$A660-1))+LEN(INDEX(inkind[[  ]],$A660-1))+LEN(INDEX(inkind[Nr of units or Nr of hours],$A660-1))=0),$B$127,""),"")</f>
        <v/>
      </c>
      <c r="D660" s="195" t="e">
        <f>IF(AND(INDEX(inkind[Amount],$A660)&gt;0,LEN(INDEX(inkind[Name organisation],$A660))=0,cofunding_inkind_def_rates="yes"),$B$183,"")</f>
        <v>#REF!</v>
      </c>
      <c r="E660" s="195" t="e">
        <f>IF(AND(INDEX(inkind[Amount],$A660)&gt;0,LEN(INDEX(inkind[[  ]],$A660))=0,cofunding_inkind_def_rates="yes"),$B$183,"")</f>
        <v>#REF!</v>
      </c>
      <c r="F660" s="195" t="e">
        <f>IF(AND(INDEX(inkind[[  ]],$A660)="Junior",INDEX(inkind[Unit price or hourly rate],$A660)&gt;cofunding_junior_rate),$B$186,IF(AND(INDEX(inkind[[  ]],$A660)="Senior",INDEX(inkind[Unit price or hourly rate],$A660)&gt;cofunding_senior_rate),$B$187,""))</f>
        <v>#REF!</v>
      </c>
      <c r="G660" s="195" t="e">
        <f>IF(AND(INDEX(inkind[Name organisation],$A660)="Materials",LEN(INDEX(inkind[[  ]],$A660))&gt;0),$B$184,"")</f>
        <v>#REF!</v>
      </c>
      <c r="H660" s="195" t="e">
        <f>IF(AND(INDEX(inkind[Amount],$A660)&gt;0,LEN(INDEX(inkind[Organisation type],$A660))=0),$B$175,"")</f>
        <v>#REF!</v>
      </c>
      <c r="I660" s="195" t="e">
        <f>IF(AND(INDEX(inkind[Amount],$A660)&gt;0,LEN(INDEX(inkind[Name organisation2],$A660))=0),$B$176,"")</f>
        <v>#REF!</v>
      </c>
    </row>
    <row r="661" spans="1:9" ht="12" customHeight="1" x14ac:dyDescent="0.35">
      <c r="A661" s="372">
        <v>39</v>
      </c>
      <c r="B661" s="195" t="str">
        <f t="array" ref="B661">IFERROR(INDEX(comb_notes_inkind[[#This Row],[Empty line]:[No organisation name]],1,MATCH(TRUE,LEN(comb_notes_inkind[[#This Row],[Empty line]:[No organisation name]])&gt;0,0)),"")</f>
        <v/>
      </c>
      <c r="C661" s="195" t="str">
        <f>IFERROR(IF(AND(LEN(INDEX(inkind[Description],$A661))+LEN(INDEX(inkind[Name organisation],$A661))+LEN(INDEX(inkind[[  ]],$A661))+LEN(INDEX(inkind[Nr of units or Nr of hours],$A661))&gt;0,LEN(INDEX(inkind[Description],$A661-1))+LEN(INDEX(inkind[Name organisation],$A661-1))+LEN(INDEX(inkind[[  ]],$A661-1))+LEN(INDEX(inkind[Nr of units or Nr of hours],$A661-1))=0),$B$127,""),"")</f>
        <v/>
      </c>
      <c r="D661" s="195" t="e">
        <f>IF(AND(INDEX(inkind[Amount],$A661)&gt;0,LEN(INDEX(inkind[Name organisation],$A661))=0,cofunding_inkind_def_rates="yes"),$B$183,"")</f>
        <v>#REF!</v>
      </c>
      <c r="E661" s="195" t="e">
        <f>IF(AND(INDEX(inkind[Amount],$A661)&gt;0,LEN(INDEX(inkind[[  ]],$A661))=0,cofunding_inkind_def_rates="yes"),$B$183,"")</f>
        <v>#REF!</v>
      </c>
      <c r="F661" s="195" t="e">
        <f>IF(AND(INDEX(inkind[[  ]],$A661)="Junior",INDEX(inkind[Unit price or hourly rate],$A661)&gt;cofunding_junior_rate),$B$186,IF(AND(INDEX(inkind[[  ]],$A661)="Senior",INDEX(inkind[Unit price or hourly rate],$A661)&gt;cofunding_senior_rate),$B$187,""))</f>
        <v>#REF!</v>
      </c>
      <c r="G661" s="195" t="e">
        <f>IF(AND(INDEX(inkind[Name organisation],$A661)="Materials",LEN(INDEX(inkind[[  ]],$A661))&gt;0),$B$184,"")</f>
        <v>#REF!</v>
      </c>
      <c r="H661" s="195" t="e">
        <f>IF(AND(INDEX(inkind[Amount],$A661)&gt;0,LEN(INDEX(inkind[Organisation type],$A661))=0),$B$175,"")</f>
        <v>#REF!</v>
      </c>
      <c r="I661" s="195" t="e">
        <f>IF(AND(INDEX(inkind[Amount],$A661)&gt;0,LEN(INDEX(inkind[Name organisation2],$A661))=0),$B$176,"")</f>
        <v>#REF!</v>
      </c>
    </row>
    <row r="662" spans="1:9" ht="12" customHeight="1" x14ac:dyDescent="0.35">
      <c r="A662" s="372">
        <v>40</v>
      </c>
      <c r="B662" s="195" t="str">
        <f t="array" ref="B662">IFERROR(INDEX(comb_notes_inkind[[#This Row],[Empty line]:[No organisation name]],1,MATCH(TRUE,LEN(comb_notes_inkind[[#This Row],[Empty line]:[No organisation name]])&gt;0,0)),"")</f>
        <v/>
      </c>
      <c r="C662" s="195" t="str">
        <f>IFERROR(IF(AND(LEN(INDEX(inkind[Description],$A662))+LEN(INDEX(inkind[Name organisation],$A662))+LEN(INDEX(inkind[[  ]],$A662))+LEN(INDEX(inkind[Nr of units or Nr of hours],$A662))&gt;0,LEN(INDEX(inkind[Description],$A662-1))+LEN(INDEX(inkind[Name organisation],$A662-1))+LEN(INDEX(inkind[[  ]],$A662-1))+LEN(INDEX(inkind[Nr of units or Nr of hours],$A662-1))=0),$B$127,""),"")</f>
        <v/>
      </c>
      <c r="D662" s="195" t="e">
        <f>IF(AND(INDEX(inkind[Amount],$A662)&gt;0,LEN(INDEX(inkind[Name organisation],$A662))=0,cofunding_inkind_def_rates="yes"),$B$183,"")</f>
        <v>#REF!</v>
      </c>
      <c r="E662" s="195" t="e">
        <f>IF(AND(INDEX(inkind[Amount],$A662)&gt;0,LEN(INDEX(inkind[[  ]],$A662))=0,cofunding_inkind_def_rates="yes"),$B$183,"")</f>
        <v>#REF!</v>
      </c>
      <c r="F662" s="195" t="e">
        <f>IF(AND(INDEX(inkind[[  ]],$A662)="Junior",INDEX(inkind[Unit price or hourly rate],$A662)&gt;cofunding_junior_rate),$B$186,IF(AND(INDEX(inkind[[  ]],$A662)="Senior",INDEX(inkind[Unit price or hourly rate],$A662)&gt;cofunding_senior_rate),$B$187,""))</f>
        <v>#REF!</v>
      </c>
      <c r="G662" s="195" t="e">
        <f>IF(AND(INDEX(inkind[Name organisation],$A662)="Materials",LEN(INDEX(inkind[[  ]],$A662))&gt;0),$B$184,"")</f>
        <v>#REF!</v>
      </c>
      <c r="H662" s="195" t="e">
        <f>IF(AND(INDEX(inkind[Amount],$A662)&gt;0,LEN(INDEX(inkind[Organisation type],$A662))=0),$B$175,"")</f>
        <v>#REF!</v>
      </c>
      <c r="I662" s="195" t="e">
        <f>IF(AND(INDEX(inkind[Amount],$A662)&gt;0,LEN(INDEX(inkind[Name organisation2],$A662))=0),$B$176,"")</f>
        <v>#REF!</v>
      </c>
    </row>
    <row r="663" spans="1:9" ht="12" customHeight="1" x14ac:dyDescent="0.35">
      <c r="A663" s="372">
        <v>41</v>
      </c>
      <c r="B663" s="195" t="str">
        <f t="array" ref="B663">IFERROR(INDEX(comb_notes_inkind[[#This Row],[Empty line]:[No organisation name]],1,MATCH(TRUE,LEN(comb_notes_inkind[[#This Row],[Empty line]:[No organisation name]])&gt;0,0)),"")</f>
        <v/>
      </c>
      <c r="C663" s="195" t="str">
        <f>IFERROR(IF(AND(LEN(INDEX(inkind[Description],$A663))+LEN(INDEX(inkind[Name organisation],$A663))+LEN(INDEX(inkind[[  ]],$A663))+LEN(INDEX(inkind[Nr of units or Nr of hours],$A663))&gt;0,LEN(INDEX(inkind[Description],$A663-1))+LEN(INDEX(inkind[Name organisation],$A663-1))+LEN(INDEX(inkind[[  ]],$A663-1))+LEN(INDEX(inkind[Nr of units or Nr of hours],$A663-1))=0),$B$127,""),"")</f>
        <v/>
      </c>
      <c r="D663" s="195" t="e">
        <f>IF(AND(INDEX(inkind[Amount],$A663)&gt;0,LEN(INDEX(inkind[Name organisation],$A663))=0,cofunding_inkind_def_rates="yes"),$B$183,"")</f>
        <v>#REF!</v>
      </c>
      <c r="E663" s="195" t="e">
        <f>IF(AND(INDEX(inkind[Amount],$A663)&gt;0,LEN(INDEX(inkind[[  ]],$A663))=0,cofunding_inkind_def_rates="yes"),$B$183,"")</f>
        <v>#REF!</v>
      </c>
      <c r="F663" s="195" t="e">
        <f>IF(AND(INDEX(inkind[[  ]],$A663)="Junior",INDEX(inkind[Unit price or hourly rate],$A663)&gt;cofunding_junior_rate),$B$186,IF(AND(INDEX(inkind[[  ]],$A663)="Senior",INDEX(inkind[Unit price or hourly rate],$A663)&gt;cofunding_senior_rate),$B$187,""))</f>
        <v>#REF!</v>
      </c>
      <c r="G663" s="195" t="e">
        <f>IF(AND(INDEX(inkind[Name organisation],$A663)="Materials",LEN(INDEX(inkind[[  ]],$A663))&gt;0),$B$184,"")</f>
        <v>#REF!</v>
      </c>
      <c r="H663" s="195" t="e">
        <f>IF(AND(INDEX(inkind[Amount],$A663)&gt;0,LEN(INDEX(inkind[Organisation type],$A663))=0),$B$175,"")</f>
        <v>#REF!</v>
      </c>
      <c r="I663" s="195" t="e">
        <f>IF(AND(INDEX(inkind[Amount],$A663)&gt;0,LEN(INDEX(inkind[Name organisation2],$A663))=0),$B$176,"")</f>
        <v>#REF!</v>
      </c>
    </row>
    <row r="664" spans="1:9" ht="12" customHeight="1" x14ac:dyDescent="0.35">
      <c r="A664" s="372">
        <v>42</v>
      </c>
      <c r="B664" s="195" t="str">
        <f t="array" ref="B664">IFERROR(INDEX(comb_notes_inkind[[#This Row],[Empty line]:[No organisation name]],1,MATCH(TRUE,LEN(comb_notes_inkind[[#This Row],[Empty line]:[No organisation name]])&gt;0,0)),"")</f>
        <v/>
      </c>
      <c r="C664" s="195" t="str">
        <f>IFERROR(IF(AND(LEN(INDEX(inkind[Description],$A664))+LEN(INDEX(inkind[Name organisation],$A664))+LEN(INDEX(inkind[[  ]],$A664))+LEN(INDEX(inkind[Nr of units or Nr of hours],$A664))&gt;0,LEN(INDEX(inkind[Description],$A664-1))+LEN(INDEX(inkind[Name organisation],$A664-1))+LEN(INDEX(inkind[[  ]],$A664-1))+LEN(INDEX(inkind[Nr of units or Nr of hours],$A664-1))=0),$B$127,""),"")</f>
        <v/>
      </c>
      <c r="D664" s="195" t="e">
        <f>IF(AND(INDEX(inkind[Amount],$A664)&gt;0,LEN(INDEX(inkind[Name organisation],$A664))=0,cofunding_inkind_def_rates="yes"),$B$183,"")</f>
        <v>#REF!</v>
      </c>
      <c r="E664" s="195" t="e">
        <f>IF(AND(INDEX(inkind[Amount],$A664)&gt;0,LEN(INDEX(inkind[[  ]],$A664))=0,cofunding_inkind_def_rates="yes"),$B$183,"")</f>
        <v>#REF!</v>
      </c>
      <c r="F664" s="195" t="e">
        <f>IF(AND(INDEX(inkind[[  ]],$A664)="Junior",INDEX(inkind[Unit price or hourly rate],$A664)&gt;cofunding_junior_rate),$B$186,IF(AND(INDEX(inkind[[  ]],$A664)="Senior",INDEX(inkind[Unit price or hourly rate],$A664)&gt;cofunding_senior_rate),$B$187,""))</f>
        <v>#REF!</v>
      </c>
      <c r="G664" s="195" t="e">
        <f>IF(AND(INDEX(inkind[Name organisation],$A664)="Materials",LEN(INDEX(inkind[[  ]],$A664))&gt;0),$B$184,"")</f>
        <v>#REF!</v>
      </c>
      <c r="H664" s="195" t="e">
        <f>IF(AND(INDEX(inkind[Amount],$A664)&gt;0,LEN(INDEX(inkind[Organisation type],$A664))=0),$B$175,"")</f>
        <v>#REF!</v>
      </c>
      <c r="I664" s="195" t="e">
        <f>IF(AND(INDEX(inkind[Amount],$A664)&gt;0,LEN(INDEX(inkind[Name organisation2],$A664))=0),$B$176,"")</f>
        <v>#REF!</v>
      </c>
    </row>
    <row r="665" spans="1:9" ht="12" customHeight="1" x14ac:dyDescent="0.35">
      <c r="A665" s="372">
        <v>43</v>
      </c>
      <c r="B665" s="195" t="str">
        <f t="array" ref="B665">IFERROR(INDEX(comb_notes_inkind[[#This Row],[Empty line]:[No organisation name]],1,MATCH(TRUE,LEN(comb_notes_inkind[[#This Row],[Empty line]:[No organisation name]])&gt;0,0)),"")</f>
        <v/>
      </c>
      <c r="C665" s="195" t="str">
        <f>IFERROR(IF(AND(LEN(INDEX(inkind[Description],$A665))+LEN(INDEX(inkind[Name organisation],$A665))+LEN(INDEX(inkind[[  ]],$A665))+LEN(INDEX(inkind[Nr of units or Nr of hours],$A665))&gt;0,LEN(INDEX(inkind[Description],$A665-1))+LEN(INDEX(inkind[Name organisation],$A665-1))+LEN(INDEX(inkind[[  ]],$A665-1))+LEN(INDEX(inkind[Nr of units or Nr of hours],$A665-1))=0),$B$127,""),"")</f>
        <v/>
      </c>
      <c r="D665" s="195" t="e">
        <f>IF(AND(INDEX(inkind[Amount],$A665)&gt;0,LEN(INDEX(inkind[Name organisation],$A665))=0,cofunding_inkind_def_rates="yes"),$B$183,"")</f>
        <v>#REF!</v>
      </c>
      <c r="E665" s="195" t="e">
        <f>IF(AND(INDEX(inkind[Amount],$A665)&gt;0,LEN(INDEX(inkind[[  ]],$A665))=0,cofunding_inkind_def_rates="yes"),$B$183,"")</f>
        <v>#REF!</v>
      </c>
      <c r="F665" s="195" t="e">
        <f>IF(AND(INDEX(inkind[[  ]],$A665)="Junior",INDEX(inkind[Unit price or hourly rate],$A665)&gt;cofunding_junior_rate),$B$186,IF(AND(INDEX(inkind[[  ]],$A665)="Senior",INDEX(inkind[Unit price or hourly rate],$A665)&gt;cofunding_senior_rate),$B$187,""))</f>
        <v>#REF!</v>
      </c>
      <c r="G665" s="195" t="e">
        <f>IF(AND(INDEX(inkind[Name organisation],$A665)="Materials",LEN(INDEX(inkind[[  ]],$A665))&gt;0),$B$184,"")</f>
        <v>#REF!</v>
      </c>
      <c r="H665" s="195" t="e">
        <f>IF(AND(INDEX(inkind[Amount],$A665)&gt;0,LEN(INDEX(inkind[Organisation type],$A665))=0),$B$175,"")</f>
        <v>#REF!</v>
      </c>
      <c r="I665" s="195" t="e">
        <f>IF(AND(INDEX(inkind[Amount],$A665)&gt;0,LEN(INDEX(inkind[Name organisation2],$A665))=0),$B$176,"")</f>
        <v>#REF!</v>
      </c>
    </row>
    <row r="666" spans="1:9" ht="12" customHeight="1" x14ac:dyDescent="0.35">
      <c r="A666" s="372">
        <v>44</v>
      </c>
      <c r="B666" s="195" t="str">
        <f t="array" ref="B666">IFERROR(INDEX(comb_notes_inkind[[#This Row],[Empty line]:[No organisation name]],1,MATCH(TRUE,LEN(comb_notes_inkind[[#This Row],[Empty line]:[No organisation name]])&gt;0,0)),"")</f>
        <v/>
      </c>
      <c r="C666" s="195" t="str">
        <f>IFERROR(IF(AND(LEN(INDEX(inkind[Description],$A666))+LEN(INDEX(inkind[Name organisation],$A666))+LEN(INDEX(inkind[[  ]],$A666))+LEN(INDEX(inkind[Nr of units or Nr of hours],$A666))&gt;0,LEN(INDEX(inkind[Description],$A666-1))+LEN(INDEX(inkind[Name organisation],$A666-1))+LEN(INDEX(inkind[[  ]],$A666-1))+LEN(INDEX(inkind[Nr of units or Nr of hours],$A666-1))=0),$B$127,""),"")</f>
        <v/>
      </c>
      <c r="D666" s="195" t="e">
        <f>IF(AND(INDEX(inkind[Amount],$A666)&gt;0,LEN(INDEX(inkind[Name organisation],$A666))=0,cofunding_inkind_def_rates="yes"),$B$183,"")</f>
        <v>#REF!</v>
      </c>
      <c r="E666" s="195" t="e">
        <f>IF(AND(INDEX(inkind[Amount],$A666)&gt;0,LEN(INDEX(inkind[[  ]],$A666))=0,cofunding_inkind_def_rates="yes"),$B$183,"")</f>
        <v>#REF!</v>
      </c>
      <c r="F666" s="195" t="e">
        <f>IF(AND(INDEX(inkind[[  ]],$A666)="Junior",INDEX(inkind[Unit price or hourly rate],$A666)&gt;cofunding_junior_rate),$B$186,IF(AND(INDEX(inkind[[  ]],$A666)="Senior",INDEX(inkind[Unit price or hourly rate],$A666)&gt;cofunding_senior_rate),$B$187,""))</f>
        <v>#REF!</v>
      </c>
      <c r="G666" s="195" t="e">
        <f>IF(AND(INDEX(inkind[Name organisation],$A666)="Materials",LEN(INDEX(inkind[[  ]],$A666))&gt;0),$B$184,"")</f>
        <v>#REF!</v>
      </c>
      <c r="H666" s="195" t="e">
        <f>IF(AND(INDEX(inkind[Amount],$A666)&gt;0,LEN(INDEX(inkind[Organisation type],$A666))=0),$B$175,"")</f>
        <v>#REF!</v>
      </c>
      <c r="I666" s="195" t="e">
        <f>IF(AND(INDEX(inkind[Amount],$A666)&gt;0,LEN(INDEX(inkind[Name organisation2],$A666))=0),$B$176,"")</f>
        <v>#REF!</v>
      </c>
    </row>
    <row r="667" spans="1:9" ht="12" customHeight="1" x14ac:dyDescent="0.35">
      <c r="A667" s="372">
        <v>45</v>
      </c>
      <c r="B667" s="195" t="str">
        <f t="array" ref="B667">IFERROR(INDEX(comb_notes_inkind[[#This Row],[Empty line]:[No organisation name]],1,MATCH(TRUE,LEN(comb_notes_inkind[[#This Row],[Empty line]:[No organisation name]])&gt;0,0)),"")</f>
        <v/>
      </c>
      <c r="C667" s="195" t="str">
        <f>IFERROR(IF(AND(LEN(INDEX(inkind[Description],$A667))+LEN(INDEX(inkind[Name organisation],$A667))+LEN(INDEX(inkind[[  ]],$A667))+LEN(INDEX(inkind[Nr of units or Nr of hours],$A667))&gt;0,LEN(INDEX(inkind[Description],$A667-1))+LEN(INDEX(inkind[Name organisation],$A667-1))+LEN(INDEX(inkind[[  ]],$A667-1))+LEN(INDEX(inkind[Nr of units or Nr of hours],$A667-1))=0),$B$127,""),"")</f>
        <v/>
      </c>
      <c r="D667" s="195" t="e">
        <f>IF(AND(INDEX(inkind[Amount],$A667)&gt;0,LEN(INDEX(inkind[Name organisation],$A667))=0,cofunding_inkind_def_rates="yes"),$B$183,"")</f>
        <v>#REF!</v>
      </c>
      <c r="E667" s="195" t="e">
        <f>IF(AND(INDEX(inkind[Amount],$A667)&gt;0,LEN(INDEX(inkind[[  ]],$A667))=0,cofunding_inkind_def_rates="yes"),$B$183,"")</f>
        <v>#REF!</v>
      </c>
      <c r="F667" s="195" t="e">
        <f>IF(AND(INDEX(inkind[[  ]],$A667)="Junior",INDEX(inkind[Unit price or hourly rate],$A667)&gt;cofunding_junior_rate),$B$186,IF(AND(INDEX(inkind[[  ]],$A667)="Senior",INDEX(inkind[Unit price or hourly rate],$A667)&gt;cofunding_senior_rate),$B$187,""))</f>
        <v>#REF!</v>
      </c>
      <c r="G667" s="195" t="e">
        <f>IF(AND(INDEX(inkind[Name organisation],$A667)="Materials",LEN(INDEX(inkind[[  ]],$A667))&gt;0),$B$184,"")</f>
        <v>#REF!</v>
      </c>
      <c r="H667" s="195" t="e">
        <f>IF(AND(INDEX(inkind[Amount],$A667)&gt;0,LEN(INDEX(inkind[Organisation type],$A667))=0),$B$175,"")</f>
        <v>#REF!</v>
      </c>
      <c r="I667" s="195" t="e">
        <f>IF(AND(INDEX(inkind[Amount],$A667)&gt;0,LEN(INDEX(inkind[Name organisation2],$A667))=0),$B$176,"")</f>
        <v>#REF!</v>
      </c>
    </row>
    <row r="668" spans="1:9" ht="12" customHeight="1" x14ac:dyDescent="0.35">
      <c r="A668" s="372">
        <v>46</v>
      </c>
      <c r="B668" s="195" t="str">
        <f t="array" ref="B668">IFERROR(INDEX(comb_notes_inkind[[#This Row],[Empty line]:[No organisation name]],1,MATCH(TRUE,LEN(comb_notes_inkind[[#This Row],[Empty line]:[No organisation name]])&gt;0,0)),"")</f>
        <v/>
      </c>
      <c r="C668" s="195" t="str">
        <f>IFERROR(IF(AND(LEN(INDEX(inkind[Description],$A668))+LEN(INDEX(inkind[Name organisation],$A668))+LEN(INDEX(inkind[[  ]],$A668))+LEN(INDEX(inkind[Nr of units or Nr of hours],$A668))&gt;0,LEN(INDEX(inkind[Description],$A668-1))+LEN(INDEX(inkind[Name organisation],$A668-1))+LEN(INDEX(inkind[[  ]],$A668-1))+LEN(INDEX(inkind[Nr of units or Nr of hours],$A668-1))=0),$B$127,""),"")</f>
        <v/>
      </c>
      <c r="D668" s="195" t="e">
        <f>IF(AND(INDEX(inkind[Amount],$A668)&gt;0,LEN(INDEX(inkind[Name organisation],$A668))=0,cofunding_inkind_def_rates="yes"),$B$183,"")</f>
        <v>#REF!</v>
      </c>
      <c r="E668" s="195" t="e">
        <f>IF(AND(INDEX(inkind[Amount],$A668)&gt;0,LEN(INDEX(inkind[[  ]],$A668))=0,cofunding_inkind_def_rates="yes"),$B$183,"")</f>
        <v>#REF!</v>
      </c>
      <c r="F668" s="195" t="e">
        <f>IF(AND(INDEX(inkind[[  ]],$A668)="Junior",INDEX(inkind[Unit price or hourly rate],$A668)&gt;cofunding_junior_rate),$B$186,IF(AND(INDEX(inkind[[  ]],$A668)="Senior",INDEX(inkind[Unit price or hourly rate],$A668)&gt;cofunding_senior_rate),$B$187,""))</f>
        <v>#REF!</v>
      </c>
      <c r="G668" s="195" t="e">
        <f>IF(AND(INDEX(inkind[Name organisation],$A668)="Materials",LEN(INDEX(inkind[[  ]],$A668))&gt;0),$B$184,"")</f>
        <v>#REF!</v>
      </c>
      <c r="H668" s="195" t="e">
        <f>IF(AND(INDEX(inkind[Amount],$A668)&gt;0,LEN(INDEX(inkind[Organisation type],$A668))=0),$B$175,"")</f>
        <v>#REF!</v>
      </c>
      <c r="I668" s="195" t="e">
        <f>IF(AND(INDEX(inkind[Amount],$A668)&gt;0,LEN(INDEX(inkind[Name organisation2],$A668))=0),$B$176,"")</f>
        <v>#REF!</v>
      </c>
    </row>
    <row r="669" spans="1:9" ht="12" customHeight="1" x14ac:dyDescent="0.35">
      <c r="A669" s="372">
        <v>47</v>
      </c>
      <c r="B669" s="195" t="str">
        <f t="array" ref="B669">IFERROR(INDEX(comb_notes_inkind[[#This Row],[Empty line]:[No organisation name]],1,MATCH(TRUE,LEN(comb_notes_inkind[[#This Row],[Empty line]:[No organisation name]])&gt;0,0)),"")</f>
        <v/>
      </c>
      <c r="C669" s="195" t="str">
        <f>IFERROR(IF(AND(LEN(INDEX(inkind[Description],$A669))+LEN(INDEX(inkind[Name organisation],$A669))+LEN(INDEX(inkind[[  ]],$A669))+LEN(INDEX(inkind[Nr of units or Nr of hours],$A669))&gt;0,LEN(INDEX(inkind[Description],$A669-1))+LEN(INDEX(inkind[Name organisation],$A669-1))+LEN(INDEX(inkind[[  ]],$A669-1))+LEN(INDEX(inkind[Nr of units or Nr of hours],$A669-1))=0),$B$127,""),"")</f>
        <v/>
      </c>
      <c r="D669" s="195" t="e">
        <f>IF(AND(INDEX(inkind[Amount],$A669)&gt;0,LEN(INDEX(inkind[Name organisation],$A669))=0,cofunding_inkind_def_rates="yes"),$B$183,"")</f>
        <v>#REF!</v>
      </c>
      <c r="E669" s="195" t="e">
        <f>IF(AND(INDEX(inkind[Amount],$A669)&gt;0,LEN(INDEX(inkind[[  ]],$A669))=0,cofunding_inkind_def_rates="yes"),$B$183,"")</f>
        <v>#REF!</v>
      </c>
      <c r="F669" s="195" t="e">
        <f>IF(AND(INDEX(inkind[[  ]],$A669)="Junior",INDEX(inkind[Unit price or hourly rate],$A669)&gt;cofunding_junior_rate),$B$186,IF(AND(INDEX(inkind[[  ]],$A669)="Senior",INDEX(inkind[Unit price or hourly rate],$A669)&gt;cofunding_senior_rate),$B$187,""))</f>
        <v>#REF!</v>
      </c>
      <c r="G669" s="195" t="e">
        <f>IF(AND(INDEX(inkind[Name organisation],$A669)="Materials",LEN(INDEX(inkind[[  ]],$A669))&gt;0),$B$184,"")</f>
        <v>#REF!</v>
      </c>
      <c r="H669" s="195" t="e">
        <f>IF(AND(INDEX(inkind[Amount],$A669)&gt;0,LEN(INDEX(inkind[Organisation type],$A669))=0),$B$175,"")</f>
        <v>#REF!</v>
      </c>
      <c r="I669" s="195" t="e">
        <f>IF(AND(INDEX(inkind[Amount],$A669)&gt;0,LEN(INDEX(inkind[Name organisation2],$A669))=0),$B$176,"")</f>
        <v>#REF!</v>
      </c>
    </row>
    <row r="670" spans="1:9" ht="12" customHeight="1" x14ac:dyDescent="0.35">
      <c r="A670" s="372">
        <v>48</v>
      </c>
      <c r="B670" s="195" t="str">
        <f t="array" ref="B670">IFERROR(INDEX(comb_notes_inkind[[#This Row],[Empty line]:[No organisation name]],1,MATCH(TRUE,LEN(comb_notes_inkind[[#This Row],[Empty line]:[No organisation name]])&gt;0,0)),"")</f>
        <v/>
      </c>
      <c r="C670" s="195" t="str">
        <f>IFERROR(IF(AND(LEN(INDEX(inkind[Description],$A670))+LEN(INDEX(inkind[Name organisation],$A670))+LEN(INDEX(inkind[[  ]],$A670))+LEN(INDEX(inkind[Nr of units or Nr of hours],$A670))&gt;0,LEN(INDEX(inkind[Description],$A670-1))+LEN(INDEX(inkind[Name organisation],$A670-1))+LEN(INDEX(inkind[[  ]],$A670-1))+LEN(INDEX(inkind[Nr of units or Nr of hours],$A670-1))=0),$B$127,""),"")</f>
        <v/>
      </c>
      <c r="D670" s="195" t="e">
        <f>IF(AND(INDEX(inkind[Amount],$A670)&gt;0,LEN(INDEX(inkind[Name organisation],$A670))=0,cofunding_inkind_def_rates="yes"),$B$183,"")</f>
        <v>#REF!</v>
      </c>
      <c r="E670" s="195" t="e">
        <f>IF(AND(INDEX(inkind[Amount],$A670)&gt;0,LEN(INDEX(inkind[[  ]],$A670))=0,cofunding_inkind_def_rates="yes"),$B$183,"")</f>
        <v>#REF!</v>
      </c>
      <c r="F670" s="195" t="e">
        <f>IF(AND(INDEX(inkind[[  ]],$A670)="Junior",INDEX(inkind[Unit price or hourly rate],$A670)&gt;cofunding_junior_rate),$B$186,IF(AND(INDEX(inkind[[  ]],$A670)="Senior",INDEX(inkind[Unit price or hourly rate],$A670)&gt;cofunding_senior_rate),$B$187,""))</f>
        <v>#REF!</v>
      </c>
      <c r="G670" s="195" t="e">
        <f>IF(AND(INDEX(inkind[Name organisation],$A670)="Materials",LEN(INDEX(inkind[[  ]],$A670))&gt;0),$B$184,"")</f>
        <v>#REF!</v>
      </c>
      <c r="H670" s="195" t="e">
        <f>IF(AND(INDEX(inkind[Amount],$A670)&gt;0,LEN(INDEX(inkind[Organisation type],$A670))=0),$B$175,"")</f>
        <v>#REF!</v>
      </c>
      <c r="I670" s="195" t="e">
        <f>IF(AND(INDEX(inkind[Amount],$A670)&gt;0,LEN(INDEX(inkind[Name organisation2],$A670))=0),$B$176,"")</f>
        <v>#REF!</v>
      </c>
    </row>
    <row r="671" spans="1:9" ht="12" customHeight="1" x14ac:dyDescent="0.35">
      <c r="A671" s="372">
        <v>49</v>
      </c>
      <c r="B671" s="195" t="str">
        <f t="array" ref="B671">IFERROR(INDEX(comb_notes_inkind[[#This Row],[Empty line]:[No organisation name]],1,MATCH(TRUE,LEN(comb_notes_inkind[[#This Row],[Empty line]:[No organisation name]])&gt;0,0)),"")</f>
        <v/>
      </c>
      <c r="C671" s="195" t="str">
        <f>IFERROR(IF(AND(LEN(INDEX(inkind[Description],$A671))+LEN(INDEX(inkind[Name organisation],$A671))+LEN(INDEX(inkind[[  ]],$A671))+LEN(INDEX(inkind[Nr of units or Nr of hours],$A671))&gt;0,LEN(INDEX(inkind[Description],$A671-1))+LEN(INDEX(inkind[Name organisation],$A671-1))+LEN(INDEX(inkind[[  ]],$A671-1))+LEN(INDEX(inkind[Nr of units or Nr of hours],$A671-1))=0),$B$127,""),"")</f>
        <v/>
      </c>
      <c r="D671" s="195" t="e">
        <f>IF(AND(INDEX(inkind[Amount],$A671)&gt;0,LEN(INDEX(inkind[Name organisation],$A671))=0,cofunding_inkind_def_rates="yes"),$B$183,"")</f>
        <v>#REF!</v>
      </c>
      <c r="E671" s="195" t="e">
        <f>IF(AND(INDEX(inkind[Amount],$A671)&gt;0,LEN(INDEX(inkind[[  ]],$A671))=0,cofunding_inkind_def_rates="yes"),$B$183,"")</f>
        <v>#REF!</v>
      </c>
      <c r="F671" s="195" t="e">
        <f>IF(AND(INDEX(inkind[[  ]],$A671)="Junior",INDEX(inkind[Unit price or hourly rate],$A671)&gt;cofunding_junior_rate),$B$186,IF(AND(INDEX(inkind[[  ]],$A671)="Senior",INDEX(inkind[Unit price or hourly rate],$A671)&gt;cofunding_senior_rate),$B$187,""))</f>
        <v>#REF!</v>
      </c>
      <c r="G671" s="195" t="e">
        <f>IF(AND(INDEX(inkind[Name organisation],$A671)="Materials",LEN(INDEX(inkind[[  ]],$A671))&gt;0),$B$184,"")</f>
        <v>#REF!</v>
      </c>
      <c r="H671" s="195" t="e">
        <f>IF(AND(INDEX(inkind[Amount],$A671)&gt;0,LEN(INDEX(inkind[Organisation type],$A671))=0),$B$175,"")</f>
        <v>#REF!</v>
      </c>
      <c r="I671" s="195" t="e">
        <f>IF(AND(INDEX(inkind[Amount],$A671)&gt;0,LEN(INDEX(inkind[Name organisation2],$A671))=0),$B$176,"")</f>
        <v>#REF!</v>
      </c>
    </row>
    <row r="672" spans="1:9" ht="12" customHeight="1" x14ac:dyDescent="0.35">
      <c r="A672" s="372">
        <v>50</v>
      </c>
      <c r="B672" s="195" t="str">
        <f t="array" ref="B672">IFERROR(INDEX(comb_notes_inkind[[#This Row],[Empty line]:[No organisation name]],1,MATCH(TRUE,LEN(comb_notes_inkind[[#This Row],[Empty line]:[No organisation name]])&gt;0,0)),"")</f>
        <v/>
      </c>
      <c r="C672" s="195" t="str">
        <f>IFERROR(IF(AND(LEN(INDEX(inkind[Description],$A672))+LEN(INDEX(inkind[Name organisation],$A672))+LEN(INDEX(inkind[[  ]],$A672))+LEN(INDEX(inkind[Nr of units or Nr of hours],$A672))&gt;0,LEN(INDEX(inkind[Description],$A672-1))+LEN(INDEX(inkind[Name organisation],$A672-1))+LEN(INDEX(inkind[[  ]],$A672-1))+LEN(INDEX(inkind[Nr of units or Nr of hours],$A672-1))=0),$B$127,""),"")</f>
        <v/>
      </c>
      <c r="D672" s="195" t="e">
        <f>IF(AND(INDEX(inkind[Amount],$A672)&gt;0,LEN(INDEX(inkind[Name organisation],$A672))=0,cofunding_inkind_def_rates="yes"),$B$183,"")</f>
        <v>#REF!</v>
      </c>
      <c r="E672" s="195" t="e">
        <f>IF(AND(INDEX(inkind[Amount],$A672)&gt;0,LEN(INDEX(inkind[[  ]],$A672))=0,cofunding_inkind_def_rates="yes"),$B$183,"")</f>
        <v>#REF!</v>
      </c>
      <c r="F672" s="195" t="e">
        <f>IF(AND(INDEX(inkind[[  ]],$A672)="Junior",INDEX(inkind[Unit price or hourly rate],$A672)&gt;cofunding_junior_rate),$B$186,IF(AND(INDEX(inkind[[  ]],$A672)="Senior",INDEX(inkind[Unit price or hourly rate],$A672)&gt;cofunding_senior_rate),$B$187,""))</f>
        <v>#REF!</v>
      </c>
      <c r="G672" s="195" t="e">
        <f>IF(AND(INDEX(inkind[Name organisation],$A672)="Materials",LEN(INDEX(inkind[[  ]],$A672))&gt;0),$B$184,"")</f>
        <v>#REF!</v>
      </c>
      <c r="H672" s="195" t="e">
        <f>IF(AND(INDEX(inkind[Amount],$A672)&gt;0,LEN(INDEX(inkind[Organisation type],$A672))=0),$B$175,"")</f>
        <v>#REF!</v>
      </c>
      <c r="I672" s="195" t="e">
        <f>IF(AND(INDEX(inkind[Amount],$A672)&gt;0,LEN(INDEX(inkind[Name organisation2],$A672))=0),$B$176,"")</f>
        <v>#REF!</v>
      </c>
    </row>
    <row r="673" spans="1:9" ht="12" customHeight="1" x14ac:dyDescent="0.35">
      <c r="A673" s="372">
        <v>51</v>
      </c>
      <c r="B673" s="195" t="str">
        <f t="array" ref="B673">IFERROR(INDEX(comb_notes_inkind[[#This Row],[Empty line]:[No organisation name]],1,MATCH(TRUE,LEN(comb_notes_inkind[[#This Row],[Empty line]:[No organisation name]])&gt;0,0)),"")</f>
        <v/>
      </c>
      <c r="C673" s="195" t="str">
        <f>IFERROR(IF(AND(LEN(INDEX(inkind[Description],$A673))+LEN(INDEX(inkind[Name organisation],$A673))+LEN(INDEX(inkind[[  ]],$A673))+LEN(INDEX(inkind[Nr of units or Nr of hours],$A673))&gt;0,LEN(INDEX(inkind[Description],$A673-1))+LEN(INDEX(inkind[Name organisation],$A673-1))+LEN(INDEX(inkind[[  ]],$A673-1))+LEN(INDEX(inkind[Nr of units or Nr of hours],$A673-1))=0),$B$127,""),"")</f>
        <v/>
      </c>
      <c r="D673" s="195" t="e">
        <f>IF(AND(INDEX(inkind[Amount],$A673)&gt;0,LEN(INDEX(inkind[Name organisation],$A673))=0,cofunding_inkind_def_rates="yes"),$B$183,"")</f>
        <v>#REF!</v>
      </c>
      <c r="E673" s="195" t="e">
        <f>IF(AND(INDEX(inkind[Amount],$A673)&gt;0,LEN(INDEX(inkind[[  ]],$A673))=0,cofunding_inkind_def_rates="yes"),$B$183,"")</f>
        <v>#REF!</v>
      </c>
      <c r="F673" s="195" t="e">
        <f>IF(AND(INDEX(inkind[[  ]],$A673)="Junior",INDEX(inkind[Unit price or hourly rate],$A673)&gt;cofunding_junior_rate),$B$186,IF(AND(INDEX(inkind[[  ]],$A673)="Senior",INDEX(inkind[Unit price or hourly rate],$A673)&gt;cofunding_senior_rate),$B$187,""))</f>
        <v>#REF!</v>
      </c>
      <c r="G673" s="195" t="e">
        <f>IF(AND(INDEX(inkind[Name organisation],$A673)="Materials",LEN(INDEX(inkind[[  ]],$A673))&gt;0),$B$184,"")</f>
        <v>#REF!</v>
      </c>
      <c r="H673" s="195" t="e">
        <f>IF(AND(INDEX(inkind[Amount],$A673)&gt;0,LEN(INDEX(inkind[Organisation type],$A673))=0),$B$175,"")</f>
        <v>#REF!</v>
      </c>
      <c r="I673" s="195" t="e">
        <f>IF(AND(INDEX(inkind[Amount],$A673)&gt;0,LEN(INDEX(inkind[Name organisation2],$A673))=0),$B$176,"")</f>
        <v>#REF!</v>
      </c>
    </row>
    <row r="674" spans="1:9" ht="12" customHeight="1" x14ac:dyDescent="0.35">
      <c r="A674" s="372">
        <v>52</v>
      </c>
      <c r="B674" s="195" t="str">
        <f t="array" ref="B674">IFERROR(INDEX(comb_notes_inkind[[#This Row],[Empty line]:[No organisation name]],1,MATCH(TRUE,LEN(comb_notes_inkind[[#This Row],[Empty line]:[No organisation name]])&gt;0,0)),"")</f>
        <v/>
      </c>
      <c r="C674" s="195" t="str">
        <f>IFERROR(IF(AND(LEN(INDEX(inkind[Description],$A674))+LEN(INDEX(inkind[Name organisation],$A674))+LEN(INDEX(inkind[[  ]],$A674))+LEN(INDEX(inkind[Nr of units or Nr of hours],$A674))&gt;0,LEN(INDEX(inkind[Description],$A674-1))+LEN(INDEX(inkind[Name organisation],$A674-1))+LEN(INDEX(inkind[[  ]],$A674-1))+LEN(INDEX(inkind[Nr of units or Nr of hours],$A674-1))=0),$B$127,""),"")</f>
        <v/>
      </c>
      <c r="D674" s="195" t="e">
        <f>IF(AND(INDEX(inkind[Amount],$A674)&gt;0,LEN(INDEX(inkind[Name organisation],$A674))=0,cofunding_inkind_def_rates="yes"),$B$183,"")</f>
        <v>#REF!</v>
      </c>
      <c r="E674" s="195" t="e">
        <f>IF(AND(INDEX(inkind[Amount],$A674)&gt;0,LEN(INDEX(inkind[[  ]],$A674))=0,cofunding_inkind_def_rates="yes"),$B$183,"")</f>
        <v>#REF!</v>
      </c>
      <c r="F674" s="195" t="e">
        <f>IF(AND(INDEX(inkind[[  ]],$A674)="Junior",INDEX(inkind[Unit price or hourly rate],$A674)&gt;cofunding_junior_rate),$B$186,IF(AND(INDEX(inkind[[  ]],$A674)="Senior",INDEX(inkind[Unit price or hourly rate],$A674)&gt;cofunding_senior_rate),$B$187,""))</f>
        <v>#REF!</v>
      </c>
      <c r="G674" s="195" t="e">
        <f>IF(AND(INDEX(inkind[Name organisation],$A674)="Materials",LEN(INDEX(inkind[[  ]],$A674))&gt;0),$B$184,"")</f>
        <v>#REF!</v>
      </c>
      <c r="H674" s="195" t="e">
        <f>IF(AND(INDEX(inkind[Amount],$A674)&gt;0,LEN(INDEX(inkind[Organisation type],$A674))=0),$B$175,"")</f>
        <v>#REF!</v>
      </c>
      <c r="I674" s="195" t="e">
        <f>IF(AND(INDEX(inkind[Amount],$A674)&gt;0,LEN(INDEX(inkind[Name organisation2],$A674))=0),$B$176,"")</f>
        <v>#REF!</v>
      </c>
    </row>
    <row r="675" spans="1:9" ht="12" customHeight="1" x14ac:dyDescent="0.35">
      <c r="A675" s="372">
        <v>53</v>
      </c>
      <c r="B675" s="195" t="str">
        <f t="array" ref="B675">IFERROR(INDEX(comb_notes_inkind[[#This Row],[Empty line]:[No organisation name]],1,MATCH(TRUE,LEN(comb_notes_inkind[[#This Row],[Empty line]:[No organisation name]])&gt;0,0)),"")</f>
        <v/>
      </c>
      <c r="C675" s="195" t="str">
        <f>IFERROR(IF(AND(LEN(INDEX(inkind[Description],$A675))+LEN(INDEX(inkind[Name organisation],$A675))+LEN(INDEX(inkind[[  ]],$A675))+LEN(INDEX(inkind[Nr of units or Nr of hours],$A675))&gt;0,LEN(INDEX(inkind[Description],$A675-1))+LEN(INDEX(inkind[Name organisation],$A675-1))+LEN(INDEX(inkind[[  ]],$A675-1))+LEN(INDEX(inkind[Nr of units or Nr of hours],$A675-1))=0),$B$127,""),"")</f>
        <v/>
      </c>
      <c r="D675" s="195" t="e">
        <f>IF(AND(INDEX(inkind[Amount],$A675)&gt;0,LEN(INDEX(inkind[Name organisation],$A675))=0,cofunding_inkind_def_rates="yes"),$B$183,"")</f>
        <v>#REF!</v>
      </c>
      <c r="E675" s="195" t="e">
        <f>IF(AND(INDEX(inkind[Amount],$A675)&gt;0,LEN(INDEX(inkind[[  ]],$A675))=0,cofunding_inkind_def_rates="yes"),$B$183,"")</f>
        <v>#REF!</v>
      </c>
      <c r="F675" s="195" t="e">
        <f>IF(AND(INDEX(inkind[[  ]],$A675)="Junior",INDEX(inkind[Unit price or hourly rate],$A675)&gt;cofunding_junior_rate),$B$186,IF(AND(INDEX(inkind[[  ]],$A675)="Senior",INDEX(inkind[Unit price or hourly rate],$A675)&gt;cofunding_senior_rate),$B$187,""))</f>
        <v>#REF!</v>
      </c>
      <c r="G675" s="195" t="e">
        <f>IF(AND(INDEX(inkind[Name organisation],$A675)="Materials",LEN(INDEX(inkind[[  ]],$A675))&gt;0),$B$184,"")</f>
        <v>#REF!</v>
      </c>
      <c r="H675" s="195" t="e">
        <f>IF(AND(INDEX(inkind[Amount],$A675)&gt;0,LEN(INDEX(inkind[Organisation type],$A675))=0),$B$175,"")</f>
        <v>#REF!</v>
      </c>
      <c r="I675" s="195" t="e">
        <f>IF(AND(INDEX(inkind[Amount],$A675)&gt;0,LEN(INDEX(inkind[Name organisation2],$A675))=0),$B$176,"")</f>
        <v>#REF!</v>
      </c>
    </row>
    <row r="676" spans="1:9" ht="12" customHeight="1" x14ac:dyDescent="0.35">
      <c r="A676" s="372">
        <v>54</v>
      </c>
      <c r="B676" s="195" t="str">
        <f t="array" ref="B676">IFERROR(INDEX(comb_notes_inkind[[#This Row],[Empty line]:[No organisation name]],1,MATCH(TRUE,LEN(comb_notes_inkind[[#This Row],[Empty line]:[No organisation name]])&gt;0,0)),"")</f>
        <v/>
      </c>
      <c r="C676" s="195" t="str">
        <f>IFERROR(IF(AND(LEN(INDEX(inkind[Description],$A676))+LEN(INDEX(inkind[Name organisation],$A676))+LEN(INDEX(inkind[[  ]],$A676))+LEN(INDEX(inkind[Nr of units or Nr of hours],$A676))&gt;0,LEN(INDEX(inkind[Description],$A676-1))+LEN(INDEX(inkind[Name organisation],$A676-1))+LEN(INDEX(inkind[[  ]],$A676-1))+LEN(INDEX(inkind[Nr of units or Nr of hours],$A676-1))=0),$B$127,""),"")</f>
        <v/>
      </c>
      <c r="D676" s="195" t="e">
        <f>IF(AND(INDEX(inkind[Amount],$A676)&gt;0,LEN(INDEX(inkind[Name organisation],$A676))=0,cofunding_inkind_def_rates="yes"),$B$183,"")</f>
        <v>#REF!</v>
      </c>
      <c r="E676" s="195" t="e">
        <f>IF(AND(INDEX(inkind[Amount],$A676)&gt;0,LEN(INDEX(inkind[[  ]],$A676))=0,cofunding_inkind_def_rates="yes"),$B$183,"")</f>
        <v>#REF!</v>
      </c>
      <c r="F676" s="195" t="e">
        <f>IF(AND(INDEX(inkind[[  ]],$A676)="Junior",INDEX(inkind[Unit price or hourly rate],$A676)&gt;cofunding_junior_rate),$B$186,IF(AND(INDEX(inkind[[  ]],$A676)="Senior",INDEX(inkind[Unit price or hourly rate],$A676)&gt;cofunding_senior_rate),$B$187,""))</f>
        <v>#REF!</v>
      </c>
      <c r="G676" s="195" t="e">
        <f>IF(AND(INDEX(inkind[Name organisation],$A676)="Materials",LEN(INDEX(inkind[[  ]],$A676))&gt;0),$B$184,"")</f>
        <v>#REF!</v>
      </c>
      <c r="H676" s="195" t="e">
        <f>IF(AND(INDEX(inkind[Amount],$A676)&gt;0,LEN(INDEX(inkind[Organisation type],$A676))=0),$B$175,"")</f>
        <v>#REF!</v>
      </c>
      <c r="I676" s="195" t="e">
        <f>IF(AND(INDEX(inkind[Amount],$A676)&gt;0,LEN(INDEX(inkind[Name organisation2],$A676))=0),$B$176,"")</f>
        <v>#REF!</v>
      </c>
    </row>
    <row r="677" spans="1:9" ht="12" customHeight="1" x14ac:dyDescent="0.35">
      <c r="A677" s="372">
        <v>55</v>
      </c>
      <c r="B677" s="195" t="str">
        <f t="array" ref="B677">IFERROR(INDEX(comb_notes_inkind[[#This Row],[Empty line]:[No organisation name]],1,MATCH(TRUE,LEN(comb_notes_inkind[[#This Row],[Empty line]:[No organisation name]])&gt;0,0)),"")</f>
        <v/>
      </c>
      <c r="C677" s="195" t="str">
        <f>IFERROR(IF(AND(LEN(INDEX(inkind[Description],$A677))+LEN(INDEX(inkind[Name organisation],$A677))+LEN(INDEX(inkind[[  ]],$A677))+LEN(INDEX(inkind[Nr of units or Nr of hours],$A677))&gt;0,LEN(INDEX(inkind[Description],$A677-1))+LEN(INDEX(inkind[Name organisation],$A677-1))+LEN(INDEX(inkind[[  ]],$A677-1))+LEN(INDEX(inkind[Nr of units or Nr of hours],$A677-1))=0),$B$127,""),"")</f>
        <v/>
      </c>
      <c r="D677" s="195" t="e">
        <f>IF(AND(INDEX(inkind[Amount],$A677)&gt;0,LEN(INDEX(inkind[Name organisation],$A677))=0,cofunding_inkind_def_rates="yes"),$B$183,"")</f>
        <v>#REF!</v>
      </c>
      <c r="E677" s="195" t="e">
        <f>IF(AND(INDEX(inkind[Amount],$A677)&gt;0,LEN(INDEX(inkind[[  ]],$A677))=0,cofunding_inkind_def_rates="yes"),$B$183,"")</f>
        <v>#REF!</v>
      </c>
      <c r="F677" s="195" t="e">
        <f>IF(AND(INDEX(inkind[[  ]],$A677)="Junior",INDEX(inkind[Unit price or hourly rate],$A677)&gt;cofunding_junior_rate),$B$186,IF(AND(INDEX(inkind[[  ]],$A677)="Senior",INDEX(inkind[Unit price or hourly rate],$A677)&gt;cofunding_senior_rate),$B$187,""))</f>
        <v>#REF!</v>
      </c>
      <c r="G677" s="195" t="e">
        <f>IF(AND(INDEX(inkind[Name organisation],$A677)="Materials",LEN(INDEX(inkind[[  ]],$A677))&gt;0),$B$184,"")</f>
        <v>#REF!</v>
      </c>
      <c r="H677" s="195" t="e">
        <f>IF(AND(INDEX(inkind[Amount],$A677)&gt;0,LEN(INDEX(inkind[Organisation type],$A677))=0),$B$175,"")</f>
        <v>#REF!</v>
      </c>
      <c r="I677" s="195" t="e">
        <f>IF(AND(INDEX(inkind[Amount],$A677)&gt;0,LEN(INDEX(inkind[Name organisation2],$A677))=0),$B$176,"")</f>
        <v>#REF!</v>
      </c>
    </row>
    <row r="678" spans="1:9" ht="12" customHeight="1" x14ac:dyDescent="0.35">
      <c r="A678" s="372">
        <v>56</v>
      </c>
      <c r="B678" s="195" t="str">
        <f t="array" ref="B678">IFERROR(INDEX(comb_notes_inkind[[#This Row],[Empty line]:[No organisation name]],1,MATCH(TRUE,LEN(comb_notes_inkind[[#This Row],[Empty line]:[No organisation name]])&gt;0,0)),"")</f>
        <v/>
      </c>
      <c r="C678" s="195" t="str">
        <f>IFERROR(IF(AND(LEN(INDEX(inkind[Description],$A678))+LEN(INDEX(inkind[Name organisation],$A678))+LEN(INDEX(inkind[[  ]],$A678))+LEN(INDEX(inkind[Nr of units or Nr of hours],$A678))&gt;0,LEN(INDEX(inkind[Description],$A678-1))+LEN(INDEX(inkind[Name organisation],$A678-1))+LEN(INDEX(inkind[[  ]],$A678-1))+LEN(INDEX(inkind[Nr of units or Nr of hours],$A678-1))=0),$B$127,""),"")</f>
        <v/>
      </c>
      <c r="D678" s="195" t="e">
        <f>IF(AND(INDEX(inkind[Amount],$A678)&gt;0,LEN(INDEX(inkind[Name organisation],$A678))=0,cofunding_inkind_def_rates="yes"),$B$183,"")</f>
        <v>#REF!</v>
      </c>
      <c r="E678" s="195" t="e">
        <f>IF(AND(INDEX(inkind[Amount],$A678)&gt;0,LEN(INDEX(inkind[[  ]],$A678))=0,cofunding_inkind_def_rates="yes"),$B$183,"")</f>
        <v>#REF!</v>
      </c>
      <c r="F678" s="195" t="e">
        <f>IF(AND(INDEX(inkind[[  ]],$A678)="Junior",INDEX(inkind[Unit price or hourly rate],$A678)&gt;cofunding_junior_rate),$B$186,IF(AND(INDEX(inkind[[  ]],$A678)="Senior",INDEX(inkind[Unit price or hourly rate],$A678)&gt;cofunding_senior_rate),$B$187,""))</f>
        <v>#REF!</v>
      </c>
      <c r="G678" s="195" t="e">
        <f>IF(AND(INDEX(inkind[Name organisation],$A678)="Materials",LEN(INDEX(inkind[[  ]],$A678))&gt;0),$B$184,"")</f>
        <v>#REF!</v>
      </c>
      <c r="H678" s="195" t="e">
        <f>IF(AND(INDEX(inkind[Amount],$A678)&gt;0,LEN(INDEX(inkind[Organisation type],$A678))=0),$B$175,"")</f>
        <v>#REF!</v>
      </c>
      <c r="I678" s="195" t="e">
        <f>IF(AND(INDEX(inkind[Amount],$A678)&gt;0,LEN(INDEX(inkind[Name organisation2],$A678))=0),$B$176,"")</f>
        <v>#REF!</v>
      </c>
    </row>
    <row r="679" spans="1:9" ht="12" customHeight="1" x14ac:dyDescent="0.35">
      <c r="A679" s="372">
        <v>57</v>
      </c>
      <c r="B679" s="195" t="str">
        <f t="array" ref="B679">IFERROR(INDEX(comb_notes_inkind[[#This Row],[Empty line]:[No organisation name]],1,MATCH(TRUE,LEN(comb_notes_inkind[[#This Row],[Empty line]:[No organisation name]])&gt;0,0)),"")</f>
        <v/>
      </c>
      <c r="C679" s="195" t="str">
        <f>IFERROR(IF(AND(LEN(INDEX(inkind[Description],$A679))+LEN(INDEX(inkind[Name organisation],$A679))+LEN(INDEX(inkind[[  ]],$A679))+LEN(INDEX(inkind[Nr of units or Nr of hours],$A679))&gt;0,LEN(INDEX(inkind[Description],$A679-1))+LEN(INDEX(inkind[Name organisation],$A679-1))+LEN(INDEX(inkind[[  ]],$A679-1))+LEN(INDEX(inkind[Nr of units or Nr of hours],$A679-1))=0),$B$127,""),"")</f>
        <v/>
      </c>
      <c r="D679" s="195" t="e">
        <f>IF(AND(INDEX(inkind[Amount],$A679)&gt;0,LEN(INDEX(inkind[Name organisation],$A679))=0,cofunding_inkind_def_rates="yes"),$B$183,"")</f>
        <v>#REF!</v>
      </c>
      <c r="E679" s="195" t="e">
        <f>IF(AND(INDEX(inkind[Amount],$A679)&gt;0,LEN(INDEX(inkind[[  ]],$A679))=0,cofunding_inkind_def_rates="yes"),$B$183,"")</f>
        <v>#REF!</v>
      </c>
      <c r="F679" s="195" t="e">
        <f>IF(AND(INDEX(inkind[[  ]],$A679)="Junior",INDEX(inkind[Unit price or hourly rate],$A679)&gt;cofunding_junior_rate),$B$186,IF(AND(INDEX(inkind[[  ]],$A679)="Senior",INDEX(inkind[Unit price or hourly rate],$A679)&gt;cofunding_senior_rate),$B$187,""))</f>
        <v>#REF!</v>
      </c>
      <c r="G679" s="195" t="e">
        <f>IF(AND(INDEX(inkind[Name organisation],$A679)="Materials",LEN(INDEX(inkind[[  ]],$A679))&gt;0),$B$184,"")</f>
        <v>#REF!</v>
      </c>
      <c r="H679" s="195" t="e">
        <f>IF(AND(INDEX(inkind[Amount],$A679)&gt;0,LEN(INDEX(inkind[Organisation type],$A679))=0),$B$175,"")</f>
        <v>#REF!</v>
      </c>
      <c r="I679" s="195" t="e">
        <f>IF(AND(INDEX(inkind[Amount],$A679)&gt;0,LEN(INDEX(inkind[Name organisation2],$A679))=0),$B$176,"")</f>
        <v>#REF!</v>
      </c>
    </row>
    <row r="680" spans="1:9" ht="12" customHeight="1" x14ac:dyDescent="0.35">
      <c r="A680" s="372">
        <v>58</v>
      </c>
      <c r="B680" s="195" t="str">
        <f t="array" ref="B680">IFERROR(INDEX(comb_notes_inkind[[#This Row],[Empty line]:[No organisation name]],1,MATCH(TRUE,LEN(comb_notes_inkind[[#This Row],[Empty line]:[No organisation name]])&gt;0,0)),"")</f>
        <v/>
      </c>
      <c r="C680" s="195" t="str">
        <f>IFERROR(IF(AND(LEN(INDEX(inkind[Description],$A680))+LEN(INDEX(inkind[Name organisation],$A680))+LEN(INDEX(inkind[[  ]],$A680))+LEN(INDEX(inkind[Nr of units or Nr of hours],$A680))&gt;0,LEN(INDEX(inkind[Description],$A680-1))+LEN(INDEX(inkind[Name organisation],$A680-1))+LEN(INDEX(inkind[[  ]],$A680-1))+LEN(INDEX(inkind[Nr of units or Nr of hours],$A680-1))=0),$B$127,""),"")</f>
        <v/>
      </c>
      <c r="D680" s="195" t="e">
        <f>IF(AND(INDEX(inkind[Amount],$A680)&gt;0,LEN(INDEX(inkind[Name organisation],$A680))=0,cofunding_inkind_def_rates="yes"),$B$183,"")</f>
        <v>#REF!</v>
      </c>
      <c r="E680" s="195" t="e">
        <f>IF(AND(INDEX(inkind[Amount],$A680)&gt;0,LEN(INDEX(inkind[[  ]],$A680))=0,cofunding_inkind_def_rates="yes"),$B$183,"")</f>
        <v>#REF!</v>
      </c>
      <c r="F680" s="195" t="e">
        <f>IF(AND(INDEX(inkind[[  ]],$A680)="Junior",INDEX(inkind[Unit price or hourly rate],$A680)&gt;cofunding_junior_rate),$B$186,IF(AND(INDEX(inkind[[  ]],$A680)="Senior",INDEX(inkind[Unit price or hourly rate],$A680)&gt;cofunding_senior_rate),$B$187,""))</f>
        <v>#REF!</v>
      </c>
      <c r="G680" s="195" t="e">
        <f>IF(AND(INDEX(inkind[Name organisation],$A680)="Materials",LEN(INDEX(inkind[[  ]],$A680))&gt;0),$B$184,"")</f>
        <v>#REF!</v>
      </c>
      <c r="H680" s="195" t="e">
        <f>IF(AND(INDEX(inkind[Amount],$A680)&gt;0,LEN(INDEX(inkind[Organisation type],$A680))=0),$B$175,"")</f>
        <v>#REF!</v>
      </c>
      <c r="I680" s="195" t="e">
        <f>IF(AND(INDEX(inkind[Amount],$A680)&gt;0,LEN(INDEX(inkind[Name organisation2],$A680))=0),$B$176,"")</f>
        <v>#REF!</v>
      </c>
    </row>
    <row r="681" spans="1:9" ht="12" customHeight="1" x14ac:dyDescent="0.35">
      <c r="A681" s="372">
        <v>59</v>
      </c>
      <c r="B681" s="195" t="str">
        <f t="array" ref="B681">IFERROR(INDEX(comb_notes_inkind[[#This Row],[Empty line]:[No organisation name]],1,MATCH(TRUE,LEN(comb_notes_inkind[[#This Row],[Empty line]:[No organisation name]])&gt;0,0)),"")</f>
        <v/>
      </c>
      <c r="C681" s="195" t="str">
        <f>IFERROR(IF(AND(LEN(INDEX(inkind[Description],$A681))+LEN(INDEX(inkind[Name organisation],$A681))+LEN(INDEX(inkind[[  ]],$A681))+LEN(INDEX(inkind[Nr of units or Nr of hours],$A681))&gt;0,LEN(INDEX(inkind[Description],$A681-1))+LEN(INDEX(inkind[Name organisation],$A681-1))+LEN(INDEX(inkind[[  ]],$A681-1))+LEN(INDEX(inkind[Nr of units or Nr of hours],$A681-1))=0),$B$127,""),"")</f>
        <v/>
      </c>
      <c r="D681" s="195" t="e">
        <f>IF(AND(INDEX(inkind[Amount],$A681)&gt;0,LEN(INDEX(inkind[Name organisation],$A681))=0,cofunding_inkind_def_rates="yes"),$B$183,"")</f>
        <v>#REF!</v>
      </c>
      <c r="E681" s="195" t="e">
        <f>IF(AND(INDEX(inkind[Amount],$A681)&gt;0,LEN(INDEX(inkind[[  ]],$A681))=0,cofunding_inkind_def_rates="yes"),$B$183,"")</f>
        <v>#REF!</v>
      </c>
      <c r="F681" s="195" t="e">
        <f>IF(AND(INDEX(inkind[[  ]],$A681)="Junior",INDEX(inkind[Unit price or hourly rate],$A681)&gt;cofunding_junior_rate),$B$186,IF(AND(INDEX(inkind[[  ]],$A681)="Senior",INDEX(inkind[Unit price or hourly rate],$A681)&gt;cofunding_senior_rate),$B$187,""))</f>
        <v>#REF!</v>
      </c>
      <c r="G681" s="195" t="e">
        <f>IF(AND(INDEX(inkind[Name organisation],$A681)="Materials",LEN(INDEX(inkind[[  ]],$A681))&gt;0),$B$184,"")</f>
        <v>#REF!</v>
      </c>
      <c r="H681" s="195" t="e">
        <f>IF(AND(INDEX(inkind[Amount],$A681)&gt;0,LEN(INDEX(inkind[Organisation type],$A681))=0),$B$175,"")</f>
        <v>#REF!</v>
      </c>
      <c r="I681" s="195" t="e">
        <f>IF(AND(INDEX(inkind[Amount],$A681)&gt;0,LEN(INDEX(inkind[Name organisation2],$A681))=0),$B$176,"")</f>
        <v>#REF!</v>
      </c>
    </row>
    <row r="682" spans="1:9" ht="12" customHeight="1" x14ac:dyDescent="0.35">
      <c r="A682" s="372">
        <v>60</v>
      </c>
      <c r="B682" s="195" t="str">
        <f t="array" ref="B682">IFERROR(INDEX(comb_notes_inkind[[#This Row],[Empty line]:[No organisation name]],1,MATCH(TRUE,LEN(comb_notes_inkind[[#This Row],[Empty line]:[No organisation name]])&gt;0,0)),"")</f>
        <v/>
      </c>
      <c r="C682" s="195" t="str">
        <f>IFERROR(IF(AND(LEN(INDEX(inkind[Description],$A682))+LEN(INDEX(inkind[Name organisation],$A682))+LEN(INDEX(inkind[[  ]],$A682))+LEN(INDEX(inkind[Nr of units or Nr of hours],$A682))&gt;0,LEN(INDEX(inkind[Description],$A682-1))+LEN(INDEX(inkind[Name organisation],$A682-1))+LEN(INDEX(inkind[[  ]],$A682-1))+LEN(INDEX(inkind[Nr of units or Nr of hours],$A682-1))=0),$B$127,""),"")</f>
        <v/>
      </c>
      <c r="D682" s="195" t="e">
        <f>IF(AND(INDEX(inkind[Amount],$A682)&gt;0,LEN(INDEX(inkind[Name organisation],$A682))=0,cofunding_inkind_def_rates="yes"),$B$183,"")</f>
        <v>#REF!</v>
      </c>
      <c r="E682" s="195" t="e">
        <f>IF(AND(INDEX(inkind[Amount],$A682)&gt;0,LEN(INDEX(inkind[[  ]],$A682))=0,cofunding_inkind_def_rates="yes"),$B$183,"")</f>
        <v>#REF!</v>
      </c>
      <c r="F682" s="195" t="e">
        <f>IF(AND(INDEX(inkind[[  ]],$A682)="Junior",INDEX(inkind[Unit price or hourly rate],$A682)&gt;cofunding_junior_rate),$B$186,IF(AND(INDEX(inkind[[  ]],$A682)="Senior",INDEX(inkind[Unit price or hourly rate],$A682)&gt;cofunding_senior_rate),$B$187,""))</f>
        <v>#REF!</v>
      </c>
      <c r="G682" s="195" t="e">
        <f>IF(AND(INDEX(inkind[Name organisation],$A682)="Materials",LEN(INDEX(inkind[[  ]],$A682))&gt;0),$B$184,"")</f>
        <v>#REF!</v>
      </c>
      <c r="H682" s="195" t="e">
        <f>IF(AND(INDEX(inkind[Amount],$A682)&gt;0,LEN(INDEX(inkind[Organisation type],$A682))=0),$B$175,"")</f>
        <v>#REF!</v>
      </c>
      <c r="I682" s="195" t="e">
        <f>IF(AND(INDEX(inkind[Amount],$A682)&gt;0,LEN(INDEX(inkind[Name organisation2],$A682))=0),$B$176,"")</f>
        <v>#REF!</v>
      </c>
    </row>
    <row r="683" spans="1:9" ht="12" customHeight="1" x14ac:dyDescent="0.35">
      <c r="A683" s="372">
        <v>61</v>
      </c>
      <c r="B683" s="195" t="str">
        <f t="array" ref="B683">IFERROR(INDEX(comb_notes_inkind[[#This Row],[Empty line]:[No organisation name]],1,MATCH(TRUE,LEN(comb_notes_inkind[[#This Row],[Empty line]:[No organisation name]])&gt;0,0)),"")</f>
        <v/>
      </c>
      <c r="C683" s="195" t="str">
        <f>IFERROR(IF(AND(LEN(INDEX(inkind[Description],$A683))+LEN(INDEX(inkind[Name organisation],$A683))+LEN(INDEX(inkind[[  ]],$A683))+LEN(INDEX(inkind[Nr of units or Nr of hours],$A683))&gt;0,LEN(INDEX(inkind[Description],$A683-1))+LEN(INDEX(inkind[Name organisation],$A683-1))+LEN(INDEX(inkind[[  ]],$A683-1))+LEN(INDEX(inkind[Nr of units or Nr of hours],$A683-1))=0),$B$127,""),"")</f>
        <v/>
      </c>
      <c r="D683" s="195" t="e">
        <f>IF(AND(INDEX(inkind[Amount],$A683)&gt;0,LEN(INDEX(inkind[Name organisation],$A683))=0,cofunding_inkind_def_rates="yes"),$B$183,"")</f>
        <v>#REF!</v>
      </c>
      <c r="E683" s="195" t="e">
        <f>IF(AND(INDEX(inkind[Amount],$A683)&gt;0,LEN(INDEX(inkind[[  ]],$A683))=0,cofunding_inkind_def_rates="yes"),$B$183,"")</f>
        <v>#REF!</v>
      </c>
      <c r="F683" s="195" t="e">
        <f>IF(AND(INDEX(inkind[[  ]],$A683)="Junior",INDEX(inkind[Unit price or hourly rate],$A683)&gt;cofunding_junior_rate),$B$186,IF(AND(INDEX(inkind[[  ]],$A683)="Senior",INDEX(inkind[Unit price or hourly rate],$A683)&gt;cofunding_senior_rate),$B$187,""))</f>
        <v>#REF!</v>
      </c>
      <c r="G683" s="195" t="e">
        <f>IF(AND(INDEX(inkind[Name organisation],$A683)="Materials",LEN(INDEX(inkind[[  ]],$A683))&gt;0),$B$184,"")</f>
        <v>#REF!</v>
      </c>
      <c r="H683" s="195" t="e">
        <f>IF(AND(INDEX(inkind[Amount],$A683)&gt;0,LEN(INDEX(inkind[Organisation type],$A683))=0),$B$175,"")</f>
        <v>#REF!</v>
      </c>
      <c r="I683" s="195" t="e">
        <f>IF(AND(INDEX(inkind[Amount],$A683)&gt;0,LEN(INDEX(inkind[Name organisation2],$A683))=0),$B$176,"")</f>
        <v>#REF!</v>
      </c>
    </row>
    <row r="684" spans="1:9" ht="12" customHeight="1" x14ac:dyDescent="0.35">
      <c r="A684" s="372">
        <v>62</v>
      </c>
      <c r="B684" s="195" t="str">
        <f t="array" ref="B684">IFERROR(INDEX(comb_notes_inkind[[#This Row],[Empty line]:[No organisation name]],1,MATCH(TRUE,LEN(comb_notes_inkind[[#This Row],[Empty line]:[No organisation name]])&gt;0,0)),"")</f>
        <v/>
      </c>
      <c r="C684" s="195" t="str">
        <f>IFERROR(IF(AND(LEN(INDEX(inkind[Description],$A684))+LEN(INDEX(inkind[Name organisation],$A684))+LEN(INDEX(inkind[[  ]],$A684))+LEN(INDEX(inkind[Nr of units or Nr of hours],$A684))&gt;0,LEN(INDEX(inkind[Description],$A684-1))+LEN(INDEX(inkind[Name organisation],$A684-1))+LEN(INDEX(inkind[[  ]],$A684-1))+LEN(INDEX(inkind[Nr of units or Nr of hours],$A684-1))=0),$B$127,""),"")</f>
        <v/>
      </c>
      <c r="D684" s="195" t="e">
        <f>IF(AND(INDEX(inkind[Amount],$A684)&gt;0,LEN(INDEX(inkind[Name organisation],$A684))=0,cofunding_inkind_def_rates="yes"),$B$183,"")</f>
        <v>#REF!</v>
      </c>
      <c r="E684" s="195" t="e">
        <f>IF(AND(INDEX(inkind[Amount],$A684)&gt;0,LEN(INDEX(inkind[[  ]],$A684))=0,cofunding_inkind_def_rates="yes"),$B$183,"")</f>
        <v>#REF!</v>
      </c>
      <c r="F684" s="195" t="e">
        <f>IF(AND(INDEX(inkind[[  ]],$A684)="Junior",INDEX(inkind[Unit price or hourly rate],$A684)&gt;cofunding_junior_rate),$B$186,IF(AND(INDEX(inkind[[  ]],$A684)="Senior",INDEX(inkind[Unit price or hourly rate],$A684)&gt;cofunding_senior_rate),$B$187,""))</f>
        <v>#REF!</v>
      </c>
      <c r="G684" s="195" t="e">
        <f>IF(AND(INDEX(inkind[Name organisation],$A684)="Materials",LEN(INDEX(inkind[[  ]],$A684))&gt;0),$B$184,"")</f>
        <v>#REF!</v>
      </c>
      <c r="H684" s="195" t="e">
        <f>IF(AND(INDEX(inkind[Amount],$A684)&gt;0,LEN(INDEX(inkind[Organisation type],$A684))=0),$B$175,"")</f>
        <v>#REF!</v>
      </c>
      <c r="I684" s="195" t="e">
        <f>IF(AND(INDEX(inkind[Amount],$A684)&gt;0,LEN(INDEX(inkind[Name organisation2],$A684))=0),$B$176,"")</f>
        <v>#REF!</v>
      </c>
    </row>
    <row r="685" spans="1:9" ht="12" customHeight="1" x14ac:dyDescent="0.35">
      <c r="A685" s="372">
        <v>63</v>
      </c>
      <c r="B685" s="195" t="str">
        <f t="array" ref="B685">IFERROR(INDEX(comb_notes_inkind[[#This Row],[Empty line]:[No organisation name]],1,MATCH(TRUE,LEN(comb_notes_inkind[[#This Row],[Empty line]:[No organisation name]])&gt;0,0)),"")</f>
        <v/>
      </c>
      <c r="C685" s="195" t="str">
        <f>IFERROR(IF(AND(LEN(INDEX(inkind[Description],$A685))+LEN(INDEX(inkind[Name organisation],$A685))+LEN(INDEX(inkind[[  ]],$A685))+LEN(INDEX(inkind[Nr of units or Nr of hours],$A685))&gt;0,LEN(INDEX(inkind[Description],$A685-1))+LEN(INDEX(inkind[Name organisation],$A685-1))+LEN(INDEX(inkind[[  ]],$A685-1))+LEN(INDEX(inkind[Nr of units or Nr of hours],$A685-1))=0),$B$127,""),"")</f>
        <v/>
      </c>
      <c r="D685" s="195" t="e">
        <f>IF(AND(INDEX(inkind[Amount],$A685)&gt;0,LEN(INDEX(inkind[Name organisation],$A685))=0,cofunding_inkind_def_rates="yes"),$B$183,"")</f>
        <v>#REF!</v>
      </c>
      <c r="E685" s="195" t="e">
        <f>IF(AND(INDEX(inkind[Amount],$A685)&gt;0,LEN(INDEX(inkind[[  ]],$A685))=0,cofunding_inkind_def_rates="yes"),$B$183,"")</f>
        <v>#REF!</v>
      </c>
      <c r="F685" s="195" t="e">
        <f>IF(AND(INDEX(inkind[[  ]],$A685)="Junior",INDEX(inkind[Unit price or hourly rate],$A685)&gt;cofunding_junior_rate),$B$186,IF(AND(INDEX(inkind[[  ]],$A685)="Senior",INDEX(inkind[Unit price or hourly rate],$A685)&gt;cofunding_senior_rate),$B$187,""))</f>
        <v>#REF!</v>
      </c>
      <c r="G685" s="195" t="e">
        <f>IF(AND(INDEX(inkind[Name organisation],$A685)="Materials",LEN(INDEX(inkind[[  ]],$A685))&gt;0),$B$184,"")</f>
        <v>#REF!</v>
      </c>
      <c r="H685" s="195" t="e">
        <f>IF(AND(INDEX(inkind[Amount],$A685)&gt;0,LEN(INDEX(inkind[Organisation type],$A685))=0),$B$175,"")</f>
        <v>#REF!</v>
      </c>
      <c r="I685" s="195" t="e">
        <f>IF(AND(INDEX(inkind[Amount],$A685)&gt;0,LEN(INDEX(inkind[Name organisation2],$A685))=0),$B$176,"")</f>
        <v>#REF!</v>
      </c>
    </row>
    <row r="686" spans="1:9" ht="12" customHeight="1" x14ac:dyDescent="0.35">
      <c r="A686" s="372">
        <v>64</v>
      </c>
      <c r="B686" s="195" t="str">
        <f t="array" ref="B686">IFERROR(INDEX(comb_notes_inkind[[#This Row],[Empty line]:[No organisation name]],1,MATCH(TRUE,LEN(comb_notes_inkind[[#This Row],[Empty line]:[No organisation name]])&gt;0,0)),"")</f>
        <v/>
      </c>
      <c r="C686" s="195" t="str">
        <f>IFERROR(IF(AND(LEN(INDEX(inkind[Description],$A686))+LEN(INDEX(inkind[Name organisation],$A686))+LEN(INDEX(inkind[[  ]],$A686))+LEN(INDEX(inkind[Nr of units or Nr of hours],$A686))&gt;0,LEN(INDEX(inkind[Description],$A686-1))+LEN(INDEX(inkind[Name organisation],$A686-1))+LEN(INDEX(inkind[[  ]],$A686-1))+LEN(INDEX(inkind[Nr of units or Nr of hours],$A686-1))=0),$B$127,""),"")</f>
        <v/>
      </c>
      <c r="D686" s="195" t="e">
        <f>IF(AND(INDEX(inkind[Amount],$A686)&gt;0,LEN(INDEX(inkind[Name organisation],$A686))=0,cofunding_inkind_def_rates="yes"),$B$183,"")</f>
        <v>#REF!</v>
      </c>
      <c r="E686" s="195" t="e">
        <f>IF(AND(INDEX(inkind[Amount],$A686)&gt;0,LEN(INDEX(inkind[[  ]],$A686))=0,cofunding_inkind_def_rates="yes"),$B$183,"")</f>
        <v>#REF!</v>
      </c>
      <c r="F686" s="195" t="e">
        <f>IF(AND(INDEX(inkind[[  ]],$A686)="Junior",INDEX(inkind[Unit price or hourly rate],$A686)&gt;cofunding_junior_rate),$B$186,IF(AND(INDEX(inkind[[  ]],$A686)="Senior",INDEX(inkind[Unit price or hourly rate],$A686)&gt;cofunding_senior_rate),$B$187,""))</f>
        <v>#REF!</v>
      </c>
      <c r="G686" s="195" t="e">
        <f>IF(AND(INDEX(inkind[Name organisation],$A686)="Materials",LEN(INDEX(inkind[[  ]],$A686))&gt;0),$B$184,"")</f>
        <v>#REF!</v>
      </c>
      <c r="H686" s="195" t="e">
        <f>IF(AND(INDEX(inkind[Amount],$A686)&gt;0,LEN(INDEX(inkind[Organisation type],$A686))=0),$B$175,"")</f>
        <v>#REF!</v>
      </c>
      <c r="I686" s="195" t="e">
        <f>IF(AND(INDEX(inkind[Amount],$A686)&gt;0,LEN(INDEX(inkind[Name organisation2],$A686))=0),$B$176,"")</f>
        <v>#REF!</v>
      </c>
    </row>
    <row r="687" spans="1:9" ht="12" customHeight="1" x14ac:dyDescent="0.35">
      <c r="A687" s="372">
        <v>65</v>
      </c>
      <c r="B687" s="195" t="str">
        <f t="array" ref="B687">IFERROR(INDEX(comb_notes_inkind[[#This Row],[Empty line]:[No organisation name]],1,MATCH(TRUE,LEN(comb_notes_inkind[[#This Row],[Empty line]:[No organisation name]])&gt;0,0)),"")</f>
        <v/>
      </c>
      <c r="C687" s="195" t="str">
        <f>IFERROR(IF(AND(LEN(INDEX(inkind[Description],$A687))+LEN(INDEX(inkind[Name organisation],$A687))+LEN(INDEX(inkind[[  ]],$A687))+LEN(INDEX(inkind[Nr of units or Nr of hours],$A687))&gt;0,LEN(INDEX(inkind[Description],$A687-1))+LEN(INDEX(inkind[Name organisation],$A687-1))+LEN(INDEX(inkind[[  ]],$A687-1))+LEN(INDEX(inkind[Nr of units or Nr of hours],$A687-1))=0),$B$127,""),"")</f>
        <v/>
      </c>
      <c r="D687" s="195" t="e">
        <f>IF(AND(INDEX(inkind[Amount],$A687)&gt;0,LEN(INDEX(inkind[Name organisation],$A687))=0,cofunding_inkind_def_rates="yes"),$B$183,"")</f>
        <v>#REF!</v>
      </c>
      <c r="E687" s="195" t="e">
        <f>IF(AND(INDEX(inkind[Amount],$A687)&gt;0,LEN(INDEX(inkind[[  ]],$A687))=0,cofunding_inkind_def_rates="yes"),$B$183,"")</f>
        <v>#REF!</v>
      </c>
      <c r="F687" s="195" t="e">
        <f>IF(AND(INDEX(inkind[[  ]],$A687)="Junior",INDEX(inkind[Unit price or hourly rate],$A687)&gt;cofunding_junior_rate),$B$186,IF(AND(INDEX(inkind[[  ]],$A687)="Senior",INDEX(inkind[Unit price or hourly rate],$A687)&gt;cofunding_senior_rate),$B$187,""))</f>
        <v>#REF!</v>
      </c>
      <c r="G687" s="195" t="e">
        <f>IF(AND(INDEX(inkind[Name organisation],$A687)="Materials",LEN(INDEX(inkind[[  ]],$A687))&gt;0),$B$184,"")</f>
        <v>#REF!</v>
      </c>
      <c r="H687" s="195" t="e">
        <f>IF(AND(INDEX(inkind[Amount],$A687)&gt;0,LEN(INDEX(inkind[Organisation type],$A687))=0),$B$175,"")</f>
        <v>#REF!</v>
      </c>
      <c r="I687" s="195" t="e">
        <f>IF(AND(INDEX(inkind[Amount],$A687)&gt;0,LEN(INDEX(inkind[Name organisation2],$A687))=0),$B$176,"")</f>
        <v>#REF!</v>
      </c>
    </row>
    <row r="688" spans="1:9" ht="12" customHeight="1" x14ac:dyDescent="0.35">
      <c r="A688" s="372">
        <v>66</v>
      </c>
      <c r="B688" s="195" t="str">
        <f t="array" ref="B688">IFERROR(INDEX(comb_notes_inkind[[#This Row],[Empty line]:[No organisation name]],1,MATCH(TRUE,LEN(comb_notes_inkind[[#This Row],[Empty line]:[No organisation name]])&gt;0,0)),"")</f>
        <v/>
      </c>
      <c r="C688" s="195" t="str">
        <f>IFERROR(IF(AND(LEN(INDEX(inkind[Description],$A688))+LEN(INDEX(inkind[Name organisation],$A688))+LEN(INDEX(inkind[[  ]],$A688))+LEN(INDEX(inkind[Nr of units or Nr of hours],$A688))&gt;0,LEN(INDEX(inkind[Description],$A688-1))+LEN(INDEX(inkind[Name organisation],$A688-1))+LEN(INDEX(inkind[[  ]],$A688-1))+LEN(INDEX(inkind[Nr of units or Nr of hours],$A688-1))=0),$B$127,""),"")</f>
        <v/>
      </c>
      <c r="D688" s="195" t="e">
        <f>IF(AND(INDEX(inkind[Amount],$A688)&gt;0,LEN(INDEX(inkind[Name organisation],$A688))=0,cofunding_inkind_def_rates="yes"),$B$183,"")</f>
        <v>#REF!</v>
      </c>
      <c r="E688" s="195" t="e">
        <f>IF(AND(INDEX(inkind[Amount],$A688)&gt;0,LEN(INDEX(inkind[[  ]],$A688))=0,cofunding_inkind_def_rates="yes"),$B$183,"")</f>
        <v>#REF!</v>
      </c>
      <c r="F688" s="195" t="e">
        <f>IF(AND(INDEX(inkind[[  ]],$A688)="Junior",INDEX(inkind[Unit price or hourly rate],$A688)&gt;cofunding_junior_rate),$B$186,IF(AND(INDEX(inkind[[  ]],$A688)="Senior",INDEX(inkind[Unit price or hourly rate],$A688)&gt;cofunding_senior_rate),$B$187,""))</f>
        <v>#REF!</v>
      </c>
      <c r="G688" s="195" t="e">
        <f>IF(AND(INDEX(inkind[Name organisation],$A688)="Materials",LEN(INDEX(inkind[[  ]],$A688))&gt;0),$B$184,"")</f>
        <v>#REF!</v>
      </c>
      <c r="H688" s="195" t="e">
        <f>IF(AND(INDEX(inkind[Amount],$A688)&gt;0,LEN(INDEX(inkind[Organisation type],$A688))=0),$B$175,"")</f>
        <v>#REF!</v>
      </c>
      <c r="I688" s="195" t="e">
        <f>IF(AND(INDEX(inkind[Amount],$A688)&gt;0,LEN(INDEX(inkind[Name organisation2],$A688))=0),$B$176,"")</f>
        <v>#REF!</v>
      </c>
    </row>
    <row r="689" spans="1:9" ht="12" customHeight="1" x14ac:dyDescent="0.35">
      <c r="A689" s="372">
        <v>67</v>
      </c>
      <c r="B689" s="195" t="str">
        <f t="array" ref="B689">IFERROR(INDEX(comb_notes_inkind[[#This Row],[Empty line]:[No organisation name]],1,MATCH(TRUE,LEN(comb_notes_inkind[[#This Row],[Empty line]:[No organisation name]])&gt;0,0)),"")</f>
        <v/>
      </c>
      <c r="C689" s="195" t="str">
        <f>IFERROR(IF(AND(LEN(INDEX(inkind[Description],$A689))+LEN(INDEX(inkind[Name organisation],$A689))+LEN(INDEX(inkind[[  ]],$A689))+LEN(INDEX(inkind[Nr of units or Nr of hours],$A689))&gt;0,LEN(INDEX(inkind[Description],$A689-1))+LEN(INDEX(inkind[Name organisation],$A689-1))+LEN(INDEX(inkind[[  ]],$A689-1))+LEN(INDEX(inkind[Nr of units or Nr of hours],$A689-1))=0),$B$127,""),"")</f>
        <v/>
      </c>
      <c r="D689" s="195" t="e">
        <f>IF(AND(INDEX(inkind[Amount],$A689)&gt;0,LEN(INDEX(inkind[Name organisation],$A689))=0,cofunding_inkind_def_rates="yes"),$B$183,"")</f>
        <v>#REF!</v>
      </c>
      <c r="E689" s="195" t="e">
        <f>IF(AND(INDEX(inkind[Amount],$A689)&gt;0,LEN(INDEX(inkind[[  ]],$A689))=0,cofunding_inkind_def_rates="yes"),$B$183,"")</f>
        <v>#REF!</v>
      </c>
      <c r="F689" s="195" t="e">
        <f>IF(AND(INDEX(inkind[[  ]],$A689)="Junior",INDEX(inkind[Unit price or hourly rate],$A689)&gt;cofunding_junior_rate),$B$186,IF(AND(INDEX(inkind[[  ]],$A689)="Senior",INDEX(inkind[Unit price or hourly rate],$A689)&gt;cofunding_senior_rate),$B$187,""))</f>
        <v>#REF!</v>
      </c>
      <c r="G689" s="195" t="e">
        <f>IF(AND(INDEX(inkind[Name organisation],$A689)="Materials",LEN(INDEX(inkind[[  ]],$A689))&gt;0),$B$184,"")</f>
        <v>#REF!</v>
      </c>
      <c r="H689" s="195" t="e">
        <f>IF(AND(INDEX(inkind[Amount],$A689)&gt;0,LEN(INDEX(inkind[Organisation type],$A689))=0),$B$175,"")</f>
        <v>#REF!</v>
      </c>
      <c r="I689" s="195" t="e">
        <f>IF(AND(INDEX(inkind[Amount],$A689)&gt;0,LEN(INDEX(inkind[Name organisation2],$A689))=0),$B$176,"")</f>
        <v>#REF!</v>
      </c>
    </row>
    <row r="690" spans="1:9" ht="12" customHeight="1" x14ac:dyDescent="0.35">
      <c r="A690" s="372">
        <v>68</v>
      </c>
      <c r="B690" s="195" t="str">
        <f t="array" ref="B690">IFERROR(INDEX(comb_notes_inkind[[#This Row],[Empty line]:[No organisation name]],1,MATCH(TRUE,LEN(comb_notes_inkind[[#This Row],[Empty line]:[No organisation name]])&gt;0,0)),"")</f>
        <v/>
      </c>
      <c r="C690" s="195" t="str">
        <f>IFERROR(IF(AND(LEN(INDEX(inkind[Description],$A690))+LEN(INDEX(inkind[Name organisation],$A690))+LEN(INDEX(inkind[[  ]],$A690))+LEN(INDEX(inkind[Nr of units or Nr of hours],$A690))&gt;0,LEN(INDEX(inkind[Description],$A690-1))+LEN(INDEX(inkind[Name organisation],$A690-1))+LEN(INDEX(inkind[[  ]],$A690-1))+LEN(INDEX(inkind[Nr of units or Nr of hours],$A690-1))=0),$B$127,""),"")</f>
        <v/>
      </c>
      <c r="D690" s="195" t="e">
        <f>IF(AND(INDEX(inkind[Amount],$A690)&gt;0,LEN(INDEX(inkind[Name organisation],$A690))=0,cofunding_inkind_def_rates="yes"),$B$183,"")</f>
        <v>#REF!</v>
      </c>
      <c r="E690" s="195" t="e">
        <f>IF(AND(INDEX(inkind[Amount],$A690)&gt;0,LEN(INDEX(inkind[[  ]],$A690))=0,cofunding_inkind_def_rates="yes"),$B$183,"")</f>
        <v>#REF!</v>
      </c>
      <c r="F690" s="195" t="e">
        <f>IF(AND(INDEX(inkind[[  ]],$A690)="Junior",INDEX(inkind[Unit price or hourly rate],$A690)&gt;cofunding_junior_rate),$B$186,IF(AND(INDEX(inkind[[  ]],$A690)="Senior",INDEX(inkind[Unit price or hourly rate],$A690)&gt;cofunding_senior_rate),$B$187,""))</f>
        <v>#REF!</v>
      </c>
      <c r="G690" s="195" t="e">
        <f>IF(AND(INDEX(inkind[Name organisation],$A690)="Materials",LEN(INDEX(inkind[[  ]],$A690))&gt;0),$B$184,"")</f>
        <v>#REF!</v>
      </c>
      <c r="H690" s="195" t="e">
        <f>IF(AND(INDEX(inkind[Amount],$A690)&gt;0,LEN(INDEX(inkind[Organisation type],$A690))=0),$B$175,"")</f>
        <v>#REF!</v>
      </c>
      <c r="I690" s="195" t="e">
        <f>IF(AND(INDEX(inkind[Amount],$A690)&gt;0,LEN(INDEX(inkind[Name organisation2],$A690))=0),$B$176,"")</f>
        <v>#REF!</v>
      </c>
    </row>
    <row r="691" spans="1:9" ht="12" customHeight="1" x14ac:dyDescent="0.35">
      <c r="A691" s="372">
        <v>69</v>
      </c>
      <c r="B691" s="195" t="str">
        <f t="array" ref="B691">IFERROR(INDEX(comb_notes_inkind[[#This Row],[Empty line]:[No organisation name]],1,MATCH(TRUE,LEN(comb_notes_inkind[[#This Row],[Empty line]:[No organisation name]])&gt;0,0)),"")</f>
        <v/>
      </c>
      <c r="C691" s="195" t="str">
        <f>IFERROR(IF(AND(LEN(INDEX(inkind[Description],$A691))+LEN(INDEX(inkind[Name organisation],$A691))+LEN(INDEX(inkind[[  ]],$A691))+LEN(INDEX(inkind[Nr of units or Nr of hours],$A691))&gt;0,LEN(INDEX(inkind[Description],$A691-1))+LEN(INDEX(inkind[Name organisation],$A691-1))+LEN(INDEX(inkind[[  ]],$A691-1))+LEN(INDEX(inkind[Nr of units or Nr of hours],$A691-1))=0),$B$127,""),"")</f>
        <v/>
      </c>
      <c r="D691" s="195" t="e">
        <f>IF(AND(INDEX(inkind[Amount],$A691)&gt;0,LEN(INDEX(inkind[Name organisation],$A691))=0,cofunding_inkind_def_rates="yes"),$B$183,"")</f>
        <v>#REF!</v>
      </c>
      <c r="E691" s="195" t="e">
        <f>IF(AND(INDEX(inkind[Amount],$A691)&gt;0,LEN(INDEX(inkind[[  ]],$A691))=0,cofunding_inkind_def_rates="yes"),$B$183,"")</f>
        <v>#REF!</v>
      </c>
      <c r="F691" s="195" t="e">
        <f>IF(AND(INDEX(inkind[[  ]],$A691)="Junior",INDEX(inkind[Unit price or hourly rate],$A691)&gt;cofunding_junior_rate),$B$186,IF(AND(INDEX(inkind[[  ]],$A691)="Senior",INDEX(inkind[Unit price or hourly rate],$A691)&gt;cofunding_senior_rate),$B$187,""))</f>
        <v>#REF!</v>
      </c>
      <c r="G691" s="195" t="e">
        <f>IF(AND(INDEX(inkind[Name organisation],$A691)="Materials",LEN(INDEX(inkind[[  ]],$A691))&gt;0),$B$184,"")</f>
        <v>#REF!</v>
      </c>
      <c r="H691" s="195" t="e">
        <f>IF(AND(INDEX(inkind[Amount],$A691)&gt;0,LEN(INDEX(inkind[Organisation type],$A691))=0),$B$175,"")</f>
        <v>#REF!</v>
      </c>
      <c r="I691" s="195" t="e">
        <f>IF(AND(INDEX(inkind[Amount],$A691)&gt;0,LEN(INDEX(inkind[Name organisation2],$A691))=0),$B$176,"")</f>
        <v>#REF!</v>
      </c>
    </row>
    <row r="692" spans="1:9" ht="12" customHeight="1" x14ac:dyDescent="0.35">
      <c r="A692" s="372">
        <v>70</v>
      </c>
      <c r="B692" s="195" t="str">
        <f t="array" ref="B692">IFERROR(INDEX(comb_notes_inkind[[#This Row],[Empty line]:[No organisation name]],1,MATCH(TRUE,LEN(comb_notes_inkind[[#This Row],[Empty line]:[No organisation name]])&gt;0,0)),"")</f>
        <v/>
      </c>
      <c r="C692" s="195" t="str">
        <f>IFERROR(IF(AND(LEN(INDEX(inkind[Description],$A692))+LEN(INDEX(inkind[Name organisation],$A692))+LEN(INDEX(inkind[[  ]],$A692))+LEN(INDEX(inkind[Nr of units or Nr of hours],$A692))&gt;0,LEN(INDEX(inkind[Description],$A692-1))+LEN(INDEX(inkind[Name organisation],$A692-1))+LEN(INDEX(inkind[[  ]],$A692-1))+LEN(INDEX(inkind[Nr of units or Nr of hours],$A692-1))=0),$B$127,""),"")</f>
        <v/>
      </c>
      <c r="D692" s="195" t="e">
        <f>IF(AND(INDEX(inkind[Amount],$A692)&gt;0,LEN(INDEX(inkind[Name organisation],$A692))=0,cofunding_inkind_def_rates="yes"),$B$183,"")</f>
        <v>#REF!</v>
      </c>
      <c r="E692" s="195" t="e">
        <f>IF(AND(INDEX(inkind[Amount],$A692)&gt;0,LEN(INDEX(inkind[[  ]],$A692))=0,cofunding_inkind_def_rates="yes"),$B$183,"")</f>
        <v>#REF!</v>
      </c>
      <c r="F692" s="195" t="e">
        <f>IF(AND(INDEX(inkind[[  ]],$A692)="Junior",INDEX(inkind[Unit price or hourly rate],$A692)&gt;cofunding_junior_rate),$B$186,IF(AND(INDEX(inkind[[  ]],$A692)="Senior",INDEX(inkind[Unit price or hourly rate],$A692)&gt;cofunding_senior_rate),$B$187,""))</f>
        <v>#REF!</v>
      </c>
      <c r="G692" s="195" t="e">
        <f>IF(AND(INDEX(inkind[Name organisation],$A692)="Materials",LEN(INDEX(inkind[[  ]],$A692))&gt;0),$B$184,"")</f>
        <v>#REF!</v>
      </c>
      <c r="H692" s="195" t="e">
        <f>IF(AND(INDEX(inkind[Amount],$A692)&gt;0,LEN(INDEX(inkind[Organisation type],$A692))=0),$B$175,"")</f>
        <v>#REF!</v>
      </c>
      <c r="I692" s="195" t="e">
        <f>IF(AND(INDEX(inkind[Amount],$A692)&gt;0,LEN(INDEX(inkind[Name organisation2],$A692))=0),$B$176,"")</f>
        <v>#REF!</v>
      </c>
    </row>
    <row r="693" spans="1:9" ht="12" customHeight="1" x14ac:dyDescent="0.35">
      <c r="A693" s="372">
        <v>71</v>
      </c>
      <c r="B693" s="195" t="str">
        <f t="array" ref="B693">IFERROR(INDEX(comb_notes_inkind[[#This Row],[Empty line]:[No organisation name]],1,MATCH(TRUE,LEN(comb_notes_inkind[[#This Row],[Empty line]:[No organisation name]])&gt;0,0)),"")</f>
        <v/>
      </c>
      <c r="C693" s="195" t="str">
        <f>IFERROR(IF(AND(LEN(INDEX(inkind[Description],$A693))+LEN(INDEX(inkind[Name organisation],$A693))+LEN(INDEX(inkind[[  ]],$A693))+LEN(INDEX(inkind[Nr of units or Nr of hours],$A693))&gt;0,LEN(INDEX(inkind[Description],$A693-1))+LEN(INDEX(inkind[Name organisation],$A693-1))+LEN(INDEX(inkind[[  ]],$A693-1))+LEN(INDEX(inkind[Nr of units or Nr of hours],$A693-1))=0),$B$127,""),"")</f>
        <v/>
      </c>
      <c r="D693" s="195" t="e">
        <f>IF(AND(INDEX(inkind[Amount],$A693)&gt;0,LEN(INDEX(inkind[Name organisation],$A693))=0,cofunding_inkind_def_rates="yes"),$B$183,"")</f>
        <v>#REF!</v>
      </c>
      <c r="E693" s="195" t="e">
        <f>IF(AND(INDEX(inkind[Amount],$A693)&gt;0,LEN(INDEX(inkind[[  ]],$A693))=0,cofunding_inkind_def_rates="yes"),$B$183,"")</f>
        <v>#REF!</v>
      </c>
      <c r="F693" s="195" t="e">
        <f>IF(AND(INDEX(inkind[[  ]],$A693)="Junior",INDEX(inkind[Unit price or hourly rate],$A693)&gt;cofunding_junior_rate),$B$186,IF(AND(INDEX(inkind[[  ]],$A693)="Senior",INDEX(inkind[Unit price or hourly rate],$A693)&gt;cofunding_senior_rate),$B$187,""))</f>
        <v>#REF!</v>
      </c>
      <c r="G693" s="195" t="e">
        <f>IF(AND(INDEX(inkind[Name organisation],$A693)="Materials",LEN(INDEX(inkind[[  ]],$A693))&gt;0),$B$184,"")</f>
        <v>#REF!</v>
      </c>
      <c r="H693" s="195" t="e">
        <f>IF(AND(INDEX(inkind[Amount],$A693)&gt;0,LEN(INDEX(inkind[Organisation type],$A693))=0),$B$175,"")</f>
        <v>#REF!</v>
      </c>
      <c r="I693" s="195" t="e">
        <f>IF(AND(INDEX(inkind[Amount],$A693)&gt;0,LEN(INDEX(inkind[Name organisation2],$A693))=0),$B$176,"")</f>
        <v>#REF!</v>
      </c>
    </row>
    <row r="694" spans="1:9" ht="12" customHeight="1" x14ac:dyDescent="0.35">
      <c r="A694" s="372">
        <v>72</v>
      </c>
      <c r="B694" s="195" t="str">
        <f t="array" ref="B694">IFERROR(INDEX(comb_notes_inkind[[#This Row],[Empty line]:[No organisation name]],1,MATCH(TRUE,LEN(comb_notes_inkind[[#This Row],[Empty line]:[No organisation name]])&gt;0,0)),"")</f>
        <v/>
      </c>
      <c r="C694" s="195" t="str">
        <f>IFERROR(IF(AND(LEN(INDEX(inkind[Description],$A694))+LEN(INDEX(inkind[Name organisation],$A694))+LEN(INDEX(inkind[[  ]],$A694))+LEN(INDEX(inkind[Nr of units or Nr of hours],$A694))&gt;0,LEN(INDEX(inkind[Description],$A694-1))+LEN(INDEX(inkind[Name organisation],$A694-1))+LEN(INDEX(inkind[[  ]],$A694-1))+LEN(INDEX(inkind[Nr of units or Nr of hours],$A694-1))=0),$B$127,""),"")</f>
        <v/>
      </c>
      <c r="D694" s="195" t="e">
        <f>IF(AND(INDEX(inkind[Amount],$A694)&gt;0,LEN(INDEX(inkind[Name organisation],$A694))=0,cofunding_inkind_def_rates="yes"),$B$183,"")</f>
        <v>#REF!</v>
      </c>
      <c r="E694" s="195" t="e">
        <f>IF(AND(INDEX(inkind[Amount],$A694)&gt;0,LEN(INDEX(inkind[[  ]],$A694))=0,cofunding_inkind_def_rates="yes"),$B$183,"")</f>
        <v>#REF!</v>
      </c>
      <c r="F694" s="195" t="e">
        <f>IF(AND(INDEX(inkind[[  ]],$A694)="Junior",INDEX(inkind[Unit price or hourly rate],$A694)&gt;cofunding_junior_rate),$B$186,IF(AND(INDEX(inkind[[  ]],$A694)="Senior",INDEX(inkind[Unit price or hourly rate],$A694)&gt;cofunding_senior_rate),$B$187,""))</f>
        <v>#REF!</v>
      </c>
      <c r="G694" s="195" t="e">
        <f>IF(AND(INDEX(inkind[Name organisation],$A694)="Materials",LEN(INDEX(inkind[[  ]],$A694))&gt;0),$B$184,"")</f>
        <v>#REF!</v>
      </c>
      <c r="H694" s="195" t="e">
        <f>IF(AND(INDEX(inkind[Amount],$A694)&gt;0,LEN(INDEX(inkind[Organisation type],$A694))=0),$B$175,"")</f>
        <v>#REF!</v>
      </c>
      <c r="I694" s="195" t="e">
        <f>IF(AND(INDEX(inkind[Amount],$A694)&gt;0,LEN(INDEX(inkind[Name organisation2],$A694))=0),$B$176,"")</f>
        <v>#REF!</v>
      </c>
    </row>
    <row r="695" spans="1:9" ht="12" customHeight="1" x14ac:dyDescent="0.35">
      <c r="A695" s="372">
        <v>73</v>
      </c>
      <c r="B695" s="195" t="str">
        <f t="array" ref="B695">IFERROR(INDEX(comb_notes_inkind[[#This Row],[Empty line]:[No organisation name]],1,MATCH(TRUE,LEN(comb_notes_inkind[[#This Row],[Empty line]:[No organisation name]])&gt;0,0)),"")</f>
        <v/>
      </c>
      <c r="C695" s="195" t="str">
        <f>IFERROR(IF(AND(LEN(INDEX(inkind[Description],$A695))+LEN(INDEX(inkind[Name organisation],$A695))+LEN(INDEX(inkind[[  ]],$A695))+LEN(INDEX(inkind[Nr of units or Nr of hours],$A695))&gt;0,LEN(INDEX(inkind[Description],$A695-1))+LEN(INDEX(inkind[Name organisation],$A695-1))+LEN(INDEX(inkind[[  ]],$A695-1))+LEN(INDEX(inkind[Nr of units or Nr of hours],$A695-1))=0),$B$127,""),"")</f>
        <v/>
      </c>
      <c r="D695" s="195" t="e">
        <f>IF(AND(INDEX(inkind[Amount],$A695)&gt;0,LEN(INDEX(inkind[Name organisation],$A695))=0,cofunding_inkind_def_rates="yes"),$B$183,"")</f>
        <v>#REF!</v>
      </c>
      <c r="E695" s="195" t="e">
        <f>IF(AND(INDEX(inkind[Amount],$A695)&gt;0,LEN(INDEX(inkind[[  ]],$A695))=0,cofunding_inkind_def_rates="yes"),$B$183,"")</f>
        <v>#REF!</v>
      </c>
      <c r="F695" s="195" t="e">
        <f>IF(AND(INDEX(inkind[[  ]],$A695)="Junior",INDEX(inkind[Unit price or hourly rate],$A695)&gt;cofunding_junior_rate),$B$186,IF(AND(INDEX(inkind[[  ]],$A695)="Senior",INDEX(inkind[Unit price or hourly rate],$A695)&gt;cofunding_senior_rate),$B$187,""))</f>
        <v>#REF!</v>
      </c>
      <c r="G695" s="195" t="e">
        <f>IF(AND(INDEX(inkind[Name organisation],$A695)="Materials",LEN(INDEX(inkind[[  ]],$A695))&gt;0),$B$184,"")</f>
        <v>#REF!</v>
      </c>
      <c r="H695" s="195" t="e">
        <f>IF(AND(INDEX(inkind[Amount],$A695)&gt;0,LEN(INDEX(inkind[Organisation type],$A695))=0),$B$175,"")</f>
        <v>#REF!</v>
      </c>
      <c r="I695" s="195" t="e">
        <f>IF(AND(INDEX(inkind[Amount],$A695)&gt;0,LEN(INDEX(inkind[Name organisation2],$A695))=0),$B$176,"")</f>
        <v>#REF!</v>
      </c>
    </row>
    <row r="696" spans="1:9" ht="12" customHeight="1" x14ac:dyDescent="0.35">
      <c r="A696" s="372">
        <v>74</v>
      </c>
      <c r="B696" s="195" t="str">
        <f t="array" ref="B696">IFERROR(INDEX(comb_notes_inkind[[#This Row],[Empty line]:[No organisation name]],1,MATCH(TRUE,LEN(comb_notes_inkind[[#This Row],[Empty line]:[No organisation name]])&gt;0,0)),"")</f>
        <v/>
      </c>
      <c r="C696" s="195" t="str">
        <f>IFERROR(IF(AND(LEN(INDEX(inkind[Description],$A696))+LEN(INDEX(inkind[Name organisation],$A696))+LEN(INDEX(inkind[[  ]],$A696))+LEN(INDEX(inkind[Nr of units or Nr of hours],$A696))&gt;0,LEN(INDEX(inkind[Description],$A696-1))+LEN(INDEX(inkind[Name organisation],$A696-1))+LEN(INDEX(inkind[[  ]],$A696-1))+LEN(INDEX(inkind[Nr of units or Nr of hours],$A696-1))=0),$B$127,""),"")</f>
        <v/>
      </c>
      <c r="D696" s="195" t="e">
        <f>IF(AND(INDEX(inkind[Amount],$A696)&gt;0,LEN(INDEX(inkind[Name organisation],$A696))=0,cofunding_inkind_def_rates="yes"),$B$183,"")</f>
        <v>#REF!</v>
      </c>
      <c r="E696" s="195" t="e">
        <f>IF(AND(INDEX(inkind[Amount],$A696)&gt;0,LEN(INDEX(inkind[[  ]],$A696))=0,cofunding_inkind_def_rates="yes"),$B$183,"")</f>
        <v>#REF!</v>
      </c>
      <c r="F696" s="195" t="e">
        <f>IF(AND(INDEX(inkind[[  ]],$A696)="Junior",INDEX(inkind[Unit price or hourly rate],$A696)&gt;cofunding_junior_rate),$B$186,IF(AND(INDEX(inkind[[  ]],$A696)="Senior",INDEX(inkind[Unit price or hourly rate],$A696)&gt;cofunding_senior_rate),$B$187,""))</f>
        <v>#REF!</v>
      </c>
      <c r="G696" s="195" t="e">
        <f>IF(AND(INDEX(inkind[Name organisation],$A696)="Materials",LEN(INDEX(inkind[[  ]],$A696))&gt;0),$B$184,"")</f>
        <v>#REF!</v>
      </c>
      <c r="H696" s="195" t="e">
        <f>IF(AND(INDEX(inkind[Amount],$A696)&gt;0,LEN(INDEX(inkind[Organisation type],$A696))=0),$B$175,"")</f>
        <v>#REF!</v>
      </c>
      <c r="I696" s="195" t="e">
        <f>IF(AND(INDEX(inkind[Amount],$A696)&gt;0,LEN(INDEX(inkind[Name organisation2],$A696))=0),$B$176,"")</f>
        <v>#REF!</v>
      </c>
    </row>
    <row r="697" spans="1:9" ht="12" customHeight="1" x14ac:dyDescent="0.35">
      <c r="A697" s="372">
        <v>75</v>
      </c>
      <c r="B697" s="195" t="str">
        <f t="array" ref="B697">IFERROR(INDEX(comb_notes_inkind[[#This Row],[Empty line]:[No organisation name]],1,MATCH(TRUE,LEN(comb_notes_inkind[[#This Row],[Empty line]:[No organisation name]])&gt;0,0)),"")</f>
        <v/>
      </c>
      <c r="C697" s="195" t="str">
        <f>IFERROR(IF(AND(LEN(INDEX(inkind[Description],$A697))+LEN(INDEX(inkind[Name organisation],$A697))+LEN(INDEX(inkind[[  ]],$A697))+LEN(INDEX(inkind[Nr of units or Nr of hours],$A697))&gt;0,LEN(INDEX(inkind[Description],$A697-1))+LEN(INDEX(inkind[Name organisation],$A697-1))+LEN(INDEX(inkind[[  ]],$A697-1))+LEN(INDEX(inkind[Nr of units or Nr of hours],$A697-1))=0),$B$127,""),"")</f>
        <v/>
      </c>
      <c r="D697" s="195" t="e">
        <f>IF(AND(INDEX(inkind[Amount],$A697)&gt;0,LEN(INDEX(inkind[Name organisation],$A697))=0,cofunding_inkind_def_rates="yes"),$B$183,"")</f>
        <v>#REF!</v>
      </c>
      <c r="E697" s="195" t="e">
        <f>IF(AND(INDEX(inkind[Amount],$A697)&gt;0,LEN(INDEX(inkind[[  ]],$A697))=0,cofunding_inkind_def_rates="yes"),$B$183,"")</f>
        <v>#REF!</v>
      </c>
      <c r="F697" s="195" t="e">
        <f>IF(AND(INDEX(inkind[[  ]],$A697)="Junior",INDEX(inkind[Unit price or hourly rate],$A697)&gt;cofunding_junior_rate),$B$186,IF(AND(INDEX(inkind[[  ]],$A697)="Senior",INDEX(inkind[Unit price or hourly rate],$A697)&gt;cofunding_senior_rate),$B$187,""))</f>
        <v>#REF!</v>
      </c>
      <c r="G697" s="195" t="e">
        <f>IF(AND(INDEX(inkind[Name organisation],$A697)="Materials",LEN(INDEX(inkind[[  ]],$A697))&gt;0),$B$184,"")</f>
        <v>#REF!</v>
      </c>
      <c r="H697" s="195" t="e">
        <f>IF(AND(INDEX(inkind[Amount],$A697)&gt;0,LEN(INDEX(inkind[Organisation type],$A697))=0),$B$175,"")</f>
        <v>#REF!</v>
      </c>
      <c r="I697" s="195" t="e">
        <f>IF(AND(INDEX(inkind[Amount],$A697)&gt;0,LEN(INDEX(inkind[Name organisation2],$A697))=0),$B$176,"")</f>
        <v>#REF!</v>
      </c>
    </row>
    <row r="698" spans="1:9" ht="12" customHeight="1" x14ac:dyDescent="0.35">
      <c r="A698" s="372">
        <v>76</v>
      </c>
      <c r="B698" s="195" t="str">
        <f t="array" ref="B698">IFERROR(INDEX(comb_notes_inkind[[#This Row],[Empty line]:[No organisation name]],1,MATCH(TRUE,LEN(comb_notes_inkind[[#This Row],[Empty line]:[No organisation name]])&gt;0,0)),"")</f>
        <v/>
      </c>
      <c r="C698" s="195" t="str">
        <f>IFERROR(IF(AND(LEN(INDEX(inkind[Description],$A698))+LEN(INDEX(inkind[Name organisation],$A698))+LEN(INDEX(inkind[[  ]],$A698))+LEN(INDEX(inkind[Nr of units or Nr of hours],$A698))&gt;0,LEN(INDEX(inkind[Description],$A698-1))+LEN(INDEX(inkind[Name organisation],$A698-1))+LEN(INDEX(inkind[[  ]],$A698-1))+LEN(INDEX(inkind[Nr of units or Nr of hours],$A698-1))=0),$B$127,""),"")</f>
        <v/>
      </c>
      <c r="D698" s="195" t="e">
        <f>IF(AND(INDEX(inkind[Amount],$A698)&gt;0,LEN(INDEX(inkind[Name organisation],$A698))=0,cofunding_inkind_def_rates="yes"),$B$183,"")</f>
        <v>#REF!</v>
      </c>
      <c r="E698" s="195" t="e">
        <f>IF(AND(INDEX(inkind[Amount],$A698)&gt;0,LEN(INDEX(inkind[[  ]],$A698))=0,cofunding_inkind_def_rates="yes"),$B$183,"")</f>
        <v>#REF!</v>
      </c>
      <c r="F698" s="195" t="e">
        <f>IF(AND(INDEX(inkind[[  ]],$A698)="Junior",INDEX(inkind[Unit price or hourly rate],$A698)&gt;cofunding_junior_rate),$B$186,IF(AND(INDEX(inkind[[  ]],$A698)="Senior",INDEX(inkind[Unit price or hourly rate],$A698)&gt;cofunding_senior_rate),$B$187,""))</f>
        <v>#REF!</v>
      </c>
      <c r="G698" s="195" t="e">
        <f>IF(AND(INDEX(inkind[Name organisation],$A698)="Materials",LEN(INDEX(inkind[[  ]],$A698))&gt;0),$B$184,"")</f>
        <v>#REF!</v>
      </c>
      <c r="H698" s="195" t="e">
        <f>IF(AND(INDEX(inkind[Amount],$A698)&gt;0,LEN(INDEX(inkind[Organisation type],$A698))=0),$B$175,"")</f>
        <v>#REF!</v>
      </c>
      <c r="I698" s="195" t="e">
        <f>IF(AND(INDEX(inkind[Amount],$A698)&gt;0,LEN(INDEX(inkind[Name organisation2],$A698))=0),$B$176,"")</f>
        <v>#REF!</v>
      </c>
    </row>
    <row r="699" spans="1:9" ht="12" customHeight="1" x14ac:dyDescent="0.35">
      <c r="A699" s="372">
        <v>77</v>
      </c>
      <c r="B699" s="195" t="str">
        <f t="array" ref="B699">IFERROR(INDEX(comb_notes_inkind[[#This Row],[Empty line]:[No organisation name]],1,MATCH(TRUE,LEN(comb_notes_inkind[[#This Row],[Empty line]:[No organisation name]])&gt;0,0)),"")</f>
        <v/>
      </c>
      <c r="C699" s="195" t="str">
        <f>IFERROR(IF(AND(LEN(INDEX(inkind[Description],$A699))+LEN(INDEX(inkind[Name organisation],$A699))+LEN(INDEX(inkind[[  ]],$A699))+LEN(INDEX(inkind[Nr of units or Nr of hours],$A699))&gt;0,LEN(INDEX(inkind[Description],$A699-1))+LEN(INDEX(inkind[Name organisation],$A699-1))+LEN(INDEX(inkind[[  ]],$A699-1))+LEN(INDEX(inkind[Nr of units or Nr of hours],$A699-1))=0),$B$127,""),"")</f>
        <v/>
      </c>
      <c r="D699" s="195" t="e">
        <f>IF(AND(INDEX(inkind[Amount],$A699)&gt;0,LEN(INDEX(inkind[Name organisation],$A699))=0,cofunding_inkind_def_rates="yes"),$B$183,"")</f>
        <v>#REF!</v>
      </c>
      <c r="E699" s="195" t="e">
        <f>IF(AND(INDEX(inkind[Amount],$A699)&gt;0,LEN(INDEX(inkind[[  ]],$A699))=0,cofunding_inkind_def_rates="yes"),$B$183,"")</f>
        <v>#REF!</v>
      </c>
      <c r="F699" s="195" t="e">
        <f>IF(AND(INDEX(inkind[[  ]],$A699)="Junior",INDEX(inkind[Unit price or hourly rate],$A699)&gt;cofunding_junior_rate),$B$186,IF(AND(INDEX(inkind[[  ]],$A699)="Senior",INDEX(inkind[Unit price or hourly rate],$A699)&gt;cofunding_senior_rate),$B$187,""))</f>
        <v>#REF!</v>
      </c>
      <c r="G699" s="195" t="e">
        <f>IF(AND(INDEX(inkind[Name organisation],$A699)="Materials",LEN(INDEX(inkind[[  ]],$A699))&gt;0),$B$184,"")</f>
        <v>#REF!</v>
      </c>
      <c r="H699" s="195" t="e">
        <f>IF(AND(INDEX(inkind[Amount],$A699)&gt;0,LEN(INDEX(inkind[Organisation type],$A699))=0),$B$175,"")</f>
        <v>#REF!</v>
      </c>
      <c r="I699" s="195" t="e">
        <f>IF(AND(INDEX(inkind[Amount],$A699)&gt;0,LEN(INDEX(inkind[Name organisation2],$A699))=0),$B$176,"")</f>
        <v>#REF!</v>
      </c>
    </row>
    <row r="700" spans="1:9" ht="12" customHeight="1" x14ac:dyDescent="0.35">
      <c r="A700" s="372">
        <v>78</v>
      </c>
      <c r="B700" s="195" t="str">
        <f t="array" ref="B700">IFERROR(INDEX(comb_notes_inkind[[#This Row],[Empty line]:[No organisation name]],1,MATCH(TRUE,LEN(comb_notes_inkind[[#This Row],[Empty line]:[No organisation name]])&gt;0,0)),"")</f>
        <v/>
      </c>
      <c r="C700" s="195" t="str">
        <f>IFERROR(IF(AND(LEN(INDEX(inkind[Description],$A700))+LEN(INDEX(inkind[Name organisation],$A700))+LEN(INDEX(inkind[[  ]],$A700))+LEN(INDEX(inkind[Nr of units or Nr of hours],$A700))&gt;0,LEN(INDEX(inkind[Description],$A700-1))+LEN(INDEX(inkind[Name organisation],$A700-1))+LEN(INDEX(inkind[[  ]],$A700-1))+LEN(INDEX(inkind[Nr of units or Nr of hours],$A700-1))=0),$B$127,""),"")</f>
        <v/>
      </c>
      <c r="D700" s="195" t="e">
        <f>IF(AND(INDEX(inkind[Amount],$A700)&gt;0,LEN(INDEX(inkind[Name organisation],$A700))=0,cofunding_inkind_def_rates="yes"),$B$183,"")</f>
        <v>#REF!</v>
      </c>
      <c r="E700" s="195" t="e">
        <f>IF(AND(INDEX(inkind[Amount],$A700)&gt;0,LEN(INDEX(inkind[[  ]],$A700))=0,cofunding_inkind_def_rates="yes"),$B$183,"")</f>
        <v>#REF!</v>
      </c>
      <c r="F700" s="195" t="e">
        <f>IF(AND(INDEX(inkind[[  ]],$A700)="Junior",INDEX(inkind[Unit price or hourly rate],$A700)&gt;cofunding_junior_rate),$B$186,IF(AND(INDEX(inkind[[  ]],$A700)="Senior",INDEX(inkind[Unit price or hourly rate],$A700)&gt;cofunding_senior_rate),$B$187,""))</f>
        <v>#REF!</v>
      </c>
      <c r="G700" s="195" t="e">
        <f>IF(AND(INDEX(inkind[Name organisation],$A700)="Materials",LEN(INDEX(inkind[[  ]],$A700))&gt;0),$B$184,"")</f>
        <v>#REF!</v>
      </c>
      <c r="H700" s="195" t="e">
        <f>IF(AND(INDEX(inkind[Amount],$A700)&gt;0,LEN(INDEX(inkind[Organisation type],$A700))=0),$B$175,"")</f>
        <v>#REF!</v>
      </c>
      <c r="I700" s="195" t="e">
        <f>IF(AND(INDEX(inkind[Amount],$A700)&gt;0,LEN(INDEX(inkind[Name organisation2],$A700))=0),$B$176,"")</f>
        <v>#REF!</v>
      </c>
    </row>
    <row r="701" spans="1:9" ht="12" customHeight="1" x14ac:dyDescent="0.35">
      <c r="A701" s="372">
        <v>79</v>
      </c>
      <c r="B701" s="195" t="str">
        <f t="array" ref="B701">IFERROR(INDEX(comb_notes_inkind[[#This Row],[Empty line]:[No organisation name]],1,MATCH(TRUE,LEN(comb_notes_inkind[[#This Row],[Empty line]:[No organisation name]])&gt;0,0)),"")</f>
        <v/>
      </c>
      <c r="C701" s="195" t="str">
        <f>IFERROR(IF(AND(LEN(INDEX(inkind[Description],$A701))+LEN(INDEX(inkind[Name organisation],$A701))+LEN(INDEX(inkind[[  ]],$A701))+LEN(INDEX(inkind[Nr of units or Nr of hours],$A701))&gt;0,LEN(INDEX(inkind[Description],$A701-1))+LEN(INDEX(inkind[Name organisation],$A701-1))+LEN(INDEX(inkind[[  ]],$A701-1))+LEN(INDEX(inkind[Nr of units or Nr of hours],$A701-1))=0),$B$127,""),"")</f>
        <v/>
      </c>
      <c r="D701" s="195" t="e">
        <f>IF(AND(INDEX(inkind[Amount],$A701)&gt;0,LEN(INDEX(inkind[Name organisation],$A701))=0,cofunding_inkind_def_rates="yes"),$B$183,"")</f>
        <v>#REF!</v>
      </c>
      <c r="E701" s="195" t="e">
        <f>IF(AND(INDEX(inkind[Amount],$A701)&gt;0,LEN(INDEX(inkind[[  ]],$A701))=0,cofunding_inkind_def_rates="yes"),$B$183,"")</f>
        <v>#REF!</v>
      </c>
      <c r="F701" s="195" t="e">
        <f>IF(AND(INDEX(inkind[[  ]],$A701)="Junior",INDEX(inkind[Unit price or hourly rate],$A701)&gt;cofunding_junior_rate),$B$186,IF(AND(INDEX(inkind[[  ]],$A701)="Senior",INDEX(inkind[Unit price or hourly rate],$A701)&gt;cofunding_senior_rate),$B$187,""))</f>
        <v>#REF!</v>
      </c>
      <c r="G701" s="195" t="e">
        <f>IF(AND(INDEX(inkind[Name organisation],$A701)="Materials",LEN(INDEX(inkind[[  ]],$A701))&gt;0),$B$184,"")</f>
        <v>#REF!</v>
      </c>
      <c r="H701" s="195" t="e">
        <f>IF(AND(INDEX(inkind[Amount],$A701)&gt;0,LEN(INDEX(inkind[Organisation type],$A701))=0),$B$175,"")</f>
        <v>#REF!</v>
      </c>
      <c r="I701" s="195" t="e">
        <f>IF(AND(INDEX(inkind[Amount],$A701)&gt;0,LEN(INDEX(inkind[Name organisation2],$A701))=0),$B$176,"")</f>
        <v>#REF!</v>
      </c>
    </row>
    <row r="702" spans="1:9" ht="12" customHeight="1" x14ac:dyDescent="0.35">
      <c r="A702" s="372">
        <v>80</v>
      </c>
      <c r="B702" s="195" t="str">
        <f t="array" ref="B702">IFERROR(INDEX(comb_notes_inkind[[#This Row],[Empty line]:[No organisation name]],1,MATCH(TRUE,LEN(comb_notes_inkind[[#This Row],[Empty line]:[No organisation name]])&gt;0,0)),"")</f>
        <v/>
      </c>
      <c r="C702" s="195" t="str">
        <f>IFERROR(IF(AND(LEN(INDEX(inkind[Description],$A702))+LEN(INDEX(inkind[Name organisation],$A702))+LEN(INDEX(inkind[[  ]],$A702))+LEN(INDEX(inkind[Nr of units or Nr of hours],$A702))&gt;0,LEN(INDEX(inkind[Description],$A702-1))+LEN(INDEX(inkind[Name organisation],$A702-1))+LEN(INDEX(inkind[[  ]],$A702-1))+LEN(INDEX(inkind[Nr of units or Nr of hours],$A702-1))=0),$B$127,""),"")</f>
        <v/>
      </c>
      <c r="D702" s="195" t="e">
        <f>IF(AND(INDEX(inkind[Amount],$A702)&gt;0,LEN(INDEX(inkind[Name organisation],$A702))=0,cofunding_inkind_def_rates="yes"),$B$183,"")</f>
        <v>#REF!</v>
      </c>
      <c r="E702" s="195" t="e">
        <f>IF(AND(INDEX(inkind[Amount],$A702)&gt;0,LEN(INDEX(inkind[[  ]],$A702))=0,cofunding_inkind_def_rates="yes"),$B$183,"")</f>
        <v>#REF!</v>
      </c>
      <c r="F702" s="195" t="e">
        <f>IF(AND(INDEX(inkind[[  ]],$A702)="Junior",INDEX(inkind[Unit price or hourly rate],$A702)&gt;cofunding_junior_rate),$B$186,IF(AND(INDEX(inkind[[  ]],$A702)="Senior",INDEX(inkind[Unit price or hourly rate],$A702)&gt;cofunding_senior_rate),$B$187,""))</f>
        <v>#REF!</v>
      </c>
      <c r="G702" s="195" t="e">
        <f>IF(AND(INDEX(inkind[Name organisation],$A702)="Materials",LEN(INDEX(inkind[[  ]],$A702))&gt;0),$B$184,"")</f>
        <v>#REF!</v>
      </c>
      <c r="H702" s="195" t="e">
        <f>IF(AND(INDEX(inkind[Amount],$A702)&gt;0,LEN(INDEX(inkind[Organisation type],$A702))=0),$B$175,"")</f>
        <v>#REF!</v>
      </c>
      <c r="I702" s="195" t="e">
        <f>IF(AND(INDEX(inkind[Amount],$A702)&gt;0,LEN(INDEX(inkind[Name organisation2],$A702))=0),$B$176,"")</f>
        <v>#REF!</v>
      </c>
    </row>
    <row r="703" spans="1:9" ht="12" customHeight="1" x14ac:dyDescent="0.35">
      <c r="A703" s="372">
        <v>81</v>
      </c>
      <c r="B703" s="195" t="str">
        <f t="array" ref="B703">IFERROR(INDEX(comb_notes_inkind[[#This Row],[Empty line]:[No organisation name]],1,MATCH(TRUE,LEN(comb_notes_inkind[[#This Row],[Empty line]:[No organisation name]])&gt;0,0)),"")</f>
        <v/>
      </c>
      <c r="C703" s="195" t="str">
        <f>IFERROR(IF(AND(LEN(INDEX(inkind[Description],$A703))+LEN(INDEX(inkind[Name organisation],$A703))+LEN(INDEX(inkind[[  ]],$A703))+LEN(INDEX(inkind[Nr of units or Nr of hours],$A703))&gt;0,LEN(INDEX(inkind[Description],$A703-1))+LEN(INDEX(inkind[Name organisation],$A703-1))+LEN(INDEX(inkind[[  ]],$A703-1))+LEN(INDEX(inkind[Nr of units or Nr of hours],$A703-1))=0),$B$127,""),"")</f>
        <v/>
      </c>
      <c r="D703" s="195" t="e">
        <f>IF(AND(INDEX(inkind[Amount],$A703)&gt;0,LEN(INDEX(inkind[Name organisation],$A703))=0,cofunding_inkind_def_rates="yes"),$B$183,"")</f>
        <v>#REF!</v>
      </c>
      <c r="E703" s="195" t="e">
        <f>IF(AND(INDEX(inkind[Amount],$A703)&gt;0,LEN(INDEX(inkind[[  ]],$A703))=0,cofunding_inkind_def_rates="yes"),$B$183,"")</f>
        <v>#REF!</v>
      </c>
      <c r="F703" s="195" t="e">
        <f>IF(AND(INDEX(inkind[[  ]],$A703)="Junior",INDEX(inkind[Unit price or hourly rate],$A703)&gt;cofunding_junior_rate),$B$186,IF(AND(INDEX(inkind[[  ]],$A703)="Senior",INDEX(inkind[Unit price or hourly rate],$A703)&gt;cofunding_senior_rate),$B$187,""))</f>
        <v>#REF!</v>
      </c>
      <c r="G703" s="195" t="e">
        <f>IF(AND(INDEX(inkind[Name organisation],$A703)="Materials",LEN(INDEX(inkind[[  ]],$A703))&gt;0),$B$184,"")</f>
        <v>#REF!</v>
      </c>
      <c r="H703" s="195" t="e">
        <f>IF(AND(INDEX(inkind[Amount],$A703)&gt;0,LEN(INDEX(inkind[Organisation type],$A703))=0),$B$175,"")</f>
        <v>#REF!</v>
      </c>
      <c r="I703" s="195" t="e">
        <f>IF(AND(INDEX(inkind[Amount],$A703)&gt;0,LEN(INDEX(inkind[Name organisation2],$A703))=0),$B$176,"")</f>
        <v>#REF!</v>
      </c>
    </row>
    <row r="704" spans="1:9" ht="12" customHeight="1" x14ac:dyDescent="0.35">
      <c r="A704" s="372">
        <v>82</v>
      </c>
      <c r="B704" s="195" t="str">
        <f t="array" ref="B704">IFERROR(INDEX(comb_notes_inkind[[#This Row],[Empty line]:[No organisation name]],1,MATCH(TRUE,LEN(comb_notes_inkind[[#This Row],[Empty line]:[No organisation name]])&gt;0,0)),"")</f>
        <v/>
      </c>
      <c r="C704" s="195" t="str">
        <f>IFERROR(IF(AND(LEN(INDEX(inkind[Description],$A704))+LEN(INDEX(inkind[Name organisation],$A704))+LEN(INDEX(inkind[[  ]],$A704))+LEN(INDEX(inkind[Nr of units or Nr of hours],$A704))&gt;0,LEN(INDEX(inkind[Description],$A704-1))+LEN(INDEX(inkind[Name organisation],$A704-1))+LEN(INDEX(inkind[[  ]],$A704-1))+LEN(INDEX(inkind[Nr of units or Nr of hours],$A704-1))=0),$B$127,""),"")</f>
        <v/>
      </c>
      <c r="D704" s="195" t="e">
        <f>IF(AND(INDEX(inkind[Amount],$A704)&gt;0,LEN(INDEX(inkind[Name organisation],$A704))=0,cofunding_inkind_def_rates="yes"),$B$183,"")</f>
        <v>#REF!</v>
      </c>
      <c r="E704" s="195" t="e">
        <f>IF(AND(INDEX(inkind[Amount],$A704)&gt;0,LEN(INDEX(inkind[[  ]],$A704))=0,cofunding_inkind_def_rates="yes"),$B$183,"")</f>
        <v>#REF!</v>
      </c>
      <c r="F704" s="195" t="e">
        <f>IF(AND(INDEX(inkind[[  ]],$A704)="Junior",INDEX(inkind[Unit price or hourly rate],$A704)&gt;cofunding_junior_rate),$B$186,IF(AND(INDEX(inkind[[  ]],$A704)="Senior",INDEX(inkind[Unit price or hourly rate],$A704)&gt;cofunding_senior_rate),$B$187,""))</f>
        <v>#REF!</v>
      </c>
      <c r="G704" s="195" t="e">
        <f>IF(AND(INDEX(inkind[Name organisation],$A704)="Materials",LEN(INDEX(inkind[[  ]],$A704))&gt;0),$B$184,"")</f>
        <v>#REF!</v>
      </c>
      <c r="H704" s="195" t="e">
        <f>IF(AND(INDEX(inkind[Amount],$A704)&gt;0,LEN(INDEX(inkind[Organisation type],$A704))=0),$B$175,"")</f>
        <v>#REF!</v>
      </c>
      <c r="I704" s="195" t="e">
        <f>IF(AND(INDEX(inkind[Amount],$A704)&gt;0,LEN(INDEX(inkind[Name organisation2],$A704))=0),$B$176,"")</f>
        <v>#REF!</v>
      </c>
    </row>
    <row r="705" spans="1:9" ht="12" customHeight="1" x14ac:dyDescent="0.35">
      <c r="A705" s="372">
        <v>83</v>
      </c>
      <c r="B705" s="195" t="str">
        <f t="array" ref="B705">IFERROR(INDEX(comb_notes_inkind[[#This Row],[Empty line]:[No organisation name]],1,MATCH(TRUE,LEN(comb_notes_inkind[[#This Row],[Empty line]:[No organisation name]])&gt;0,0)),"")</f>
        <v/>
      </c>
      <c r="C705" s="195" t="str">
        <f>IFERROR(IF(AND(LEN(INDEX(inkind[Description],$A705))+LEN(INDEX(inkind[Name organisation],$A705))+LEN(INDEX(inkind[[  ]],$A705))+LEN(INDEX(inkind[Nr of units or Nr of hours],$A705))&gt;0,LEN(INDEX(inkind[Description],$A705-1))+LEN(INDEX(inkind[Name organisation],$A705-1))+LEN(INDEX(inkind[[  ]],$A705-1))+LEN(INDEX(inkind[Nr of units or Nr of hours],$A705-1))=0),$B$127,""),"")</f>
        <v/>
      </c>
      <c r="D705" s="195" t="e">
        <f>IF(AND(INDEX(inkind[Amount],$A705)&gt;0,LEN(INDEX(inkind[Name organisation],$A705))=0,cofunding_inkind_def_rates="yes"),$B$183,"")</f>
        <v>#REF!</v>
      </c>
      <c r="E705" s="195" t="e">
        <f>IF(AND(INDEX(inkind[Amount],$A705)&gt;0,LEN(INDEX(inkind[[  ]],$A705))=0,cofunding_inkind_def_rates="yes"),$B$183,"")</f>
        <v>#REF!</v>
      </c>
      <c r="F705" s="195" t="e">
        <f>IF(AND(INDEX(inkind[[  ]],$A705)="Junior",INDEX(inkind[Unit price or hourly rate],$A705)&gt;cofunding_junior_rate),$B$186,IF(AND(INDEX(inkind[[  ]],$A705)="Senior",INDEX(inkind[Unit price or hourly rate],$A705)&gt;cofunding_senior_rate),$B$187,""))</f>
        <v>#REF!</v>
      </c>
      <c r="G705" s="195" t="e">
        <f>IF(AND(INDEX(inkind[Name organisation],$A705)="Materials",LEN(INDEX(inkind[[  ]],$A705))&gt;0),$B$184,"")</f>
        <v>#REF!</v>
      </c>
      <c r="H705" s="195" t="e">
        <f>IF(AND(INDEX(inkind[Amount],$A705)&gt;0,LEN(INDEX(inkind[Organisation type],$A705))=0),$B$175,"")</f>
        <v>#REF!</v>
      </c>
      <c r="I705" s="195" t="e">
        <f>IF(AND(INDEX(inkind[Amount],$A705)&gt;0,LEN(INDEX(inkind[Name organisation2],$A705))=0),$B$176,"")</f>
        <v>#REF!</v>
      </c>
    </row>
    <row r="706" spans="1:9" ht="12" customHeight="1" x14ac:dyDescent="0.35">
      <c r="A706" s="372">
        <v>84</v>
      </c>
      <c r="B706" s="195" t="str">
        <f t="array" ref="B706">IFERROR(INDEX(comb_notes_inkind[[#This Row],[Empty line]:[No organisation name]],1,MATCH(TRUE,LEN(comb_notes_inkind[[#This Row],[Empty line]:[No organisation name]])&gt;0,0)),"")</f>
        <v/>
      </c>
      <c r="C706" s="195" t="str">
        <f>IFERROR(IF(AND(LEN(INDEX(inkind[Description],$A706))+LEN(INDEX(inkind[Name organisation],$A706))+LEN(INDEX(inkind[[  ]],$A706))+LEN(INDEX(inkind[Nr of units or Nr of hours],$A706))&gt;0,LEN(INDEX(inkind[Description],$A706-1))+LEN(INDEX(inkind[Name organisation],$A706-1))+LEN(INDEX(inkind[[  ]],$A706-1))+LEN(INDEX(inkind[Nr of units or Nr of hours],$A706-1))=0),$B$127,""),"")</f>
        <v/>
      </c>
      <c r="D706" s="195" t="e">
        <f>IF(AND(INDEX(inkind[Amount],$A706)&gt;0,LEN(INDEX(inkind[Name organisation],$A706))=0,cofunding_inkind_def_rates="yes"),$B$183,"")</f>
        <v>#REF!</v>
      </c>
      <c r="E706" s="195" t="e">
        <f>IF(AND(INDEX(inkind[Amount],$A706)&gt;0,LEN(INDEX(inkind[[  ]],$A706))=0,cofunding_inkind_def_rates="yes"),$B$183,"")</f>
        <v>#REF!</v>
      </c>
      <c r="F706" s="195" t="e">
        <f>IF(AND(INDEX(inkind[[  ]],$A706)="Junior",INDEX(inkind[Unit price or hourly rate],$A706)&gt;cofunding_junior_rate),$B$186,IF(AND(INDEX(inkind[[  ]],$A706)="Senior",INDEX(inkind[Unit price or hourly rate],$A706)&gt;cofunding_senior_rate),$B$187,""))</f>
        <v>#REF!</v>
      </c>
      <c r="G706" s="195" t="e">
        <f>IF(AND(INDEX(inkind[Name organisation],$A706)="Materials",LEN(INDEX(inkind[[  ]],$A706))&gt;0),$B$184,"")</f>
        <v>#REF!</v>
      </c>
      <c r="H706" s="195" t="e">
        <f>IF(AND(INDEX(inkind[Amount],$A706)&gt;0,LEN(INDEX(inkind[Organisation type],$A706))=0),$B$175,"")</f>
        <v>#REF!</v>
      </c>
      <c r="I706" s="195" t="e">
        <f>IF(AND(INDEX(inkind[Amount],$A706)&gt;0,LEN(INDEX(inkind[Name organisation2],$A706))=0),$B$176,"")</f>
        <v>#REF!</v>
      </c>
    </row>
    <row r="707" spans="1:9" ht="12" customHeight="1" x14ac:dyDescent="0.35">
      <c r="A707" s="372">
        <v>85</v>
      </c>
      <c r="B707" s="195" t="str">
        <f t="array" ref="B707">IFERROR(INDEX(comb_notes_inkind[[#This Row],[Empty line]:[No organisation name]],1,MATCH(TRUE,LEN(comb_notes_inkind[[#This Row],[Empty line]:[No organisation name]])&gt;0,0)),"")</f>
        <v/>
      </c>
      <c r="C707" s="195" t="str">
        <f>IFERROR(IF(AND(LEN(INDEX(inkind[Description],$A707))+LEN(INDEX(inkind[Name organisation],$A707))+LEN(INDEX(inkind[[  ]],$A707))+LEN(INDEX(inkind[Nr of units or Nr of hours],$A707))&gt;0,LEN(INDEX(inkind[Description],$A707-1))+LEN(INDEX(inkind[Name organisation],$A707-1))+LEN(INDEX(inkind[[  ]],$A707-1))+LEN(INDEX(inkind[Nr of units or Nr of hours],$A707-1))=0),$B$127,""),"")</f>
        <v/>
      </c>
      <c r="D707" s="195" t="e">
        <f>IF(AND(INDEX(inkind[Amount],$A707)&gt;0,LEN(INDEX(inkind[Name organisation],$A707))=0,cofunding_inkind_def_rates="yes"),$B$183,"")</f>
        <v>#REF!</v>
      </c>
      <c r="E707" s="195" t="e">
        <f>IF(AND(INDEX(inkind[Amount],$A707)&gt;0,LEN(INDEX(inkind[[  ]],$A707))=0,cofunding_inkind_def_rates="yes"),$B$183,"")</f>
        <v>#REF!</v>
      </c>
      <c r="F707" s="195" t="e">
        <f>IF(AND(INDEX(inkind[[  ]],$A707)="Junior",INDEX(inkind[Unit price or hourly rate],$A707)&gt;cofunding_junior_rate),$B$186,IF(AND(INDEX(inkind[[  ]],$A707)="Senior",INDEX(inkind[Unit price or hourly rate],$A707)&gt;cofunding_senior_rate),$B$187,""))</f>
        <v>#REF!</v>
      </c>
      <c r="G707" s="195" t="e">
        <f>IF(AND(INDEX(inkind[Name organisation],$A707)="Materials",LEN(INDEX(inkind[[  ]],$A707))&gt;0),$B$184,"")</f>
        <v>#REF!</v>
      </c>
      <c r="H707" s="195" t="e">
        <f>IF(AND(INDEX(inkind[Amount],$A707)&gt;0,LEN(INDEX(inkind[Organisation type],$A707))=0),$B$175,"")</f>
        <v>#REF!</v>
      </c>
      <c r="I707" s="195" t="e">
        <f>IF(AND(INDEX(inkind[Amount],$A707)&gt;0,LEN(INDEX(inkind[Name organisation2],$A707))=0),$B$176,"")</f>
        <v>#REF!</v>
      </c>
    </row>
    <row r="708" spans="1:9" ht="12" customHeight="1" x14ac:dyDescent="0.35">
      <c r="A708" s="372">
        <v>86</v>
      </c>
      <c r="B708" s="195" t="str">
        <f t="array" ref="B708">IFERROR(INDEX(comb_notes_inkind[[#This Row],[Empty line]:[No organisation name]],1,MATCH(TRUE,LEN(comb_notes_inkind[[#This Row],[Empty line]:[No organisation name]])&gt;0,0)),"")</f>
        <v/>
      </c>
      <c r="C708" s="195" t="str">
        <f>IFERROR(IF(AND(LEN(INDEX(inkind[Description],$A708))+LEN(INDEX(inkind[Name organisation],$A708))+LEN(INDEX(inkind[[  ]],$A708))+LEN(INDEX(inkind[Nr of units or Nr of hours],$A708))&gt;0,LEN(INDEX(inkind[Description],$A708-1))+LEN(INDEX(inkind[Name organisation],$A708-1))+LEN(INDEX(inkind[[  ]],$A708-1))+LEN(INDEX(inkind[Nr of units or Nr of hours],$A708-1))=0),$B$127,""),"")</f>
        <v/>
      </c>
      <c r="D708" s="195" t="e">
        <f>IF(AND(INDEX(inkind[Amount],$A708)&gt;0,LEN(INDEX(inkind[Name organisation],$A708))=0,cofunding_inkind_def_rates="yes"),$B$183,"")</f>
        <v>#REF!</v>
      </c>
      <c r="E708" s="195" t="e">
        <f>IF(AND(INDEX(inkind[Amount],$A708)&gt;0,LEN(INDEX(inkind[[  ]],$A708))=0,cofunding_inkind_def_rates="yes"),$B$183,"")</f>
        <v>#REF!</v>
      </c>
      <c r="F708" s="195" t="e">
        <f>IF(AND(INDEX(inkind[[  ]],$A708)="Junior",INDEX(inkind[Unit price or hourly rate],$A708)&gt;cofunding_junior_rate),$B$186,IF(AND(INDEX(inkind[[  ]],$A708)="Senior",INDEX(inkind[Unit price or hourly rate],$A708)&gt;cofunding_senior_rate),$B$187,""))</f>
        <v>#REF!</v>
      </c>
      <c r="G708" s="195" t="e">
        <f>IF(AND(INDEX(inkind[Name organisation],$A708)="Materials",LEN(INDEX(inkind[[  ]],$A708))&gt;0),$B$184,"")</f>
        <v>#REF!</v>
      </c>
      <c r="H708" s="195" t="e">
        <f>IF(AND(INDEX(inkind[Amount],$A708)&gt;0,LEN(INDEX(inkind[Organisation type],$A708))=0),$B$175,"")</f>
        <v>#REF!</v>
      </c>
      <c r="I708" s="195" t="e">
        <f>IF(AND(INDEX(inkind[Amount],$A708)&gt;0,LEN(INDEX(inkind[Name organisation2],$A708))=0),$B$176,"")</f>
        <v>#REF!</v>
      </c>
    </row>
    <row r="709" spans="1:9" ht="12" customHeight="1" x14ac:dyDescent="0.35">
      <c r="A709" s="372">
        <v>87</v>
      </c>
      <c r="B709" s="195" t="str">
        <f t="array" ref="B709">IFERROR(INDEX(comb_notes_inkind[[#This Row],[Empty line]:[No organisation name]],1,MATCH(TRUE,LEN(comb_notes_inkind[[#This Row],[Empty line]:[No organisation name]])&gt;0,0)),"")</f>
        <v/>
      </c>
      <c r="C709" s="195" t="str">
        <f>IFERROR(IF(AND(LEN(INDEX(inkind[Description],$A709))+LEN(INDEX(inkind[Name organisation],$A709))+LEN(INDEX(inkind[[  ]],$A709))+LEN(INDEX(inkind[Nr of units or Nr of hours],$A709))&gt;0,LEN(INDEX(inkind[Description],$A709-1))+LEN(INDEX(inkind[Name organisation],$A709-1))+LEN(INDEX(inkind[[  ]],$A709-1))+LEN(INDEX(inkind[Nr of units or Nr of hours],$A709-1))=0),$B$127,""),"")</f>
        <v/>
      </c>
      <c r="D709" s="195" t="e">
        <f>IF(AND(INDEX(inkind[Amount],$A709)&gt;0,LEN(INDEX(inkind[Name organisation],$A709))=0,cofunding_inkind_def_rates="yes"),$B$183,"")</f>
        <v>#REF!</v>
      </c>
      <c r="E709" s="195" t="e">
        <f>IF(AND(INDEX(inkind[Amount],$A709)&gt;0,LEN(INDEX(inkind[[  ]],$A709))=0,cofunding_inkind_def_rates="yes"),$B$183,"")</f>
        <v>#REF!</v>
      </c>
      <c r="F709" s="195" t="e">
        <f>IF(AND(INDEX(inkind[[  ]],$A709)="Junior",INDEX(inkind[Unit price or hourly rate],$A709)&gt;cofunding_junior_rate),$B$186,IF(AND(INDEX(inkind[[  ]],$A709)="Senior",INDEX(inkind[Unit price or hourly rate],$A709)&gt;cofunding_senior_rate),$B$187,""))</f>
        <v>#REF!</v>
      </c>
      <c r="G709" s="195" t="e">
        <f>IF(AND(INDEX(inkind[Name organisation],$A709)="Materials",LEN(INDEX(inkind[[  ]],$A709))&gt;0),$B$184,"")</f>
        <v>#REF!</v>
      </c>
      <c r="H709" s="195" t="e">
        <f>IF(AND(INDEX(inkind[Amount],$A709)&gt;0,LEN(INDEX(inkind[Organisation type],$A709))=0),$B$175,"")</f>
        <v>#REF!</v>
      </c>
      <c r="I709" s="195" t="e">
        <f>IF(AND(INDEX(inkind[Amount],$A709)&gt;0,LEN(INDEX(inkind[Name organisation2],$A709))=0),$B$176,"")</f>
        <v>#REF!</v>
      </c>
    </row>
    <row r="710" spans="1:9" ht="12" customHeight="1" x14ac:dyDescent="0.35">
      <c r="A710" s="372">
        <v>88</v>
      </c>
      <c r="B710" s="195" t="str">
        <f t="array" ref="B710">IFERROR(INDEX(comb_notes_inkind[[#This Row],[Empty line]:[No organisation name]],1,MATCH(TRUE,LEN(comb_notes_inkind[[#This Row],[Empty line]:[No organisation name]])&gt;0,0)),"")</f>
        <v/>
      </c>
      <c r="C710" s="195" t="str">
        <f>IFERROR(IF(AND(LEN(INDEX(inkind[Description],$A710))+LEN(INDEX(inkind[Name organisation],$A710))+LEN(INDEX(inkind[[  ]],$A710))+LEN(INDEX(inkind[Nr of units or Nr of hours],$A710))&gt;0,LEN(INDEX(inkind[Description],$A710-1))+LEN(INDEX(inkind[Name organisation],$A710-1))+LEN(INDEX(inkind[[  ]],$A710-1))+LEN(INDEX(inkind[Nr of units or Nr of hours],$A710-1))=0),$B$127,""),"")</f>
        <v/>
      </c>
      <c r="D710" s="195" t="e">
        <f>IF(AND(INDEX(inkind[Amount],$A710)&gt;0,LEN(INDEX(inkind[Name organisation],$A710))=0,cofunding_inkind_def_rates="yes"),$B$183,"")</f>
        <v>#REF!</v>
      </c>
      <c r="E710" s="195" t="e">
        <f>IF(AND(INDEX(inkind[Amount],$A710)&gt;0,LEN(INDEX(inkind[[  ]],$A710))=0,cofunding_inkind_def_rates="yes"),$B$183,"")</f>
        <v>#REF!</v>
      </c>
      <c r="F710" s="195" t="e">
        <f>IF(AND(INDEX(inkind[[  ]],$A710)="Junior",INDEX(inkind[Unit price or hourly rate],$A710)&gt;cofunding_junior_rate),$B$186,IF(AND(INDEX(inkind[[  ]],$A710)="Senior",INDEX(inkind[Unit price or hourly rate],$A710)&gt;cofunding_senior_rate),$B$187,""))</f>
        <v>#REF!</v>
      </c>
      <c r="G710" s="195" t="e">
        <f>IF(AND(INDEX(inkind[Name organisation],$A710)="Materials",LEN(INDEX(inkind[[  ]],$A710))&gt;0),$B$184,"")</f>
        <v>#REF!</v>
      </c>
      <c r="H710" s="195" t="e">
        <f>IF(AND(INDEX(inkind[Amount],$A710)&gt;0,LEN(INDEX(inkind[Organisation type],$A710))=0),$B$175,"")</f>
        <v>#REF!</v>
      </c>
      <c r="I710" s="195" t="e">
        <f>IF(AND(INDEX(inkind[Amount],$A710)&gt;0,LEN(INDEX(inkind[Name organisation2],$A710))=0),$B$176,"")</f>
        <v>#REF!</v>
      </c>
    </row>
    <row r="711" spans="1:9" ht="12" customHeight="1" x14ac:dyDescent="0.35">
      <c r="A711" s="372">
        <v>89</v>
      </c>
      <c r="B711" s="195" t="str">
        <f t="array" ref="B711">IFERROR(INDEX(comb_notes_inkind[[#This Row],[Empty line]:[No organisation name]],1,MATCH(TRUE,LEN(comb_notes_inkind[[#This Row],[Empty line]:[No organisation name]])&gt;0,0)),"")</f>
        <v/>
      </c>
      <c r="C711" s="195" t="str">
        <f>IFERROR(IF(AND(LEN(INDEX(inkind[Description],$A711))+LEN(INDEX(inkind[Name organisation],$A711))+LEN(INDEX(inkind[[  ]],$A711))+LEN(INDEX(inkind[Nr of units or Nr of hours],$A711))&gt;0,LEN(INDEX(inkind[Description],$A711-1))+LEN(INDEX(inkind[Name organisation],$A711-1))+LEN(INDEX(inkind[[  ]],$A711-1))+LEN(INDEX(inkind[Nr of units or Nr of hours],$A711-1))=0),$B$127,""),"")</f>
        <v/>
      </c>
      <c r="D711" s="195" t="e">
        <f>IF(AND(INDEX(inkind[Amount],$A711)&gt;0,LEN(INDEX(inkind[Name organisation],$A711))=0,cofunding_inkind_def_rates="yes"),$B$183,"")</f>
        <v>#REF!</v>
      </c>
      <c r="E711" s="195" t="e">
        <f>IF(AND(INDEX(inkind[Amount],$A711)&gt;0,LEN(INDEX(inkind[[  ]],$A711))=0,cofunding_inkind_def_rates="yes"),$B$183,"")</f>
        <v>#REF!</v>
      </c>
      <c r="F711" s="195" t="e">
        <f>IF(AND(INDEX(inkind[[  ]],$A711)="Junior",INDEX(inkind[Unit price or hourly rate],$A711)&gt;cofunding_junior_rate),$B$186,IF(AND(INDEX(inkind[[  ]],$A711)="Senior",INDEX(inkind[Unit price or hourly rate],$A711)&gt;cofunding_senior_rate),$B$187,""))</f>
        <v>#REF!</v>
      </c>
      <c r="G711" s="195" t="e">
        <f>IF(AND(INDEX(inkind[Name organisation],$A711)="Materials",LEN(INDEX(inkind[[  ]],$A711))&gt;0),$B$184,"")</f>
        <v>#REF!</v>
      </c>
      <c r="H711" s="195" t="e">
        <f>IF(AND(INDEX(inkind[Amount],$A711)&gt;0,LEN(INDEX(inkind[Organisation type],$A711))=0),$B$175,"")</f>
        <v>#REF!</v>
      </c>
      <c r="I711" s="195" t="e">
        <f>IF(AND(INDEX(inkind[Amount],$A711)&gt;0,LEN(INDEX(inkind[Name organisation2],$A711))=0),$B$176,"")</f>
        <v>#REF!</v>
      </c>
    </row>
    <row r="712" spans="1:9" ht="12" customHeight="1" x14ac:dyDescent="0.35">
      <c r="A712" s="372">
        <v>90</v>
      </c>
      <c r="B712" s="195" t="str">
        <f t="array" ref="B712">IFERROR(INDEX(comb_notes_inkind[[#This Row],[Empty line]:[No organisation name]],1,MATCH(TRUE,LEN(comb_notes_inkind[[#This Row],[Empty line]:[No organisation name]])&gt;0,0)),"")</f>
        <v/>
      </c>
      <c r="C712" s="195" t="str">
        <f>IFERROR(IF(AND(LEN(INDEX(inkind[Description],$A712))+LEN(INDEX(inkind[Name organisation],$A712))+LEN(INDEX(inkind[[  ]],$A712))+LEN(INDEX(inkind[Nr of units or Nr of hours],$A712))&gt;0,LEN(INDEX(inkind[Description],$A712-1))+LEN(INDEX(inkind[Name organisation],$A712-1))+LEN(INDEX(inkind[[  ]],$A712-1))+LEN(INDEX(inkind[Nr of units or Nr of hours],$A712-1))=0),$B$127,""),"")</f>
        <v/>
      </c>
      <c r="D712" s="195" t="e">
        <f>IF(AND(INDEX(inkind[Amount],$A712)&gt;0,LEN(INDEX(inkind[Name organisation],$A712))=0,cofunding_inkind_def_rates="yes"),$B$183,"")</f>
        <v>#REF!</v>
      </c>
      <c r="E712" s="195" t="e">
        <f>IF(AND(INDEX(inkind[Amount],$A712)&gt;0,LEN(INDEX(inkind[[  ]],$A712))=0,cofunding_inkind_def_rates="yes"),$B$183,"")</f>
        <v>#REF!</v>
      </c>
      <c r="F712" s="195" t="e">
        <f>IF(AND(INDEX(inkind[[  ]],$A712)="Junior",INDEX(inkind[Unit price or hourly rate],$A712)&gt;cofunding_junior_rate),$B$186,IF(AND(INDEX(inkind[[  ]],$A712)="Senior",INDEX(inkind[Unit price or hourly rate],$A712)&gt;cofunding_senior_rate),$B$187,""))</f>
        <v>#REF!</v>
      </c>
      <c r="G712" s="195" t="e">
        <f>IF(AND(INDEX(inkind[Name organisation],$A712)="Materials",LEN(INDEX(inkind[[  ]],$A712))&gt;0),$B$184,"")</f>
        <v>#REF!</v>
      </c>
      <c r="H712" s="195" t="e">
        <f>IF(AND(INDEX(inkind[Amount],$A712)&gt;0,LEN(INDEX(inkind[Organisation type],$A712))=0),$B$175,"")</f>
        <v>#REF!</v>
      </c>
      <c r="I712" s="195" t="e">
        <f>IF(AND(INDEX(inkind[Amount],$A712)&gt;0,LEN(INDEX(inkind[Name organisation2],$A712))=0),$B$176,"")</f>
        <v>#REF!</v>
      </c>
    </row>
    <row r="713" spans="1:9" ht="12" customHeight="1" x14ac:dyDescent="0.35">
      <c r="A713" s="372">
        <v>91</v>
      </c>
      <c r="B713" s="195" t="str">
        <f t="array" ref="B713">IFERROR(INDEX(comb_notes_inkind[[#This Row],[Empty line]:[No organisation name]],1,MATCH(TRUE,LEN(comb_notes_inkind[[#This Row],[Empty line]:[No organisation name]])&gt;0,0)),"")</f>
        <v/>
      </c>
      <c r="C713" s="195" t="str">
        <f>IFERROR(IF(AND(LEN(INDEX(inkind[Description],$A713))+LEN(INDEX(inkind[Name organisation],$A713))+LEN(INDEX(inkind[[  ]],$A713))+LEN(INDEX(inkind[Nr of units or Nr of hours],$A713))&gt;0,LEN(INDEX(inkind[Description],$A713-1))+LEN(INDEX(inkind[Name organisation],$A713-1))+LEN(INDEX(inkind[[  ]],$A713-1))+LEN(INDEX(inkind[Nr of units or Nr of hours],$A713-1))=0),$B$127,""),"")</f>
        <v/>
      </c>
      <c r="D713" s="195" t="e">
        <f>IF(AND(INDEX(inkind[Amount],$A713)&gt;0,LEN(INDEX(inkind[Name organisation],$A713))=0,cofunding_inkind_def_rates="yes"),$B$183,"")</f>
        <v>#REF!</v>
      </c>
      <c r="E713" s="195" t="e">
        <f>IF(AND(INDEX(inkind[Amount],$A713)&gt;0,LEN(INDEX(inkind[[  ]],$A713))=0,cofunding_inkind_def_rates="yes"),$B$183,"")</f>
        <v>#REF!</v>
      </c>
      <c r="F713" s="195" t="e">
        <f>IF(AND(INDEX(inkind[[  ]],$A713)="Junior",INDEX(inkind[Unit price or hourly rate],$A713)&gt;cofunding_junior_rate),$B$186,IF(AND(INDEX(inkind[[  ]],$A713)="Senior",INDEX(inkind[Unit price or hourly rate],$A713)&gt;cofunding_senior_rate),$B$187,""))</f>
        <v>#REF!</v>
      </c>
      <c r="G713" s="195" t="e">
        <f>IF(AND(INDEX(inkind[Name organisation],$A713)="Materials",LEN(INDEX(inkind[[  ]],$A713))&gt;0),$B$184,"")</f>
        <v>#REF!</v>
      </c>
      <c r="H713" s="195" t="e">
        <f>IF(AND(INDEX(inkind[Amount],$A713)&gt;0,LEN(INDEX(inkind[Organisation type],$A713))=0),$B$175,"")</f>
        <v>#REF!</v>
      </c>
      <c r="I713" s="195" t="e">
        <f>IF(AND(INDEX(inkind[Amount],$A713)&gt;0,LEN(INDEX(inkind[Name organisation2],$A713))=0),$B$176,"")</f>
        <v>#REF!</v>
      </c>
    </row>
    <row r="714" spans="1:9" ht="12" customHeight="1" x14ac:dyDescent="0.35">
      <c r="A714" s="372">
        <v>92</v>
      </c>
      <c r="B714" s="195" t="str">
        <f t="array" ref="B714">IFERROR(INDEX(comb_notes_inkind[[#This Row],[Empty line]:[No organisation name]],1,MATCH(TRUE,LEN(comb_notes_inkind[[#This Row],[Empty line]:[No organisation name]])&gt;0,0)),"")</f>
        <v/>
      </c>
      <c r="C714" s="195" t="str">
        <f>IFERROR(IF(AND(LEN(INDEX(inkind[Description],$A714))+LEN(INDEX(inkind[Name organisation],$A714))+LEN(INDEX(inkind[[  ]],$A714))+LEN(INDEX(inkind[Nr of units or Nr of hours],$A714))&gt;0,LEN(INDEX(inkind[Description],$A714-1))+LEN(INDEX(inkind[Name organisation],$A714-1))+LEN(INDEX(inkind[[  ]],$A714-1))+LEN(INDEX(inkind[Nr of units or Nr of hours],$A714-1))=0),$B$127,""),"")</f>
        <v/>
      </c>
      <c r="D714" s="195" t="e">
        <f>IF(AND(INDEX(inkind[Amount],$A714)&gt;0,LEN(INDEX(inkind[Name organisation],$A714))=0,cofunding_inkind_def_rates="yes"),$B$183,"")</f>
        <v>#REF!</v>
      </c>
      <c r="E714" s="195" t="e">
        <f>IF(AND(INDEX(inkind[Amount],$A714)&gt;0,LEN(INDEX(inkind[[  ]],$A714))=0,cofunding_inkind_def_rates="yes"),$B$183,"")</f>
        <v>#REF!</v>
      </c>
      <c r="F714" s="195" t="e">
        <f>IF(AND(INDEX(inkind[[  ]],$A714)="Junior",INDEX(inkind[Unit price or hourly rate],$A714)&gt;cofunding_junior_rate),$B$186,IF(AND(INDEX(inkind[[  ]],$A714)="Senior",INDEX(inkind[Unit price or hourly rate],$A714)&gt;cofunding_senior_rate),$B$187,""))</f>
        <v>#REF!</v>
      </c>
      <c r="G714" s="195" t="e">
        <f>IF(AND(INDEX(inkind[Name organisation],$A714)="Materials",LEN(INDEX(inkind[[  ]],$A714))&gt;0),$B$184,"")</f>
        <v>#REF!</v>
      </c>
      <c r="H714" s="195" t="e">
        <f>IF(AND(INDEX(inkind[Amount],$A714)&gt;0,LEN(INDEX(inkind[Organisation type],$A714))=0),$B$175,"")</f>
        <v>#REF!</v>
      </c>
      <c r="I714" s="195" t="e">
        <f>IF(AND(INDEX(inkind[Amount],$A714)&gt;0,LEN(INDEX(inkind[Name organisation2],$A714))=0),$B$176,"")</f>
        <v>#REF!</v>
      </c>
    </row>
    <row r="715" spans="1:9" ht="12" customHeight="1" x14ac:dyDescent="0.35">
      <c r="A715" s="372">
        <v>93</v>
      </c>
      <c r="B715" s="195" t="str">
        <f t="array" ref="B715">IFERROR(INDEX(comb_notes_inkind[[#This Row],[Empty line]:[No organisation name]],1,MATCH(TRUE,LEN(comb_notes_inkind[[#This Row],[Empty line]:[No organisation name]])&gt;0,0)),"")</f>
        <v/>
      </c>
      <c r="C715" s="195" t="str">
        <f>IFERROR(IF(AND(LEN(INDEX(inkind[Description],$A715))+LEN(INDEX(inkind[Name organisation],$A715))+LEN(INDEX(inkind[[  ]],$A715))+LEN(INDEX(inkind[Nr of units or Nr of hours],$A715))&gt;0,LEN(INDEX(inkind[Description],$A715-1))+LEN(INDEX(inkind[Name organisation],$A715-1))+LEN(INDEX(inkind[[  ]],$A715-1))+LEN(INDEX(inkind[Nr of units or Nr of hours],$A715-1))=0),$B$127,""),"")</f>
        <v/>
      </c>
      <c r="D715" s="195" t="e">
        <f>IF(AND(INDEX(inkind[Amount],$A715)&gt;0,LEN(INDEX(inkind[Name organisation],$A715))=0,cofunding_inkind_def_rates="yes"),$B$183,"")</f>
        <v>#REF!</v>
      </c>
      <c r="E715" s="195" t="e">
        <f>IF(AND(INDEX(inkind[Amount],$A715)&gt;0,LEN(INDEX(inkind[[  ]],$A715))=0,cofunding_inkind_def_rates="yes"),$B$183,"")</f>
        <v>#REF!</v>
      </c>
      <c r="F715" s="195" t="e">
        <f>IF(AND(INDEX(inkind[[  ]],$A715)="Junior",INDEX(inkind[Unit price or hourly rate],$A715)&gt;cofunding_junior_rate),$B$186,IF(AND(INDEX(inkind[[  ]],$A715)="Senior",INDEX(inkind[Unit price or hourly rate],$A715)&gt;cofunding_senior_rate),$B$187,""))</f>
        <v>#REF!</v>
      </c>
      <c r="G715" s="195" t="e">
        <f>IF(AND(INDEX(inkind[Name organisation],$A715)="Materials",LEN(INDEX(inkind[[  ]],$A715))&gt;0),$B$184,"")</f>
        <v>#REF!</v>
      </c>
      <c r="H715" s="195" t="e">
        <f>IF(AND(INDEX(inkind[Amount],$A715)&gt;0,LEN(INDEX(inkind[Organisation type],$A715))=0),$B$175,"")</f>
        <v>#REF!</v>
      </c>
      <c r="I715" s="195" t="e">
        <f>IF(AND(INDEX(inkind[Amount],$A715)&gt;0,LEN(INDEX(inkind[Name organisation2],$A715))=0),$B$176,"")</f>
        <v>#REF!</v>
      </c>
    </row>
    <row r="716" spans="1:9" ht="12" customHeight="1" x14ac:dyDescent="0.35">
      <c r="A716" s="372">
        <v>94</v>
      </c>
      <c r="B716" s="195" t="str">
        <f t="array" ref="B716">IFERROR(INDEX(comb_notes_inkind[[#This Row],[Empty line]:[No organisation name]],1,MATCH(TRUE,LEN(comb_notes_inkind[[#This Row],[Empty line]:[No organisation name]])&gt;0,0)),"")</f>
        <v/>
      </c>
      <c r="C716" s="195" t="str">
        <f>IFERROR(IF(AND(LEN(INDEX(inkind[Description],$A716))+LEN(INDEX(inkind[Name organisation],$A716))+LEN(INDEX(inkind[[  ]],$A716))+LEN(INDEX(inkind[Nr of units or Nr of hours],$A716))&gt;0,LEN(INDEX(inkind[Description],$A716-1))+LEN(INDEX(inkind[Name organisation],$A716-1))+LEN(INDEX(inkind[[  ]],$A716-1))+LEN(INDEX(inkind[Nr of units or Nr of hours],$A716-1))=0),$B$127,""),"")</f>
        <v/>
      </c>
      <c r="D716" s="195" t="e">
        <f>IF(AND(INDEX(inkind[Amount],$A716)&gt;0,LEN(INDEX(inkind[Name organisation],$A716))=0,cofunding_inkind_def_rates="yes"),$B$183,"")</f>
        <v>#REF!</v>
      </c>
      <c r="E716" s="195" t="e">
        <f>IF(AND(INDEX(inkind[Amount],$A716)&gt;0,LEN(INDEX(inkind[[  ]],$A716))=0,cofunding_inkind_def_rates="yes"),$B$183,"")</f>
        <v>#REF!</v>
      </c>
      <c r="F716" s="195" t="e">
        <f>IF(AND(INDEX(inkind[[  ]],$A716)="Junior",INDEX(inkind[Unit price or hourly rate],$A716)&gt;cofunding_junior_rate),$B$186,IF(AND(INDEX(inkind[[  ]],$A716)="Senior",INDEX(inkind[Unit price or hourly rate],$A716)&gt;cofunding_senior_rate),$B$187,""))</f>
        <v>#REF!</v>
      </c>
      <c r="G716" s="195" t="e">
        <f>IF(AND(INDEX(inkind[Name organisation],$A716)="Materials",LEN(INDEX(inkind[[  ]],$A716))&gt;0),$B$184,"")</f>
        <v>#REF!</v>
      </c>
      <c r="H716" s="195" t="e">
        <f>IF(AND(INDEX(inkind[Amount],$A716)&gt;0,LEN(INDEX(inkind[Organisation type],$A716))=0),$B$175,"")</f>
        <v>#REF!</v>
      </c>
      <c r="I716" s="195" t="e">
        <f>IF(AND(INDEX(inkind[Amount],$A716)&gt;0,LEN(INDEX(inkind[Name organisation2],$A716))=0),$B$176,"")</f>
        <v>#REF!</v>
      </c>
    </row>
    <row r="717" spans="1:9" ht="12" customHeight="1" x14ac:dyDescent="0.35">
      <c r="A717" s="372">
        <v>95</v>
      </c>
      <c r="B717" s="195" t="str">
        <f t="array" ref="B717">IFERROR(INDEX(comb_notes_inkind[[#This Row],[Empty line]:[No organisation name]],1,MATCH(TRUE,LEN(comb_notes_inkind[[#This Row],[Empty line]:[No organisation name]])&gt;0,0)),"")</f>
        <v/>
      </c>
      <c r="C717" s="195" t="str">
        <f>IFERROR(IF(AND(LEN(INDEX(inkind[Description],$A717))+LEN(INDEX(inkind[Name organisation],$A717))+LEN(INDEX(inkind[[  ]],$A717))+LEN(INDEX(inkind[Nr of units or Nr of hours],$A717))&gt;0,LEN(INDEX(inkind[Description],$A717-1))+LEN(INDEX(inkind[Name organisation],$A717-1))+LEN(INDEX(inkind[[  ]],$A717-1))+LEN(INDEX(inkind[Nr of units or Nr of hours],$A717-1))=0),$B$127,""),"")</f>
        <v/>
      </c>
      <c r="D717" s="195" t="e">
        <f>IF(AND(INDEX(inkind[Amount],$A717)&gt;0,LEN(INDEX(inkind[Name organisation],$A717))=0,cofunding_inkind_def_rates="yes"),$B$183,"")</f>
        <v>#REF!</v>
      </c>
      <c r="E717" s="195" t="e">
        <f>IF(AND(INDEX(inkind[Amount],$A717)&gt;0,LEN(INDEX(inkind[[  ]],$A717))=0,cofunding_inkind_def_rates="yes"),$B$183,"")</f>
        <v>#REF!</v>
      </c>
      <c r="F717" s="195" t="e">
        <f>IF(AND(INDEX(inkind[[  ]],$A717)="Junior",INDEX(inkind[Unit price or hourly rate],$A717)&gt;cofunding_junior_rate),$B$186,IF(AND(INDEX(inkind[[  ]],$A717)="Senior",INDEX(inkind[Unit price or hourly rate],$A717)&gt;cofunding_senior_rate),$B$187,""))</f>
        <v>#REF!</v>
      </c>
      <c r="G717" s="195" t="e">
        <f>IF(AND(INDEX(inkind[Name organisation],$A717)="Materials",LEN(INDEX(inkind[[  ]],$A717))&gt;0),$B$184,"")</f>
        <v>#REF!</v>
      </c>
      <c r="H717" s="195" t="e">
        <f>IF(AND(INDEX(inkind[Amount],$A717)&gt;0,LEN(INDEX(inkind[Organisation type],$A717))=0),$B$175,"")</f>
        <v>#REF!</v>
      </c>
      <c r="I717" s="195" t="e">
        <f>IF(AND(INDEX(inkind[Amount],$A717)&gt;0,LEN(INDEX(inkind[Name organisation2],$A717))=0),$B$176,"")</f>
        <v>#REF!</v>
      </c>
    </row>
    <row r="718" spans="1:9" ht="12" customHeight="1" x14ac:dyDescent="0.35">
      <c r="A718" s="372">
        <v>96</v>
      </c>
      <c r="B718" s="195" t="str">
        <f t="array" ref="B718">IFERROR(INDEX(comb_notes_inkind[[#This Row],[Empty line]:[No organisation name]],1,MATCH(TRUE,LEN(comb_notes_inkind[[#This Row],[Empty line]:[No organisation name]])&gt;0,0)),"")</f>
        <v/>
      </c>
      <c r="C718" s="195" t="str">
        <f>IFERROR(IF(AND(LEN(INDEX(inkind[Description],$A718))+LEN(INDEX(inkind[Name organisation],$A718))+LEN(INDEX(inkind[[  ]],$A718))+LEN(INDEX(inkind[Nr of units or Nr of hours],$A718))&gt;0,LEN(INDEX(inkind[Description],$A718-1))+LEN(INDEX(inkind[Name organisation],$A718-1))+LEN(INDEX(inkind[[  ]],$A718-1))+LEN(INDEX(inkind[Nr of units or Nr of hours],$A718-1))=0),$B$127,""),"")</f>
        <v/>
      </c>
      <c r="D718" s="195" t="e">
        <f>IF(AND(INDEX(inkind[Amount],$A718)&gt;0,LEN(INDEX(inkind[Name organisation],$A718))=0,cofunding_inkind_def_rates="yes"),$B$183,"")</f>
        <v>#REF!</v>
      </c>
      <c r="E718" s="195" t="e">
        <f>IF(AND(INDEX(inkind[Amount],$A718)&gt;0,LEN(INDEX(inkind[[  ]],$A718))=0,cofunding_inkind_def_rates="yes"),$B$183,"")</f>
        <v>#REF!</v>
      </c>
      <c r="F718" s="195" t="e">
        <f>IF(AND(INDEX(inkind[[  ]],$A718)="Junior",INDEX(inkind[Unit price or hourly rate],$A718)&gt;cofunding_junior_rate),$B$186,IF(AND(INDEX(inkind[[  ]],$A718)="Senior",INDEX(inkind[Unit price or hourly rate],$A718)&gt;cofunding_senior_rate),$B$187,""))</f>
        <v>#REF!</v>
      </c>
      <c r="G718" s="195" t="e">
        <f>IF(AND(INDEX(inkind[Name organisation],$A718)="Materials",LEN(INDEX(inkind[[  ]],$A718))&gt;0),$B$184,"")</f>
        <v>#REF!</v>
      </c>
      <c r="H718" s="195" t="e">
        <f>IF(AND(INDEX(inkind[Amount],$A718)&gt;0,LEN(INDEX(inkind[Organisation type],$A718))=0),$B$175,"")</f>
        <v>#REF!</v>
      </c>
      <c r="I718" s="195" t="e">
        <f>IF(AND(INDEX(inkind[Amount],$A718)&gt;0,LEN(INDEX(inkind[Name organisation2],$A718))=0),$B$176,"")</f>
        <v>#REF!</v>
      </c>
    </row>
    <row r="719" spans="1:9" ht="12" customHeight="1" x14ac:dyDescent="0.35">
      <c r="A719" s="372">
        <v>97</v>
      </c>
      <c r="B719" s="195" t="str">
        <f t="array" ref="B719">IFERROR(INDEX(comb_notes_inkind[[#This Row],[Empty line]:[No organisation name]],1,MATCH(TRUE,LEN(comb_notes_inkind[[#This Row],[Empty line]:[No organisation name]])&gt;0,0)),"")</f>
        <v/>
      </c>
      <c r="C719" s="195" t="str">
        <f>IFERROR(IF(AND(LEN(INDEX(inkind[Description],$A719))+LEN(INDEX(inkind[Name organisation],$A719))+LEN(INDEX(inkind[[  ]],$A719))+LEN(INDEX(inkind[Nr of units or Nr of hours],$A719))&gt;0,LEN(INDEX(inkind[Description],$A719-1))+LEN(INDEX(inkind[Name organisation],$A719-1))+LEN(INDEX(inkind[[  ]],$A719-1))+LEN(INDEX(inkind[Nr of units or Nr of hours],$A719-1))=0),$B$127,""),"")</f>
        <v/>
      </c>
      <c r="D719" s="195" t="e">
        <f>IF(AND(INDEX(inkind[Amount],$A719)&gt;0,LEN(INDEX(inkind[Name organisation],$A719))=0,cofunding_inkind_def_rates="yes"),$B$183,"")</f>
        <v>#REF!</v>
      </c>
      <c r="E719" s="195" t="e">
        <f>IF(AND(INDEX(inkind[Amount],$A719)&gt;0,LEN(INDEX(inkind[[  ]],$A719))=0,cofunding_inkind_def_rates="yes"),$B$183,"")</f>
        <v>#REF!</v>
      </c>
      <c r="F719" s="195" t="e">
        <f>IF(AND(INDEX(inkind[[  ]],$A719)="Junior",INDEX(inkind[Unit price or hourly rate],$A719)&gt;cofunding_junior_rate),$B$186,IF(AND(INDEX(inkind[[  ]],$A719)="Senior",INDEX(inkind[Unit price or hourly rate],$A719)&gt;cofunding_senior_rate),$B$187,""))</f>
        <v>#REF!</v>
      </c>
      <c r="G719" s="195" t="e">
        <f>IF(AND(INDEX(inkind[Name organisation],$A719)="Materials",LEN(INDEX(inkind[[  ]],$A719))&gt;0),$B$184,"")</f>
        <v>#REF!</v>
      </c>
      <c r="H719" s="195" t="e">
        <f>IF(AND(INDEX(inkind[Amount],$A719)&gt;0,LEN(INDEX(inkind[Organisation type],$A719))=0),$B$175,"")</f>
        <v>#REF!</v>
      </c>
      <c r="I719" s="195" t="e">
        <f>IF(AND(INDEX(inkind[Amount],$A719)&gt;0,LEN(INDEX(inkind[Name organisation2],$A719))=0),$B$176,"")</f>
        <v>#REF!</v>
      </c>
    </row>
    <row r="720" spans="1:9" ht="12" customHeight="1" x14ac:dyDescent="0.35">
      <c r="A720" s="372">
        <v>98</v>
      </c>
      <c r="B720" s="195" t="str">
        <f t="array" ref="B720">IFERROR(INDEX(comb_notes_inkind[[#This Row],[Empty line]:[No organisation name]],1,MATCH(TRUE,LEN(comb_notes_inkind[[#This Row],[Empty line]:[No organisation name]])&gt;0,0)),"")</f>
        <v/>
      </c>
      <c r="C720" s="195" t="str">
        <f>IFERROR(IF(AND(LEN(INDEX(inkind[Description],$A720))+LEN(INDEX(inkind[Name organisation],$A720))+LEN(INDEX(inkind[[  ]],$A720))+LEN(INDEX(inkind[Nr of units or Nr of hours],$A720))&gt;0,LEN(INDEX(inkind[Description],$A720-1))+LEN(INDEX(inkind[Name organisation],$A720-1))+LEN(INDEX(inkind[[  ]],$A720-1))+LEN(INDEX(inkind[Nr of units or Nr of hours],$A720-1))=0),$B$127,""),"")</f>
        <v/>
      </c>
      <c r="D720" s="195" t="e">
        <f>IF(AND(INDEX(inkind[Amount],$A720)&gt;0,LEN(INDEX(inkind[Name organisation],$A720))=0,cofunding_inkind_def_rates="yes"),$B$183,"")</f>
        <v>#REF!</v>
      </c>
      <c r="E720" s="195" t="e">
        <f>IF(AND(INDEX(inkind[Amount],$A720)&gt;0,LEN(INDEX(inkind[[  ]],$A720))=0,cofunding_inkind_def_rates="yes"),$B$183,"")</f>
        <v>#REF!</v>
      </c>
      <c r="F720" s="195" t="e">
        <f>IF(AND(INDEX(inkind[[  ]],$A720)="Junior",INDEX(inkind[Unit price or hourly rate],$A720)&gt;cofunding_junior_rate),$B$186,IF(AND(INDEX(inkind[[  ]],$A720)="Senior",INDEX(inkind[Unit price or hourly rate],$A720)&gt;cofunding_senior_rate),$B$187,""))</f>
        <v>#REF!</v>
      </c>
      <c r="G720" s="195" t="e">
        <f>IF(AND(INDEX(inkind[Name organisation],$A720)="Materials",LEN(INDEX(inkind[[  ]],$A720))&gt;0),$B$184,"")</f>
        <v>#REF!</v>
      </c>
      <c r="H720" s="195" t="e">
        <f>IF(AND(INDEX(inkind[Amount],$A720)&gt;0,LEN(INDEX(inkind[Organisation type],$A720))=0),$B$175,"")</f>
        <v>#REF!</v>
      </c>
      <c r="I720" s="195" t="e">
        <f>IF(AND(INDEX(inkind[Amount],$A720)&gt;0,LEN(INDEX(inkind[Name organisation2],$A720))=0),$B$176,"")</f>
        <v>#REF!</v>
      </c>
    </row>
    <row r="721" spans="1:9" ht="12" customHeight="1" x14ac:dyDescent="0.35">
      <c r="A721" s="372">
        <v>99</v>
      </c>
      <c r="B721" s="195" t="str">
        <f t="array" ref="B721">IFERROR(INDEX(comb_notes_inkind[[#This Row],[Empty line]:[No organisation name]],1,MATCH(TRUE,LEN(comb_notes_inkind[[#This Row],[Empty line]:[No organisation name]])&gt;0,0)),"")</f>
        <v/>
      </c>
      <c r="C721" s="195" t="str">
        <f>IFERROR(IF(AND(LEN(INDEX(inkind[Description],$A721))+LEN(INDEX(inkind[Name organisation],$A721))+LEN(INDEX(inkind[[  ]],$A721))+LEN(INDEX(inkind[Nr of units or Nr of hours],$A721))&gt;0,LEN(INDEX(inkind[Description],$A721-1))+LEN(INDEX(inkind[Name organisation],$A721-1))+LEN(INDEX(inkind[[  ]],$A721-1))+LEN(INDEX(inkind[Nr of units or Nr of hours],$A721-1))=0),$B$127,""),"")</f>
        <v/>
      </c>
      <c r="D721" s="195" t="e">
        <f>IF(AND(INDEX(inkind[Amount],$A721)&gt;0,LEN(INDEX(inkind[Name organisation],$A721))=0,cofunding_inkind_def_rates="yes"),$B$183,"")</f>
        <v>#REF!</v>
      </c>
      <c r="E721" s="195" t="e">
        <f>IF(AND(INDEX(inkind[Amount],$A721)&gt;0,LEN(INDEX(inkind[[  ]],$A721))=0,cofunding_inkind_def_rates="yes"),$B$183,"")</f>
        <v>#REF!</v>
      </c>
      <c r="F721" s="195" t="e">
        <f>IF(AND(INDEX(inkind[[  ]],$A721)="Junior",INDEX(inkind[Unit price or hourly rate],$A721)&gt;cofunding_junior_rate),$B$186,IF(AND(INDEX(inkind[[  ]],$A721)="Senior",INDEX(inkind[Unit price or hourly rate],$A721)&gt;cofunding_senior_rate),$B$187,""))</f>
        <v>#REF!</v>
      </c>
      <c r="G721" s="195" t="e">
        <f>IF(AND(INDEX(inkind[Name organisation],$A721)="Materials",LEN(INDEX(inkind[[  ]],$A721))&gt;0),$B$184,"")</f>
        <v>#REF!</v>
      </c>
      <c r="H721" s="195" t="e">
        <f>IF(AND(INDEX(inkind[Amount],$A721)&gt;0,LEN(INDEX(inkind[Organisation type],$A721))=0),$B$175,"")</f>
        <v>#REF!</v>
      </c>
      <c r="I721" s="195" t="e">
        <f>IF(AND(INDEX(inkind[Amount],$A721)&gt;0,LEN(INDEX(inkind[Name organisation2],$A721))=0),$B$176,"")</f>
        <v>#REF!</v>
      </c>
    </row>
    <row r="722" spans="1:9" ht="12" customHeight="1" x14ac:dyDescent="0.35">
      <c r="A722" s="372">
        <v>100</v>
      </c>
      <c r="B722" s="195" t="str">
        <f t="array" ref="B722">IFERROR(INDEX(comb_notes_inkind[[#This Row],[Empty line]:[No organisation name]],1,MATCH(TRUE,LEN(comb_notes_inkind[[#This Row],[Empty line]:[No organisation name]])&gt;0,0)),"")</f>
        <v/>
      </c>
      <c r="C722" s="195" t="str">
        <f>IFERROR(IF(AND(LEN(INDEX(inkind[Description],$A722))+LEN(INDEX(inkind[Name organisation],$A722))+LEN(INDEX(inkind[[  ]],$A722))+LEN(INDEX(inkind[Nr of units or Nr of hours],$A722))&gt;0,LEN(INDEX(inkind[Description],$A722-1))+LEN(INDEX(inkind[Name organisation],$A722-1))+LEN(INDEX(inkind[[  ]],$A722-1))+LEN(INDEX(inkind[Nr of units or Nr of hours],$A722-1))=0),$B$127,""),"")</f>
        <v/>
      </c>
      <c r="D722" s="195" t="e">
        <f>IF(AND(INDEX(inkind[Amount],$A722)&gt;0,LEN(INDEX(inkind[Name organisation],$A722))=0,cofunding_inkind_def_rates="yes"),$B$183,"")</f>
        <v>#REF!</v>
      </c>
      <c r="E722" s="195" t="e">
        <f>IF(AND(INDEX(inkind[Amount],$A722)&gt;0,LEN(INDEX(inkind[[  ]],$A722))=0,cofunding_inkind_def_rates="yes"),$B$183,"")</f>
        <v>#REF!</v>
      </c>
      <c r="F722" s="195" t="e">
        <f>IF(AND(INDEX(inkind[[  ]],$A722)="Junior",INDEX(inkind[Unit price or hourly rate],$A722)&gt;cofunding_junior_rate),$B$186,IF(AND(INDEX(inkind[[  ]],$A722)="Senior",INDEX(inkind[Unit price or hourly rate],$A722)&gt;cofunding_senior_rate),$B$187,""))</f>
        <v>#REF!</v>
      </c>
      <c r="G722" s="195" t="e">
        <f>IF(AND(INDEX(inkind[Name organisation],$A722)="Materials",LEN(INDEX(inkind[[  ]],$A722))&gt;0),$B$184,"")</f>
        <v>#REF!</v>
      </c>
      <c r="H722" s="195" t="e">
        <f>IF(AND(INDEX(inkind[Amount],$A722)&gt;0,LEN(INDEX(inkind[Organisation type],$A722))=0),$B$175,"")</f>
        <v>#REF!</v>
      </c>
      <c r="I722" s="195" t="e">
        <f>IF(AND(INDEX(inkind[Amount],$A722)&gt;0,LEN(INDEX(inkind[Name organisation2],$A722))=0),$B$176,"")</f>
        <v>#REF!</v>
      </c>
    </row>
    <row r="723" spans="1:9" ht="12" customHeight="1" x14ac:dyDescent="0.45">
      <c r="A723" s="196"/>
    </row>
    <row r="724" spans="1:9" ht="12" customHeight="1" x14ac:dyDescent="0.45">
      <c r="A724" s="196"/>
    </row>
    <row r="725" spans="1:9" ht="12" customHeight="1" x14ac:dyDescent="0.45">
      <c r="A725" s="196"/>
    </row>
    <row r="726" spans="1:9" ht="12" customHeight="1" x14ac:dyDescent="0.45">
      <c r="A726" s="196"/>
    </row>
    <row r="727" spans="1:9" ht="12" customHeight="1" x14ac:dyDescent="0.35"/>
    <row r="728" spans="1:9" ht="12" customHeight="1" x14ac:dyDescent="0.35"/>
    <row r="729" spans="1:9" ht="12" customHeight="1" x14ac:dyDescent="0.35"/>
    <row r="730" spans="1:9" ht="12" customHeight="1" x14ac:dyDescent="0.35"/>
    <row r="731" spans="1:9" ht="12" customHeight="1" x14ac:dyDescent="0.35"/>
    <row r="732" spans="1:9" ht="12" customHeight="1" x14ac:dyDescent="0.35"/>
    <row r="733" spans="1:9" ht="12" customHeight="1" x14ac:dyDescent="0.35"/>
    <row r="734" spans="1:9" ht="12" customHeight="1" x14ac:dyDescent="0.35"/>
    <row r="735" spans="1:9" ht="12" customHeight="1" x14ac:dyDescent="0.35"/>
    <row r="736" spans="1:9" ht="12" customHeight="1" x14ac:dyDescent="0.35"/>
    <row r="737" spans="1:5" ht="12" customHeight="1" x14ac:dyDescent="0.35"/>
    <row r="738" spans="1:5" ht="12" customHeight="1" x14ac:dyDescent="0.35"/>
    <row r="739" spans="1:5" ht="12" customHeight="1" x14ac:dyDescent="0.35"/>
    <row r="740" spans="1:5" ht="12" customHeight="1" x14ac:dyDescent="0.35"/>
    <row r="741" spans="1:5" ht="12" customHeight="1" x14ac:dyDescent="0.35"/>
    <row r="742" spans="1:5" ht="18.5" x14ac:dyDescent="0.45">
      <c r="A742" s="196" t="s">
        <v>760</v>
      </c>
    </row>
    <row r="744" spans="1:5" x14ac:dyDescent="0.35">
      <c r="A744" s="195" t="s">
        <v>592</v>
      </c>
      <c r="B744" s="195" t="s">
        <v>761</v>
      </c>
      <c r="C744" s="195" t="s">
        <v>762</v>
      </c>
      <c r="D744" s="195" t="s">
        <v>764</v>
      </c>
      <c r="E744" s="195" t="s">
        <v>763</v>
      </c>
    </row>
    <row r="745" spans="1:5" x14ac:dyDescent="0.35">
      <c r="A745" s="195" t="str">
        <f ca="1">cofunding_comb_notes[too less - no threshold]&amp;cofunding_comb_notes[too less - incl threshold]&amp;cofunding_comb_notes[private part too low]&amp;cofunding_comb_notes[too much]</f>
        <v/>
      </c>
      <c r="B745" s="195" t="str">
        <f ca="1">IF(AND(cofunding_threshold=0,Total_cofunding&lt;cofunding_min_perc*Total_project_budget),$B$190,"")</f>
        <v/>
      </c>
      <c r="C745" s="195" t="str">
        <f ca="1">IF(AND(cofunding_threshold&gt;0,Total_cofunding&lt;cofunding_min_perc*(Total_project_budget-cofunding_threshold)),$B$189,"")</f>
        <v/>
      </c>
      <c r="D745" s="195" t="str">
        <f ca="1">IFERROR(IF(AND(total_private_cof&lt;cofunding_private_minperc*Total_project_budget,cofunding_comb_notes[too less - no threshold]="",cofunding_comb_notes[too less - incl threshold]=""),$B$191,""),"")</f>
        <v/>
      </c>
      <c r="E745" s="195" t="str">
        <f ca="1">IF(Total_cofunding&gt;cofunding_max_perc*Total_project_budget,B192,"")</f>
        <v/>
      </c>
    </row>
  </sheetData>
  <sheetProtection algorithmName="SHA-512" hashValue="TPjZd31IbjDE38EuvYqUNVFr0BFPQ7zIy0ZjHYHRJ7PkkPN7rdt/FkKk2dTk66AwJdHk0xoUVzmm5H61YvgkRg==" saltValue="IPELFUAgAN2fFA1vrnC7rw==" spinCount="100000" sheet="1" objects="1" scenarios="1"/>
  <pageMargins left="0.7" right="0.7" top="0.75" bottom="0.75" header="0.3" footer="0.3"/>
  <pageSetup paperSize="9" orientation="portrait" horizontalDpi="1200" verticalDpi="12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115</vt:i4>
      </vt:variant>
    </vt:vector>
  </HeadingPairs>
  <TitlesOfParts>
    <vt:vector size="119" baseType="lpstr">
      <vt:lpstr>Summary</vt:lpstr>
      <vt:lpstr>Budget</vt:lpstr>
      <vt:lpstr>parameters</vt:lpstr>
      <vt:lpstr>checks</vt:lpstr>
      <vt:lpstr>Budget!Afdrukbereik</vt:lpstr>
      <vt:lpstr>benchfee_amount</vt:lpstr>
      <vt:lpstr>callnaam</vt:lpstr>
      <vt:lpstr>cash_cofunding_minperc</vt:lpstr>
      <vt:lpstr>cash_invoice</vt:lpstr>
      <vt:lpstr>categories_pers_ac</vt:lpstr>
      <vt:lpstr>CfP_tariffs_other_inst</vt:lpstr>
      <vt:lpstr>cofunding_inkind_def_rates</vt:lpstr>
      <vt:lpstr>cofunding_junior_rate</vt:lpstr>
      <vt:lpstr>cofunding_max_perc</vt:lpstr>
      <vt:lpstr>cofunding_min_perc</vt:lpstr>
      <vt:lpstr>cofunding_perc</vt:lpstr>
      <vt:lpstr>cofunding_private_minperc</vt:lpstr>
      <vt:lpstr>cofunding_senior_rate</vt:lpstr>
      <vt:lpstr>cofunding_threshold</vt:lpstr>
      <vt:lpstr>date</vt:lpstr>
      <vt:lpstr>empty_lines</vt:lpstr>
      <vt:lpstr>file_creation_date</vt:lpstr>
      <vt:lpstr>File_number</vt:lpstr>
      <vt:lpstr>footer_MFC</vt:lpstr>
      <vt:lpstr>FTE_year_PhD_PD</vt:lpstr>
      <vt:lpstr>header_MfC</vt:lpstr>
      <vt:lpstr>HOT_rate_type</vt:lpstr>
      <vt:lpstr>HOT_rates</vt:lpstr>
      <vt:lpstr>Int_maxamount</vt:lpstr>
      <vt:lpstr>Int_maxamount_perc</vt:lpstr>
      <vt:lpstr>Int_MfC_maxamount</vt:lpstr>
      <vt:lpstr>Int_MfC_maxperc</vt:lpstr>
      <vt:lpstr>inv_max_total_amount</vt:lpstr>
      <vt:lpstr>inv_min_perc_own_contr</vt:lpstr>
      <vt:lpstr>inv_min_total_amount</vt:lpstr>
      <vt:lpstr>inv_own_contribution</vt:lpstr>
      <vt:lpstr>KU_entrepeneurship_max_amount</vt:lpstr>
      <vt:lpstr>KU_entrepeneurship_minperc</vt:lpstr>
      <vt:lpstr>KU_max_amount</vt:lpstr>
      <vt:lpstr>KU_maxperc</vt:lpstr>
      <vt:lpstr>KU_minperc</vt:lpstr>
      <vt:lpstr>list_ac_other_combined</vt:lpstr>
      <vt:lpstr>list_academic_personnel</vt:lpstr>
      <vt:lpstr>list_kind_cash_cofunding</vt:lpstr>
      <vt:lpstr>list_personnel_other_inst</vt:lpstr>
      <vt:lpstr>Main_applicant</vt:lpstr>
      <vt:lpstr>mat_cleanroom_maxamount</vt:lpstr>
      <vt:lpstr>mat_cleanroom_minamount</vt:lpstr>
      <vt:lpstr>mat_costs_accountant</vt:lpstr>
      <vt:lpstr>Mat_max_FTE_year</vt:lpstr>
      <vt:lpstr>Mat_max_FTE_year_other_inst</vt:lpstr>
      <vt:lpstr>Max_mat_FTE_year</vt:lpstr>
      <vt:lpstr>Max_NWO_funding</vt:lpstr>
      <vt:lpstr>max_NWO_funding_with_inv_nature</vt:lpstr>
      <vt:lpstr>max_NWO_funding_wo_inv_nature</vt:lpstr>
      <vt:lpstr>Max_project_duration</vt:lpstr>
      <vt:lpstr>MfC_maxamount</vt:lpstr>
      <vt:lpstr>MfC_maxperc</vt:lpstr>
      <vt:lpstr>Min_NWO_funding</vt:lpstr>
      <vt:lpstr>NFU_rates</vt:lpstr>
      <vt:lpstr>notes</vt:lpstr>
      <vt:lpstr>organisation_name</vt:lpstr>
      <vt:lpstr>organisation_type</vt:lpstr>
      <vt:lpstr>pers_3yPhD_min_months</vt:lpstr>
      <vt:lpstr>pers_leave_maxduration</vt:lpstr>
      <vt:lpstr>pers_leave_maxperc</vt:lpstr>
      <vt:lpstr>pers_max_NSP</vt:lpstr>
      <vt:lpstr>pers_max_OSP</vt:lpstr>
      <vt:lpstr>pers_NSP_max_months</vt:lpstr>
      <vt:lpstr>pers_NSP_min_months</vt:lpstr>
      <vt:lpstr>pers_oi_min_months</vt:lpstr>
      <vt:lpstr>pers_oi_minFTE</vt:lpstr>
      <vt:lpstr>pers_OSP_max_months</vt:lpstr>
      <vt:lpstr>pers_OSP_min_months</vt:lpstr>
      <vt:lpstr>pers_other_nrhours_year</vt:lpstr>
      <vt:lpstr>pers_other_years_materials</vt:lpstr>
      <vt:lpstr>pers_PD_max_months</vt:lpstr>
      <vt:lpstr>pers_PD_min_months</vt:lpstr>
      <vt:lpstr>pers_PDEng_max_months</vt:lpstr>
      <vt:lpstr>pers_PhD_max_months</vt:lpstr>
      <vt:lpstr>pers_PhD_min_months</vt:lpstr>
      <vt:lpstr>prog_mngmt_max_amount_perc</vt:lpstr>
      <vt:lpstr>prog_mngmt_threshold_amount</vt:lpstr>
      <vt:lpstr>Project_title</vt:lpstr>
      <vt:lpstr>Research_leave_FTE_months</vt:lpstr>
      <vt:lpstr>row_cofunding</vt:lpstr>
      <vt:lpstr>threshold_inv_nature</vt:lpstr>
      <vt:lpstr>threshold_own_contribution</vt:lpstr>
      <vt:lpstr>Total_benchfee</vt:lpstr>
      <vt:lpstr>Total_cash_via_NWO</vt:lpstr>
      <vt:lpstr>Total_cleanroom</vt:lpstr>
      <vt:lpstr>Total_cofunding</vt:lpstr>
      <vt:lpstr>Total_cofunding_incash</vt:lpstr>
      <vt:lpstr>Total_cofunding_inkind</vt:lpstr>
      <vt:lpstr>Total_Fin_NWO</vt:lpstr>
      <vt:lpstr>Total_goods_services</vt:lpstr>
      <vt:lpstr>Total_implementation</vt:lpstr>
      <vt:lpstr>Total_incash_cofunding</vt:lpstr>
      <vt:lpstr>Total_internationalisation</vt:lpstr>
      <vt:lpstr>Total_investments</vt:lpstr>
      <vt:lpstr>Total_investments_small</vt:lpstr>
      <vt:lpstr>Total_Knowledge_utilisation</vt:lpstr>
      <vt:lpstr>Total_KU_and_entrepeneurship</vt:lpstr>
      <vt:lpstr>Total_material_costs</vt:lpstr>
      <vt:lpstr>Total_MfC</vt:lpstr>
      <vt:lpstr>Total_MfC_materials</vt:lpstr>
      <vt:lpstr>Total_MfC_pers_ac_inst</vt:lpstr>
      <vt:lpstr>Total_NSP</vt:lpstr>
      <vt:lpstr>Total_NWO_funding</vt:lpstr>
      <vt:lpstr>Total_OSP</vt:lpstr>
      <vt:lpstr>Total_personnel_ac_institutes</vt:lpstr>
      <vt:lpstr>Total_personnel_costs</vt:lpstr>
      <vt:lpstr>total_private_cof</vt:lpstr>
      <vt:lpstr>total_private_cof_incash</vt:lpstr>
      <vt:lpstr>total_private_cof_inkind</vt:lpstr>
      <vt:lpstr>Total_project_budget</vt:lpstr>
      <vt:lpstr>Total_resources</vt:lpstr>
      <vt:lpstr>Total_travel_acc</vt:lpstr>
      <vt:lpstr>VSNU_rates</vt:lpstr>
    </vt:vector>
  </TitlesOfParts>
  <Company>NWO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NWO</dc:creator>
  <cp:lastModifiedBy>Fijneman, R. [Remco]</cp:lastModifiedBy>
  <cp:lastPrinted>2022-12-23T09:46:23Z</cp:lastPrinted>
  <dcterms:created xsi:type="dcterms:W3CDTF">2018-07-26T13:21:23Z</dcterms:created>
  <dcterms:modified xsi:type="dcterms:W3CDTF">2024-01-18T13:33:17Z</dcterms:modified>
</cp:coreProperties>
</file>