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Антон\Dropbox\itmo\3\Modeling\2\"/>
    </mc:Choice>
  </mc:AlternateContent>
  <xr:revisionPtr revIDLastSave="0" documentId="13_ncr:1_{F73D0DF2-DAD3-4DD1-BEF6-0EFC42A2B810}" xr6:coauthVersionLast="45" xr6:coauthVersionMax="45" xr10:uidLastSave="{00000000-0000-0000-0000-000000000000}"/>
  <bookViews>
    <workbookView xWindow="-113" yWindow="-113" windowWidth="24267" windowHeight="13148" tabRatio="669" activeTab="6" xr2:uid="{EEA9B4AE-79ED-459F-AD37-F24658096389}"/>
  </bookViews>
  <sheets>
    <sheet name="data" sheetId="1" r:id="rId1"/>
    <sheet name="storages 7 (expd)" sheetId="2" r:id="rId2"/>
    <sheet name="storages 14 (expd)" sheetId="3" r:id="rId3"/>
    <sheet name="storages 1 (expd)" sheetId="4" r:id="rId4"/>
    <sheet name="storages 7 (det.uni)" sheetId="6" r:id="rId5"/>
    <sheet name="storages 14 (det.uni)" sheetId="7" r:id="rId6"/>
    <sheet name="storages  1 (det.uni)" sheetId="5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8" i="2" l="1"/>
  <c r="C33" i="2" s="1"/>
  <c r="E38" i="3"/>
  <c r="C38" i="2"/>
  <c r="I28" i="2"/>
  <c r="H45" i="5" l="1"/>
  <c r="G45" i="5"/>
  <c r="F45" i="5"/>
  <c r="E45" i="5"/>
  <c r="D45" i="5"/>
  <c r="C45" i="5"/>
  <c r="H44" i="5"/>
  <c r="G44" i="5"/>
  <c r="F44" i="5"/>
  <c r="E44" i="5"/>
  <c r="D44" i="5"/>
  <c r="C44" i="5"/>
  <c r="J43" i="5"/>
  <c r="I43" i="5"/>
  <c r="H43" i="5"/>
  <c r="G43" i="5"/>
  <c r="F43" i="5"/>
  <c r="E43" i="5"/>
  <c r="D43" i="5"/>
  <c r="C43" i="5"/>
  <c r="G49" i="5"/>
  <c r="F49" i="5"/>
  <c r="E49" i="5"/>
  <c r="D49" i="5"/>
  <c r="C49" i="5"/>
  <c r="H48" i="5"/>
  <c r="G48" i="5"/>
  <c r="F48" i="5"/>
  <c r="E48" i="5"/>
  <c r="D48" i="5"/>
  <c r="C48" i="5"/>
  <c r="J47" i="5"/>
  <c r="I47" i="5"/>
  <c r="G47" i="5"/>
  <c r="F47" i="5"/>
  <c r="E47" i="5"/>
  <c r="D47" i="5"/>
  <c r="C47" i="5"/>
  <c r="H35" i="5"/>
  <c r="G35" i="5"/>
  <c r="F35" i="5"/>
  <c r="E35" i="5"/>
  <c r="D35" i="5"/>
  <c r="C35" i="5"/>
  <c r="H34" i="5"/>
  <c r="G34" i="5"/>
  <c r="F34" i="5"/>
  <c r="E34" i="5"/>
  <c r="D34" i="5"/>
  <c r="C34" i="5"/>
  <c r="J33" i="5"/>
  <c r="I33" i="5"/>
  <c r="H33" i="5"/>
  <c r="G33" i="5"/>
  <c r="F33" i="5"/>
  <c r="E33" i="5"/>
  <c r="D33" i="5"/>
  <c r="C33" i="5"/>
  <c r="L29" i="5"/>
  <c r="O28" i="5"/>
  <c r="D30" i="5" s="1"/>
  <c r="N28" i="5"/>
  <c r="J28" i="5" s="1"/>
  <c r="I28" i="5"/>
  <c r="F28" i="5"/>
  <c r="G28" i="5"/>
  <c r="E28" i="5"/>
  <c r="H30" i="5"/>
  <c r="G30" i="5"/>
  <c r="H29" i="5"/>
  <c r="G29" i="5"/>
  <c r="L28" i="5"/>
  <c r="K28" i="5"/>
  <c r="D28" i="5"/>
  <c r="L24" i="5"/>
  <c r="O23" i="5"/>
  <c r="D24" i="5" s="1"/>
  <c r="N23" i="5"/>
  <c r="J23" i="5" s="1"/>
  <c r="I23" i="5"/>
  <c r="F23" i="5"/>
  <c r="G23" i="5"/>
  <c r="E23" i="5"/>
  <c r="H25" i="5"/>
  <c r="G25" i="5"/>
  <c r="D25" i="5"/>
  <c r="H24" i="5"/>
  <c r="G24" i="5"/>
  <c r="L23" i="5"/>
  <c r="K23" i="5"/>
  <c r="D23" i="5"/>
  <c r="D3" i="5"/>
  <c r="D18" i="5"/>
  <c r="D13" i="5"/>
  <c r="L19" i="5"/>
  <c r="O18" i="5"/>
  <c r="D20" i="5" s="1"/>
  <c r="N18" i="5"/>
  <c r="I18" i="5"/>
  <c r="F18" i="5"/>
  <c r="G18" i="5"/>
  <c r="E18" i="5"/>
  <c r="H20" i="5"/>
  <c r="G20" i="5"/>
  <c r="H19" i="5"/>
  <c r="G19" i="5"/>
  <c r="L18" i="5"/>
  <c r="K18" i="5"/>
  <c r="J18" i="5"/>
  <c r="O13" i="5"/>
  <c r="D15" i="5" s="1"/>
  <c r="N13" i="5"/>
  <c r="J13" i="5" s="1"/>
  <c r="I13" i="5"/>
  <c r="G13" i="5"/>
  <c r="E13" i="5"/>
  <c r="H15" i="5"/>
  <c r="G15" i="5"/>
  <c r="H14" i="5"/>
  <c r="G14" i="5"/>
  <c r="L13" i="5"/>
  <c r="K13" i="5"/>
  <c r="O8" i="5"/>
  <c r="D9" i="5" s="1"/>
  <c r="N8" i="5"/>
  <c r="I8" i="5"/>
  <c r="G8" i="5"/>
  <c r="E8" i="5"/>
  <c r="D47" i="4"/>
  <c r="D28" i="4"/>
  <c r="D23" i="4"/>
  <c r="D18" i="4"/>
  <c r="D13" i="4"/>
  <c r="D8" i="4"/>
  <c r="D8" i="5"/>
  <c r="H45" i="7"/>
  <c r="G45" i="7"/>
  <c r="F45" i="7"/>
  <c r="E45" i="7"/>
  <c r="D45" i="7"/>
  <c r="C45" i="7"/>
  <c r="H44" i="7"/>
  <c r="G44" i="7"/>
  <c r="F44" i="7"/>
  <c r="E44" i="7"/>
  <c r="D44" i="7"/>
  <c r="C44" i="7"/>
  <c r="J43" i="7"/>
  <c r="I43" i="7"/>
  <c r="H43" i="7"/>
  <c r="G43" i="7"/>
  <c r="F43" i="7"/>
  <c r="E43" i="7"/>
  <c r="D43" i="7"/>
  <c r="C43" i="7"/>
  <c r="H49" i="7"/>
  <c r="G49" i="7"/>
  <c r="F49" i="7"/>
  <c r="E49" i="7"/>
  <c r="D49" i="7"/>
  <c r="H48" i="7"/>
  <c r="G48" i="7"/>
  <c r="F48" i="7"/>
  <c r="E48" i="7"/>
  <c r="D48" i="7"/>
  <c r="J47" i="7"/>
  <c r="I47" i="7"/>
  <c r="G47" i="7"/>
  <c r="F47" i="7"/>
  <c r="E47" i="7"/>
  <c r="D47" i="7"/>
  <c r="C47" i="7"/>
  <c r="H35" i="7"/>
  <c r="G35" i="7"/>
  <c r="F35" i="7"/>
  <c r="E35" i="7"/>
  <c r="D35" i="7"/>
  <c r="C35" i="7"/>
  <c r="H34" i="7"/>
  <c r="G34" i="7"/>
  <c r="F34" i="7"/>
  <c r="E34" i="7"/>
  <c r="D34" i="7"/>
  <c r="C34" i="7"/>
  <c r="J33" i="7"/>
  <c r="I33" i="7"/>
  <c r="H33" i="7"/>
  <c r="G33" i="7"/>
  <c r="F33" i="7"/>
  <c r="E33" i="7"/>
  <c r="D33" i="7"/>
  <c r="C33" i="7"/>
  <c r="O28" i="7"/>
  <c r="D29" i="7" s="1"/>
  <c r="H30" i="7"/>
  <c r="G30" i="7"/>
  <c r="H29" i="7"/>
  <c r="G29" i="7"/>
  <c r="L28" i="7"/>
  <c r="K28" i="7"/>
  <c r="J28" i="7"/>
  <c r="D28" i="7"/>
  <c r="O23" i="7"/>
  <c r="D24" i="7" s="1"/>
  <c r="H25" i="7"/>
  <c r="G25" i="7"/>
  <c r="H24" i="7"/>
  <c r="G24" i="7"/>
  <c r="L23" i="7"/>
  <c r="K23" i="7"/>
  <c r="J23" i="7"/>
  <c r="D23" i="7"/>
  <c r="O18" i="7"/>
  <c r="D19" i="7" s="1"/>
  <c r="H20" i="7"/>
  <c r="G20" i="7"/>
  <c r="H19" i="7"/>
  <c r="G19" i="7"/>
  <c r="L18" i="7"/>
  <c r="K18" i="7"/>
  <c r="J18" i="7"/>
  <c r="D18" i="7"/>
  <c r="O13" i="7"/>
  <c r="D14" i="7" s="1"/>
  <c r="H15" i="7"/>
  <c r="G15" i="7"/>
  <c r="H14" i="7"/>
  <c r="G14" i="7"/>
  <c r="L13" i="7"/>
  <c r="K13" i="7"/>
  <c r="J13" i="7"/>
  <c r="D13" i="7"/>
  <c r="O8" i="7"/>
  <c r="D9" i="7" s="1"/>
  <c r="D8" i="7"/>
  <c r="H10" i="7"/>
  <c r="G10" i="7"/>
  <c r="H9" i="7"/>
  <c r="G9" i="7"/>
  <c r="L8" i="7"/>
  <c r="K8" i="7"/>
  <c r="J8" i="7"/>
  <c r="H5" i="7"/>
  <c r="G5" i="7"/>
  <c r="D5" i="7"/>
  <c r="H4" i="7"/>
  <c r="G4" i="7"/>
  <c r="D4" i="7"/>
  <c r="L3" i="7"/>
  <c r="K3" i="7"/>
  <c r="J3" i="7"/>
  <c r="D3" i="7"/>
  <c r="H45" i="6"/>
  <c r="G45" i="6"/>
  <c r="F45" i="6"/>
  <c r="E45" i="6"/>
  <c r="D45" i="6"/>
  <c r="C45" i="6"/>
  <c r="H44" i="6"/>
  <c r="G44" i="6"/>
  <c r="F44" i="6"/>
  <c r="E44" i="6"/>
  <c r="D44" i="6"/>
  <c r="C44" i="6"/>
  <c r="J43" i="6"/>
  <c r="I43" i="6"/>
  <c r="H43" i="6"/>
  <c r="G43" i="6"/>
  <c r="F43" i="6"/>
  <c r="E43" i="6"/>
  <c r="D43" i="6"/>
  <c r="C43" i="6"/>
  <c r="H49" i="6"/>
  <c r="G49" i="6"/>
  <c r="F49" i="6"/>
  <c r="E49" i="6"/>
  <c r="D49" i="6"/>
  <c r="H48" i="6"/>
  <c r="G48" i="6"/>
  <c r="F48" i="6"/>
  <c r="E48" i="6"/>
  <c r="D48" i="6"/>
  <c r="J47" i="6"/>
  <c r="I47" i="6"/>
  <c r="G47" i="6"/>
  <c r="F47" i="6"/>
  <c r="E47" i="6"/>
  <c r="D47" i="6"/>
  <c r="C47" i="6"/>
  <c r="H35" i="6"/>
  <c r="G35" i="6"/>
  <c r="F35" i="6"/>
  <c r="E35" i="6"/>
  <c r="D35" i="6"/>
  <c r="C35" i="6"/>
  <c r="H34" i="6"/>
  <c r="G34" i="6"/>
  <c r="F34" i="6"/>
  <c r="E34" i="6"/>
  <c r="D34" i="6"/>
  <c r="C34" i="6"/>
  <c r="J33" i="6"/>
  <c r="I33" i="6"/>
  <c r="H33" i="6"/>
  <c r="G33" i="6"/>
  <c r="F33" i="6"/>
  <c r="E33" i="6"/>
  <c r="D33" i="6"/>
  <c r="C33" i="6"/>
  <c r="O28" i="6"/>
  <c r="D29" i="6" s="1"/>
  <c r="H30" i="6"/>
  <c r="G30" i="6"/>
  <c r="D30" i="6"/>
  <c r="H29" i="6"/>
  <c r="G29" i="6"/>
  <c r="L28" i="6"/>
  <c r="K28" i="6"/>
  <c r="J28" i="6"/>
  <c r="D28" i="6"/>
  <c r="O23" i="6"/>
  <c r="D24" i="6" s="1"/>
  <c r="H25" i="6"/>
  <c r="G25" i="6"/>
  <c r="H24" i="6"/>
  <c r="G24" i="6"/>
  <c r="L23" i="6"/>
  <c r="K23" i="6"/>
  <c r="J23" i="6"/>
  <c r="D23" i="6"/>
  <c r="D18" i="6"/>
  <c r="D13" i="6"/>
  <c r="D18" i="3"/>
  <c r="D19" i="3"/>
  <c r="D8" i="6"/>
  <c r="O18" i="6"/>
  <c r="D19" i="6" s="1"/>
  <c r="H20" i="6"/>
  <c r="G20" i="6"/>
  <c r="H19" i="6"/>
  <c r="G19" i="6"/>
  <c r="L18" i="6"/>
  <c r="K18" i="6"/>
  <c r="J18" i="6"/>
  <c r="O13" i="6"/>
  <c r="D14" i="6" s="1"/>
  <c r="H15" i="6"/>
  <c r="G15" i="6"/>
  <c r="H14" i="6"/>
  <c r="G14" i="6"/>
  <c r="L13" i="6"/>
  <c r="K13" i="6"/>
  <c r="J13" i="6"/>
  <c r="O8" i="6"/>
  <c r="D10" i="6" s="1"/>
  <c r="N8" i="6"/>
  <c r="I8" i="6"/>
  <c r="H10" i="6"/>
  <c r="G10" i="6"/>
  <c r="H9" i="6"/>
  <c r="G9" i="6"/>
  <c r="L8" i="6"/>
  <c r="K8" i="6"/>
  <c r="H5" i="6"/>
  <c r="G5" i="6"/>
  <c r="D5" i="6"/>
  <c r="H4" i="6"/>
  <c r="G4" i="6"/>
  <c r="D4" i="6"/>
  <c r="L3" i="6"/>
  <c r="K3" i="6"/>
  <c r="J3" i="6"/>
  <c r="D3" i="6"/>
  <c r="J8" i="5"/>
  <c r="H10" i="5"/>
  <c r="G10" i="5"/>
  <c r="H9" i="5"/>
  <c r="G9" i="5"/>
  <c r="L8" i="5"/>
  <c r="H5" i="5"/>
  <c r="G5" i="5"/>
  <c r="D5" i="5"/>
  <c r="H4" i="5"/>
  <c r="G4" i="5"/>
  <c r="D4" i="5"/>
  <c r="L3" i="5"/>
  <c r="K3" i="5"/>
  <c r="J3" i="5"/>
  <c r="D29" i="5" l="1"/>
  <c r="D19" i="5"/>
  <c r="D14" i="5"/>
  <c r="D10" i="5"/>
  <c r="D30" i="7"/>
  <c r="D25" i="7"/>
  <c r="D20" i="7"/>
  <c r="D15" i="7"/>
  <c r="D10" i="7"/>
  <c r="D25" i="6"/>
  <c r="D20" i="6"/>
  <c r="D15" i="6"/>
  <c r="D9" i="6"/>
  <c r="J8" i="6"/>
  <c r="K8" i="5"/>
  <c r="C47" i="4"/>
  <c r="D29" i="4"/>
  <c r="O28" i="4"/>
  <c r="N28" i="4"/>
  <c r="I28" i="4"/>
  <c r="F28" i="4"/>
  <c r="G28" i="4"/>
  <c r="K24" i="4"/>
  <c r="O23" i="4"/>
  <c r="N23" i="4"/>
  <c r="I23" i="4"/>
  <c r="J23" i="4" s="1"/>
  <c r="F25" i="4"/>
  <c r="F24" i="4"/>
  <c r="F23" i="4"/>
  <c r="G23" i="4"/>
  <c r="E23" i="4"/>
  <c r="O18" i="4"/>
  <c r="N18" i="4"/>
  <c r="J18" i="4" s="1"/>
  <c r="I18" i="4"/>
  <c r="G18" i="4"/>
  <c r="F18" i="4"/>
  <c r="E18" i="4"/>
  <c r="D14" i="4"/>
  <c r="D15" i="4"/>
  <c r="O13" i="4"/>
  <c r="N13" i="4"/>
  <c r="K14" i="4"/>
  <c r="I13" i="4"/>
  <c r="J13" i="4" s="1"/>
  <c r="G13" i="4"/>
  <c r="F13" i="4"/>
  <c r="D29" i="3"/>
  <c r="D25" i="3"/>
  <c r="D24" i="3"/>
  <c r="D9" i="4"/>
  <c r="D10" i="4"/>
  <c r="F45" i="4"/>
  <c r="E45" i="4"/>
  <c r="C45" i="4"/>
  <c r="F44" i="4"/>
  <c r="E44" i="4"/>
  <c r="C44" i="4"/>
  <c r="H43" i="4"/>
  <c r="G43" i="4"/>
  <c r="F43" i="4"/>
  <c r="E43" i="4"/>
  <c r="C43" i="4"/>
  <c r="F35" i="4"/>
  <c r="F49" i="4" s="1"/>
  <c r="E35" i="4"/>
  <c r="E49" i="4" s="1"/>
  <c r="C35" i="4"/>
  <c r="C49" i="4" s="1"/>
  <c r="F34" i="4"/>
  <c r="F48" i="4" s="1"/>
  <c r="E34" i="4"/>
  <c r="E48" i="4" s="1"/>
  <c r="C34" i="4"/>
  <c r="C48" i="4" s="1"/>
  <c r="H33" i="4"/>
  <c r="F33" i="4"/>
  <c r="F47" i="4" s="1"/>
  <c r="E33" i="4"/>
  <c r="E47" i="4" s="1"/>
  <c r="C33" i="4"/>
  <c r="H30" i="4"/>
  <c r="G30" i="4"/>
  <c r="D30" i="4"/>
  <c r="H29" i="4"/>
  <c r="G29" i="4"/>
  <c r="L28" i="4"/>
  <c r="K28" i="4"/>
  <c r="H25" i="4"/>
  <c r="G25" i="4"/>
  <c r="D25" i="4"/>
  <c r="H24" i="4"/>
  <c r="G24" i="4"/>
  <c r="D24" i="4"/>
  <c r="L23" i="4"/>
  <c r="K23" i="4"/>
  <c r="H20" i="4"/>
  <c r="G20" i="4"/>
  <c r="D20" i="4"/>
  <c r="H19" i="4"/>
  <c r="G19" i="4"/>
  <c r="D19" i="4"/>
  <c r="L18" i="4"/>
  <c r="K18" i="4"/>
  <c r="H15" i="4"/>
  <c r="G15" i="4"/>
  <c r="H14" i="4"/>
  <c r="G14" i="4"/>
  <c r="L13" i="4"/>
  <c r="K13" i="4"/>
  <c r="H10" i="4"/>
  <c r="H45" i="4" s="1"/>
  <c r="G10" i="4"/>
  <c r="H9" i="4"/>
  <c r="G9" i="4"/>
  <c r="J8" i="4"/>
  <c r="K8" i="4"/>
  <c r="G33" i="4"/>
  <c r="G47" i="4" s="1"/>
  <c r="Z5" i="4"/>
  <c r="H5" i="4"/>
  <c r="G5" i="4"/>
  <c r="D5" i="4"/>
  <c r="H4" i="4"/>
  <c r="G4" i="4"/>
  <c r="D4" i="4"/>
  <c r="L3" i="4"/>
  <c r="K3" i="4"/>
  <c r="J3" i="4"/>
  <c r="D3" i="4"/>
  <c r="H45" i="3"/>
  <c r="F45" i="3"/>
  <c r="E45" i="3"/>
  <c r="C45" i="3"/>
  <c r="H44" i="3"/>
  <c r="F44" i="3"/>
  <c r="E44" i="3"/>
  <c r="D44" i="3"/>
  <c r="C44" i="3"/>
  <c r="J43" i="3"/>
  <c r="I43" i="3"/>
  <c r="H43" i="3"/>
  <c r="G43" i="3"/>
  <c r="F43" i="3"/>
  <c r="E43" i="3"/>
  <c r="D43" i="3"/>
  <c r="C43" i="3"/>
  <c r="C38" i="3"/>
  <c r="H40" i="3"/>
  <c r="F40" i="3"/>
  <c r="E40" i="3"/>
  <c r="C40" i="3"/>
  <c r="H39" i="3"/>
  <c r="F39" i="3"/>
  <c r="E39" i="3"/>
  <c r="C39" i="3"/>
  <c r="J38" i="3"/>
  <c r="I38" i="3"/>
  <c r="G38" i="3"/>
  <c r="F38" i="3"/>
  <c r="I33" i="3"/>
  <c r="J33" i="3"/>
  <c r="C34" i="3"/>
  <c r="D34" i="3"/>
  <c r="D39" i="3" s="1"/>
  <c r="E34" i="3"/>
  <c r="F34" i="3"/>
  <c r="H34" i="3"/>
  <c r="C35" i="3"/>
  <c r="E35" i="3"/>
  <c r="F35" i="3"/>
  <c r="H35" i="3"/>
  <c r="D33" i="3"/>
  <c r="D38" i="3" s="1"/>
  <c r="E33" i="3"/>
  <c r="F33" i="3"/>
  <c r="G33" i="3"/>
  <c r="H33" i="3"/>
  <c r="C33" i="3"/>
  <c r="H30" i="3"/>
  <c r="G30" i="3"/>
  <c r="G45" i="3" s="1"/>
  <c r="D30" i="3"/>
  <c r="D45" i="3" s="1"/>
  <c r="H29" i="3"/>
  <c r="G29" i="3"/>
  <c r="G34" i="3" s="1"/>
  <c r="G39" i="3" s="1"/>
  <c r="L28" i="3"/>
  <c r="K28" i="3"/>
  <c r="J28" i="3"/>
  <c r="D28" i="3"/>
  <c r="H25" i="3"/>
  <c r="G25" i="3"/>
  <c r="H24" i="3"/>
  <c r="G24" i="3"/>
  <c r="L23" i="3"/>
  <c r="K23" i="3"/>
  <c r="J23" i="3"/>
  <c r="D23" i="3"/>
  <c r="H20" i="3"/>
  <c r="G20" i="3"/>
  <c r="D20" i="3"/>
  <c r="H19" i="3"/>
  <c r="G19" i="3"/>
  <c r="L18" i="3"/>
  <c r="K18" i="3"/>
  <c r="J18" i="3"/>
  <c r="G5" i="3"/>
  <c r="G4" i="3"/>
  <c r="G15" i="3"/>
  <c r="G14" i="3"/>
  <c r="G10" i="3"/>
  <c r="G9" i="3"/>
  <c r="H5" i="3"/>
  <c r="D5" i="3"/>
  <c r="H4" i="3"/>
  <c r="J3" i="3"/>
  <c r="K3" i="3"/>
  <c r="D3" i="3"/>
  <c r="H15" i="3"/>
  <c r="H14" i="3"/>
  <c r="O13" i="3"/>
  <c r="D15" i="3" s="1"/>
  <c r="J13" i="3"/>
  <c r="K13" i="3"/>
  <c r="D13" i="3"/>
  <c r="D9" i="3"/>
  <c r="O8" i="3"/>
  <c r="H10" i="3"/>
  <c r="N8" i="3"/>
  <c r="J8" i="3" s="1"/>
  <c r="J23" i="2"/>
  <c r="J18" i="2"/>
  <c r="J13" i="2"/>
  <c r="J8" i="2"/>
  <c r="G40" i="2"/>
  <c r="H40" i="2"/>
  <c r="H39" i="2"/>
  <c r="H38" i="2"/>
  <c r="I38" i="2"/>
  <c r="J38" i="2"/>
  <c r="C34" i="2"/>
  <c r="D34" i="2"/>
  <c r="E34" i="2"/>
  <c r="F34" i="2"/>
  <c r="G34" i="2"/>
  <c r="H34" i="2"/>
  <c r="C35" i="2"/>
  <c r="D35" i="2"/>
  <c r="E35" i="2"/>
  <c r="F35" i="2"/>
  <c r="G35" i="2"/>
  <c r="H35" i="2"/>
  <c r="I33" i="2"/>
  <c r="C29" i="2"/>
  <c r="D29" i="2"/>
  <c r="E29" i="2"/>
  <c r="F29" i="2"/>
  <c r="G29" i="2"/>
  <c r="H29" i="2"/>
  <c r="C30" i="2"/>
  <c r="D30" i="2"/>
  <c r="E30" i="2"/>
  <c r="F30" i="2"/>
  <c r="G30" i="2"/>
  <c r="H30" i="2"/>
  <c r="D28" i="2"/>
  <c r="E28" i="2"/>
  <c r="F28" i="2"/>
  <c r="G28" i="2"/>
  <c r="J28" i="2"/>
  <c r="J33" i="2" s="1"/>
  <c r="J3" i="2"/>
  <c r="H8" i="2"/>
  <c r="K3" i="2"/>
  <c r="K8" i="2"/>
  <c r="K13" i="2"/>
  <c r="K18" i="2"/>
  <c r="K23" i="2"/>
  <c r="H10" i="2"/>
  <c r="H15" i="2"/>
  <c r="H20" i="2"/>
  <c r="H25" i="2"/>
  <c r="H4" i="2"/>
  <c r="Z5" i="3"/>
  <c r="K4" i="2"/>
  <c r="K5" i="2"/>
  <c r="H5" i="2" s="1"/>
  <c r="K9" i="2"/>
  <c r="H9" i="2" s="1"/>
  <c r="K14" i="2"/>
  <c r="H14" i="2" s="1"/>
  <c r="K15" i="2"/>
  <c r="K19" i="2"/>
  <c r="H19" i="2" s="1"/>
  <c r="K20" i="2"/>
  <c r="M10" i="3"/>
  <c r="L10" i="3"/>
  <c r="D10" i="3" s="1"/>
  <c r="M9" i="3"/>
  <c r="H9" i="3" s="1"/>
  <c r="L9" i="3"/>
  <c r="L8" i="3" s="1"/>
  <c r="K10" i="3"/>
  <c r="K9" i="3"/>
  <c r="D8" i="3"/>
  <c r="D3" i="2"/>
  <c r="G8" i="3"/>
  <c r="K8" i="3" s="1"/>
  <c r="G25" i="2"/>
  <c r="G24" i="2"/>
  <c r="G20" i="2"/>
  <c r="G19" i="2"/>
  <c r="G15" i="2"/>
  <c r="G14" i="2"/>
  <c r="G10" i="2"/>
  <c r="G9" i="2"/>
  <c r="G5" i="2"/>
  <c r="G4" i="2"/>
  <c r="G23" i="2"/>
  <c r="G18" i="2"/>
  <c r="G13" i="2"/>
  <c r="G8" i="2"/>
  <c r="G3" i="2"/>
  <c r="K25" i="2"/>
  <c r="K24" i="2"/>
  <c r="H24" i="2" s="1"/>
  <c r="D15" i="2"/>
  <c r="K10" i="2"/>
  <c r="D10" i="2" s="1"/>
  <c r="D24" i="2"/>
  <c r="D25" i="2"/>
  <c r="D20" i="2"/>
  <c r="D9" i="2"/>
  <c r="D23" i="2"/>
  <c r="D18" i="2"/>
  <c r="D13" i="2"/>
  <c r="D8" i="2"/>
  <c r="E39" i="2"/>
  <c r="F39" i="2"/>
  <c r="G39" i="2"/>
  <c r="E40" i="2"/>
  <c r="F40" i="2"/>
  <c r="E38" i="2"/>
  <c r="F38" i="2"/>
  <c r="E33" i="2"/>
  <c r="F33" i="2"/>
  <c r="D34" i="4" l="1"/>
  <c r="D48" i="4" s="1"/>
  <c r="D33" i="4"/>
  <c r="J28" i="4"/>
  <c r="I33" i="4"/>
  <c r="I47" i="4" s="1"/>
  <c r="I43" i="4"/>
  <c r="D35" i="3"/>
  <c r="D40" i="3" s="1"/>
  <c r="G35" i="3"/>
  <c r="G40" i="3" s="1"/>
  <c r="G44" i="3"/>
  <c r="G35" i="4"/>
  <c r="G49" i="4" s="1"/>
  <c r="G44" i="4"/>
  <c r="G34" i="4"/>
  <c r="G48" i="4" s="1"/>
  <c r="J43" i="4"/>
  <c r="J33" i="4"/>
  <c r="J47" i="4" s="1"/>
  <c r="H34" i="4"/>
  <c r="H48" i="4" s="1"/>
  <c r="H44" i="4"/>
  <c r="D45" i="4"/>
  <c r="H35" i="4"/>
  <c r="H49" i="4" s="1"/>
  <c r="L8" i="4"/>
  <c r="D44" i="4"/>
  <c r="G45" i="4"/>
  <c r="D4" i="3"/>
  <c r="L3" i="3"/>
  <c r="D14" i="3"/>
  <c r="L13" i="3"/>
  <c r="D14" i="2"/>
  <c r="D19" i="2"/>
  <c r="D33" i="2"/>
  <c r="D38" i="2"/>
  <c r="C4" i="2"/>
  <c r="D4" i="2" s="1"/>
  <c r="D39" i="2" s="1"/>
  <c r="C5" i="2"/>
  <c r="D5" i="2" s="1"/>
  <c r="D40" i="2" s="1"/>
  <c r="G8" i="1"/>
  <c r="G7" i="1"/>
  <c r="G5" i="1"/>
  <c r="G4" i="1"/>
  <c r="G3" i="1"/>
  <c r="G2" i="1"/>
  <c r="C3" i="1"/>
  <c r="C2" i="1"/>
  <c r="D43" i="4" l="1"/>
  <c r="D35" i="4"/>
  <c r="D49" i="4" s="1"/>
  <c r="C40" i="2"/>
  <c r="C39" i="2"/>
  <c r="G38" i="2"/>
  <c r="G33" i="2"/>
</calcChain>
</file>

<file path=xl/sharedStrings.xml><?xml version="1.0" encoding="utf-8"?>
<sst xmlns="http://schemas.openxmlformats.org/spreadsheetml/2006/main" count="772" uniqueCount="32">
  <si>
    <t>И</t>
  </si>
  <si>
    <t>Ф</t>
  </si>
  <si>
    <t>λ</t>
  </si>
  <si>
    <t>M[b]</t>
  </si>
  <si>
    <t>k</t>
  </si>
  <si>
    <t>q</t>
  </si>
  <si>
    <t>E1</t>
  </si>
  <si>
    <t>E2</t>
  </si>
  <si>
    <t>E3</t>
  </si>
  <si>
    <t>∞</t>
  </si>
  <si>
    <t>pribor1</t>
  </si>
  <si>
    <t>pribor2</t>
  </si>
  <si>
    <t>pribor3</t>
  </si>
  <si>
    <t>загрузка</t>
  </si>
  <si>
    <t>нагрузка</t>
  </si>
  <si>
    <t>ср длина оч</t>
  </si>
  <si>
    <t>ср время оч</t>
  </si>
  <si>
    <t>ср время обсл</t>
  </si>
  <si>
    <t>MEAN</t>
  </si>
  <si>
    <t>coef</t>
  </si>
  <si>
    <r>
      <t>P</t>
    </r>
    <r>
      <rPr>
        <sz val="8"/>
        <color theme="1"/>
        <rFont val="Calibri"/>
        <family val="2"/>
        <charset val="204"/>
        <scheme val="minor"/>
      </rPr>
      <t>loose</t>
    </r>
  </si>
  <si>
    <t>срзнач</t>
  </si>
  <si>
    <t>ско</t>
  </si>
  <si>
    <t>доверит</t>
  </si>
  <si>
    <t>потери</t>
  </si>
  <si>
    <t>непотери</t>
  </si>
  <si>
    <t>ср время преб</t>
  </si>
  <si>
    <t>поступило</t>
  </si>
  <si>
    <t>прошло</t>
  </si>
  <si>
    <t>ср время в сис</t>
  </si>
  <si>
    <t>ср кв откл</t>
  </si>
  <si>
    <t>время сис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</si>
</sst>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* #,##0.000_-;\-* #,##0.000_-;_-* &quot;-&quot;??_-;_-@_-"/>
    <numFmt numFmtId="165" formatCode="_-* #,##0_-;\-* #,##0_-;_-* &quot;-&quot;??_-;_-@_-"/>
    <numFmt numFmtId="166" formatCode="0.000"/>
  </numFmts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8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2"/>
        <bgColor indexed="64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7">
    <xf numFmtId="0" fontId="0" fillId="0" borderId="0" xfId="0"/>
    <xf numFmtId="0" fontId="2" fillId="0" borderId="0" xfId="0" applyFont="1"/>
    <xf numFmtId="164" fontId="0" fillId="0" borderId="0" xfId="1" applyNumberFormat="1" applyFont="1"/>
    <xf numFmtId="164" fontId="0" fillId="5" borderId="2" xfId="1" applyNumberFormat="1" applyFont="1" applyFill="1" applyBorder="1"/>
    <xf numFmtId="165" fontId="0" fillId="0" borderId="2" xfId="1" applyNumberFormat="1" applyFont="1" applyBorder="1"/>
    <xf numFmtId="165" fontId="0" fillId="2" borderId="2" xfId="1" applyNumberFormat="1" applyFont="1" applyFill="1" applyBorder="1"/>
    <xf numFmtId="164" fontId="0" fillId="7" borderId="2" xfId="1" applyNumberFormat="1" applyFont="1" applyFill="1" applyBorder="1"/>
    <xf numFmtId="0" fontId="0" fillId="0" borderId="0" xfId="0" applyAlignment="1"/>
    <xf numFmtId="166" fontId="0" fillId="0" borderId="2" xfId="1" applyNumberFormat="1" applyFont="1" applyBorder="1"/>
    <xf numFmtId="166" fontId="0" fillId="2" borderId="2" xfId="0" applyNumberFormat="1" applyFill="1" applyBorder="1"/>
    <xf numFmtId="166" fontId="0" fillId="0" borderId="2" xfId="1" applyNumberFormat="1" applyFont="1" applyFill="1" applyBorder="1"/>
    <xf numFmtId="166" fontId="0" fillId="2" borderId="2" xfId="1" applyNumberFormat="1" applyFont="1" applyFill="1" applyBorder="1"/>
    <xf numFmtId="166" fontId="0" fillId="2" borderId="1" xfId="1" applyNumberFormat="1" applyFont="1" applyFill="1" applyBorder="1"/>
    <xf numFmtId="166" fontId="0" fillId="4" borderId="2" xfId="1" applyNumberFormat="1" applyFont="1" applyFill="1" applyBorder="1"/>
    <xf numFmtId="166" fontId="0" fillId="0" borderId="0" xfId="1" applyNumberFormat="1" applyFont="1"/>
    <xf numFmtId="166" fontId="0" fillId="3" borderId="2" xfId="1" applyNumberFormat="1" applyFont="1" applyFill="1" applyBorder="1"/>
    <xf numFmtId="166" fontId="0" fillId="0" borderId="0" xfId="2" applyNumberFormat="1" applyFont="1"/>
    <xf numFmtId="166" fontId="0" fillId="7" borderId="2" xfId="1" applyNumberFormat="1" applyFont="1" applyFill="1" applyBorder="1"/>
    <xf numFmtId="166" fontId="0" fillId="6" borderId="2" xfId="1" applyNumberFormat="1" applyFont="1" applyFill="1" applyBorder="1"/>
    <xf numFmtId="166" fontId="0" fillId="0" borderId="0" xfId="0" applyNumberFormat="1"/>
    <xf numFmtId="166" fontId="0" fillId="9" borderId="2" xfId="1" applyNumberFormat="1" applyFont="1" applyFill="1" applyBorder="1"/>
    <xf numFmtId="166" fontId="0" fillId="8" borderId="2" xfId="0" applyNumberFormat="1" applyFill="1" applyBorder="1"/>
    <xf numFmtId="166" fontId="0" fillId="0" borderId="2" xfId="0" applyNumberFormat="1" applyBorder="1" applyAlignment="1">
      <alignment horizontal="right"/>
    </xf>
    <xf numFmtId="166" fontId="0" fillId="0" borderId="3" xfId="1" applyNumberFormat="1" applyFont="1" applyBorder="1"/>
    <xf numFmtId="166" fontId="0" fillId="0" borderId="2" xfId="0" applyNumberFormat="1" applyBorder="1"/>
    <xf numFmtId="166" fontId="0" fillId="9" borderId="2" xfId="0" applyNumberFormat="1" applyFill="1" applyBorder="1"/>
    <xf numFmtId="166" fontId="0" fillId="0" borderId="4" xfId="1" applyNumberFormat="1" applyFont="1" applyBorder="1"/>
    <xf numFmtId="1" fontId="0" fillId="0" borderId="2" xfId="1" applyNumberFormat="1" applyFont="1" applyBorder="1"/>
    <xf numFmtId="1" fontId="0" fillId="2" borderId="2" xfId="1" applyNumberFormat="1" applyFont="1" applyFill="1" applyBorder="1"/>
    <xf numFmtId="1" fontId="0" fillId="8" borderId="2" xfId="0" applyNumberFormat="1" applyFill="1" applyBorder="1"/>
    <xf numFmtId="166" fontId="0" fillId="10" borderId="2" xfId="0" applyNumberFormat="1" applyFill="1" applyBorder="1" applyAlignment="1">
      <alignment horizontal="right"/>
    </xf>
    <xf numFmtId="166" fontId="0" fillId="11" borderId="2" xfId="1" applyNumberFormat="1" applyFont="1" applyFill="1" applyBorder="1"/>
    <xf numFmtId="1" fontId="0" fillId="2" borderId="1" xfId="1" applyNumberFormat="1" applyFont="1" applyFill="1" applyBorder="1"/>
    <xf numFmtId="166" fontId="0" fillId="0" borderId="2" xfId="1" applyNumberFormat="1" applyFont="1" applyBorder="1" applyAlignment="1">
      <alignment horizontal="center"/>
    </xf>
    <xf numFmtId="166" fontId="0" fillId="0" borderId="2" xfId="0" applyNumberFormat="1" applyBorder="1" applyAlignment="1">
      <alignment horizontal="center"/>
    </xf>
    <xf numFmtId="166" fontId="0" fillId="0" borderId="3" xfId="1" applyNumberFormat="1" applyFont="1" applyBorder="1" applyAlignment="1">
      <alignment horizontal="center"/>
    </xf>
    <xf numFmtId="166" fontId="0" fillId="0" borderId="5" xfId="1" applyNumberFormat="1" applyFont="1" applyBorder="1" applyAlignment="1">
      <alignment horizontal="center"/>
    </xf>
    <xf numFmtId="166" fontId="0" fillId="0" borderId="4" xfId="1" applyNumberFormat="1" applyFont="1" applyBorder="1" applyAlignment="1">
      <alignment horizontal="center"/>
    </xf>
    <xf numFmtId="166" fontId="0" fillId="2" borderId="3" xfId="1" applyNumberFormat="1" applyFont="1" applyFill="1" applyBorder="1" applyAlignment="1">
      <alignment horizontal="center"/>
    </xf>
    <xf numFmtId="166" fontId="0" fillId="2" borderId="5" xfId="1" applyNumberFormat="1" applyFont="1" applyFill="1" applyBorder="1" applyAlignment="1">
      <alignment horizontal="center"/>
    </xf>
    <xf numFmtId="166" fontId="0" fillId="2" borderId="4" xfId="1" applyNumberFormat="1" applyFont="1" applyFill="1" applyBorder="1" applyAlignment="1">
      <alignment horizontal="center"/>
    </xf>
    <xf numFmtId="166" fontId="0" fillId="2" borderId="2" xfId="1" applyNumberFormat="1" applyFont="1" applyFill="1" applyBorder="1" applyAlignment="1">
      <alignment horizontal="center"/>
    </xf>
    <xf numFmtId="166" fontId="0" fillId="9" borderId="2" xfId="0" applyNumberFormat="1" applyFill="1" applyBorder="1" applyAlignment="1">
      <alignment horizontal="center"/>
    </xf>
    <xf numFmtId="166" fontId="0" fillId="9" borderId="3" xfId="0" applyNumberFormat="1" applyFill="1" applyBorder="1" applyAlignment="1">
      <alignment horizontal="center"/>
    </xf>
    <xf numFmtId="166" fontId="0" fillId="9" borderId="5" xfId="0" applyNumberFormat="1" applyFill="1" applyBorder="1" applyAlignment="1">
      <alignment horizontal="center"/>
    </xf>
    <xf numFmtId="166" fontId="0" fillId="9" borderId="4" xfId="0" applyNumberFormat="1" applyFill="1" applyBorder="1" applyAlignment="1">
      <alignment horizontal="center"/>
    </xf>
    <xf numFmtId="166" fontId="0" fillId="0" borderId="3" xfId="0" applyNumberFormat="1" applyBorder="1" applyAlignment="1">
      <alignment horizontal="center"/>
    </xf>
    <xf numFmtId="166" fontId="0" fillId="0" borderId="5" xfId="0" applyNumberFormat="1" applyBorder="1" applyAlignment="1">
      <alignment horizontal="center"/>
    </xf>
    <xf numFmtId="166" fontId="0" fillId="0" borderId="4" xfId="0" applyNumberFormat="1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right" vertical="center"/>
    </xf>
    <xf numFmtId="0" fontId="0" fillId="12" borderId="2" xfId="0" applyFill="1" applyBorder="1"/>
    <xf numFmtId="0" fontId="2" fillId="12" borderId="2" xfId="0" applyFont="1" applyFill="1" applyBorder="1"/>
    <xf numFmtId="166" fontId="0" fillId="2" borderId="2" xfId="1" applyNumberFormat="1" applyFont="1" applyFill="1" applyBorder="1" applyAlignment="1">
      <alignment horizontal="center" vertical="center"/>
    </xf>
    <xf numFmtId="166" fontId="0" fillId="0" borderId="3" xfId="1" applyNumberFormat="1" applyFont="1" applyBorder="1" applyAlignment="1">
      <alignment horizontal="center" vertical="center"/>
    </xf>
    <xf numFmtId="166" fontId="0" fillId="0" borderId="5" xfId="1" applyNumberFormat="1" applyFont="1" applyBorder="1" applyAlignment="1">
      <alignment horizontal="center" vertical="center"/>
    </xf>
    <xf numFmtId="166" fontId="0" fillId="0" borderId="4" xfId="1" applyNumberFormat="1" applyFont="1" applyBorder="1" applyAlignment="1">
      <alignment horizontal="center" vertical="center"/>
    </xf>
  </cellXfs>
  <cellStyles count="3">
    <cellStyle name="Обычный" xfId="0" builtinId="0"/>
    <cellStyle name="Процентный" xfId="2" builtinId="5"/>
    <cellStyle name="Финансовый" xfId="1" builtinId="3"/>
  </cellStyles>
  <dxfs count="0"/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064150-635F-44C2-B7EF-8DC32097EE08}">
  <sheetPr>
    <tabColor rgb="FF00B0F0"/>
  </sheetPr>
  <dimension ref="B2:G9"/>
  <sheetViews>
    <sheetView workbookViewId="0">
      <selection activeCell="F2" sqref="F2:G8"/>
    </sheetView>
  </sheetViews>
  <sheetFormatPr defaultRowHeight="15.05" x14ac:dyDescent="0.3"/>
  <cols>
    <col min="2" max="2" width="2.44140625" bestFit="1" customWidth="1"/>
    <col min="3" max="3" width="11.33203125" bestFit="1" customWidth="1"/>
    <col min="6" max="6" width="8.88671875" customWidth="1"/>
  </cols>
  <sheetData>
    <row r="2" spans="2:7" x14ac:dyDescent="0.3">
      <c r="B2" t="s">
        <v>1</v>
      </c>
      <c r="C2">
        <f>10</f>
        <v>10</v>
      </c>
      <c r="F2" s="51" t="s">
        <v>4</v>
      </c>
      <c r="G2" s="49">
        <f>2+5</f>
        <v>7</v>
      </c>
    </row>
    <row r="3" spans="2:7" x14ac:dyDescent="0.3">
      <c r="B3" t="s">
        <v>0</v>
      </c>
      <c r="C3">
        <f>5</f>
        <v>5</v>
      </c>
      <c r="F3" s="51" t="s">
        <v>3</v>
      </c>
      <c r="G3" s="49">
        <f>C2</f>
        <v>10</v>
      </c>
    </row>
    <row r="4" spans="2:7" x14ac:dyDescent="0.3">
      <c r="F4" s="52" t="s">
        <v>2</v>
      </c>
      <c r="G4" s="49">
        <f>G2*0.9/C2</f>
        <v>0.63</v>
      </c>
    </row>
    <row r="5" spans="2:7" x14ac:dyDescent="0.3">
      <c r="F5" s="52" t="s">
        <v>5</v>
      </c>
      <c r="G5" s="49">
        <f>C2/(C2+C3)</f>
        <v>0.66666666666666663</v>
      </c>
    </row>
    <row r="6" spans="2:7" x14ac:dyDescent="0.3">
      <c r="F6" s="52" t="s">
        <v>6</v>
      </c>
      <c r="G6" s="50" t="s">
        <v>9</v>
      </c>
    </row>
    <row r="7" spans="2:7" x14ac:dyDescent="0.3">
      <c r="F7" s="52" t="s">
        <v>7</v>
      </c>
      <c r="G7" s="49">
        <f>3</f>
        <v>3</v>
      </c>
    </row>
    <row r="8" spans="2:7" x14ac:dyDescent="0.3">
      <c r="F8" s="52" t="s">
        <v>8</v>
      </c>
      <c r="G8" s="49">
        <f>9-G7</f>
        <v>6</v>
      </c>
    </row>
    <row r="9" spans="2:7" x14ac:dyDescent="0.3">
      <c r="F9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37077-932F-4164-8B12-A890B3ED430D}">
  <sheetPr>
    <tabColor rgb="FF00B050"/>
  </sheetPr>
  <dimension ref="B1:L42"/>
  <sheetViews>
    <sheetView topLeftCell="A16" workbookViewId="0">
      <selection activeCell="J38" sqref="B32:J40"/>
    </sheetView>
  </sheetViews>
  <sheetFormatPr defaultRowHeight="15.05" x14ac:dyDescent="0.3"/>
  <cols>
    <col min="1" max="1" width="8.88671875" style="2" customWidth="1"/>
    <col min="2" max="4" width="8.88671875" style="2"/>
    <col min="5" max="5" width="12.88671875" style="2" customWidth="1"/>
    <col min="6" max="6" width="12.44140625" style="2" bestFit="1" customWidth="1"/>
    <col min="7" max="7" width="14.6640625" style="2" bestFit="1" customWidth="1"/>
    <col min="8" max="8" width="8.77734375" style="2" bestFit="1" customWidth="1"/>
    <col min="9" max="9" width="14.88671875" style="2" bestFit="1" customWidth="1"/>
    <col min="10" max="10" width="8.88671875" style="2"/>
    <col min="11" max="11" width="10.44140625" style="2" bestFit="1" customWidth="1"/>
    <col min="12" max="16" width="8.88671875" style="2"/>
    <col min="17" max="18" width="14.6640625" style="2" bestFit="1" customWidth="1"/>
    <col min="19" max="19" width="8.44140625" style="2" bestFit="1" customWidth="1"/>
    <col min="20" max="21" width="11.109375" style="2" bestFit="1" customWidth="1"/>
    <col min="22" max="22" width="13.33203125" style="2" bestFit="1" customWidth="1"/>
    <col min="23" max="16384" width="8.88671875" style="2"/>
  </cols>
  <sheetData>
    <row r="1" spans="2:12" x14ac:dyDescent="0.3">
      <c r="K1"/>
      <c r="L1"/>
    </row>
    <row r="2" spans="2:12" x14ac:dyDescent="0.3">
      <c r="B2" s="4">
        <v>1</v>
      </c>
      <c r="C2" s="6" t="s">
        <v>13</v>
      </c>
      <c r="D2" s="6" t="s">
        <v>14</v>
      </c>
      <c r="E2" s="6" t="s">
        <v>16</v>
      </c>
      <c r="F2" s="6" t="s">
        <v>15</v>
      </c>
      <c r="G2" s="6" t="s">
        <v>26</v>
      </c>
      <c r="H2" s="6" t="s">
        <v>24</v>
      </c>
      <c r="I2" s="6" t="s">
        <v>29</v>
      </c>
      <c r="J2" s="6" t="s">
        <v>19</v>
      </c>
      <c r="K2" s="3" t="s">
        <v>25</v>
      </c>
      <c r="L2"/>
    </row>
    <row r="3" spans="2:12" x14ac:dyDescent="0.3">
      <c r="B3" s="6" t="s">
        <v>10</v>
      </c>
      <c r="C3" s="8">
        <v>0.89800000000000002</v>
      </c>
      <c r="D3" s="8">
        <f>C3*7</f>
        <v>6.2860000000000005</v>
      </c>
      <c r="E3" s="8">
        <v>92.902000000000001</v>
      </c>
      <c r="F3" s="8">
        <v>5.843</v>
      </c>
      <c r="G3" s="8">
        <f>192.87</f>
        <v>192.87</v>
      </c>
      <c r="H3" s="8">
        <v>0</v>
      </c>
      <c r="I3" s="33">
        <v>681.803</v>
      </c>
      <c r="J3" s="33">
        <f>306.785/I3</f>
        <v>0.44996135247278174</v>
      </c>
      <c r="K3" s="9">
        <f>1</f>
        <v>1</v>
      </c>
      <c r="L3"/>
    </row>
    <row r="4" spans="2:12" x14ac:dyDescent="0.3">
      <c r="B4" s="6" t="s">
        <v>11</v>
      </c>
      <c r="C4" s="8">
        <f>0.997</f>
        <v>0.997</v>
      </c>
      <c r="D4" s="8">
        <f>C4/K4</f>
        <v>4.2009600050466815</v>
      </c>
      <c r="E4" s="8">
        <v>270.12400000000002</v>
      </c>
      <c r="F4" s="8">
        <v>2.6930000000000001</v>
      </c>
      <c r="G4" s="8">
        <f>100.08+E4</f>
        <v>370.20400000000001</v>
      </c>
      <c r="H4" s="8">
        <f>1-K4</f>
        <v>0.76267329400844386</v>
      </c>
      <c r="I4" s="33"/>
      <c r="J4" s="33"/>
      <c r="K4" s="8">
        <f>15852/66794</f>
        <v>0.23732670599155614</v>
      </c>
      <c r="L4"/>
    </row>
    <row r="5" spans="2:12" x14ac:dyDescent="0.3">
      <c r="B5" s="6" t="s">
        <v>12</v>
      </c>
      <c r="C5" s="8">
        <f>0.997</f>
        <v>0.997</v>
      </c>
      <c r="D5" s="8">
        <f>C5/K5</f>
        <v>2.0614680321235137</v>
      </c>
      <c r="E5" s="8">
        <v>504.774</v>
      </c>
      <c r="F5" s="8">
        <v>5.0979999999999999</v>
      </c>
      <c r="G5" s="8">
        <f>98.868+E5</f>
        <v>603.64200000000005</v>
      </c>
      <c r="H5" s="8">
        <f>1-K5</f>
        <v>0.51636407430825282</v>
      </c>
      <c r="I5" s="33"/>
      <c r="J5" s="33"/>
      <c r="K5" s="8">
        <f>16063/33213</f>
        <v>0.48363592569174718</v>
      </c>
      <c r="L5"/>
    </row>
    <row r="6" spans="2:12" x14ac:dyDescent="0.3">
      <c r="L6"/>
    </row>
    <row r="7" spans="2:12" x14ac:dyDescent="0.3">
      <c r="B7" s="4">
        <v>2</v>
      </c>
      <c r="C7" s="6" t="s">
        <v>13</v>
      </c>
      <c r="D7" s="6" t="s">
        <v>14</v>
      </c>
      <c r="E7" s="6" t="s">
        <v>16</v>
      </c>
      <c r="F7" s="6" t="s">
        <v>15</v>
      </c>
      <c r="G7" s="6" t="s">
        <v>26</v>
      </c>
      <c r="H7" s="6" t="s">
        <v>24</v>
      </c>
      <c r="I7" s="6" t="s">
        <v>29</v>
      </c>
      <c r="J7" s="6" t="s">
        <v>19</v>
      </c>
      <c r="K7" s="3" t="s">
        <v>25</v>
      </c>
      <c r="L7"/>
    </row>
    <row r="8" spans="2:12" x14ac:dyDescent="0.3">
      <c r="B8" s="6" t="s">
        <v>10</v>
      </c>
      <c r="C8" s="8">
        <v>0.89800000000000002</v>
      </c>
      <c r="D8" s="8">
        <f>C8*7</f>
        <v>6.2860000000000005</v>
      </c>
      <c r="E8" s="10">
        <v>96.613</v>
      </c>
      <c r="F8" s="10">
        <v>6.0759999999999996</v>
      </c>
      <c r="G8" s="8">
        <f>196.614</f>
        <v>196.614</v>
      </c>
      <c r="H8" s="8">
        <f>1-K8</f>
        <v>0</v>
      </c>
      <c r="I8" s="33">
        <v>687.77800000000002</v>
      </c>
      <c r="J8" s="34">
        <f>316.946/I8</f>
        <v>0.46082602235023512</v>
      </c>
      <c r="K8" s="9">
        <f>1</f>
        <v>1</v>
      </c>
      <c r="L8"/>
    </row>
    <row r="9" spans="2:12" x14ac:dyDescent="0.3">
      <c r="B9" s="6" t="s">
        <v>11</v>
      </c>
      <c r="C9" s="8">
        <v>0.997</v>
      </c>
      <c r="D9" s="8">
        <f>C9/K9</f>
        <v>4.2300105043346203</v>
      </c>
      <c r="E9" s="10">
        <v>271.44400000000002</v>
      </c>
      <c r="F9" s="8">
        <v>2.6970000000000001</v>
      </c>
      <c r="G9" s="8">
        <f>100.352+E9</f>
        <v>371.79600000000005</v>
      </c>
      <c r="H9" s="8">
        <f>1-K9</f>
        <v>0.76430318577735357</v>
      </c>
      <c r="I9" s="33"/>
      <c r="J9" s="34"/>
      <c r="K9" s="8">
        <f>15803/67048</f>
        <v>0.23569681422264646</v>
      </c>
      <c r="L9"/>
    </row>
    <row r="10" spans="2:12" x14ac:dyDescent="0.3">
      <c r="B10" s="6" t="s">
        <v>12</v>
      </c>
      <c r="C10" s="8">
        <v>0.996</v>
      </c>
      <c r="D10" s="8">
        <f>C10/K10</f>
        <v>2.0734588859416445</v>
      </c>
      <c r="E10" s="10">
        <v>510.13600000000002</v>
      </c>
      <c r="F10" s="8">
        <v>5.0789999999999997</v>
      </c>
      <c r="G10" s="8">
        <f>100.096+E10</f>
        <v>610.23199999999997</v>
      </c>
      <c r="H10" s="8">
        <f>1-K10</f>
        <v>0.51964323635591425</v>
      </c>
      <c r="I10" s="33"/>
      <c r="J10" s="34"/>
      <c r="K10" s="8">
        <f>15834/32963</f>
        <v>0.4803567636440858</v>
      </c>
      <c r="L10"/>
    </row>
    <row r="11" spans="2:12" x14ac:dyDescent="0.3">
      <c r="L11"/>
    </row>
    <row r="12" spans="2:12" x14ac:dyDescent="0.3">
      <c r="B12" s="4">
        <v>3</v>
      </c>
      <c r="C12" s="6" t="s">
        <v>13</v>
      </c>
      <c r="D12" s="6" t="s">
        <v>14</v>
      </c>
      <c r="E12" s="6" t="s">
        <v>16</v>
      </c>
      <c r="F12" s="6" t="s">
        <v>15</v>
      </c>
      <c r="G12" s="6" t="s">
        <v>26</v>
      </c>
      <c r="H12" s="6" t="s">
        <v>24</v>
      </c>
      <c r="I12" s="6" t="s">
        <v>29</v>
      </c>
      <c r="J12" s="6" t="s">
        <v>19</v>
      </c>
      <c r="K12" s="3" t="s">
        <v>25</v>
      </c>
      <c r="L12"/>
    </row>
    <row r="13" spans="2:12" x14ac:dyDescent="0.3">
      <c r="B13" s="6" t="s">
        <v>10</v>
      </c>
      <c r="C13" s="10">
        <v>0.89300000000000002</v>
      </c>
      <c r="D13" s="8">
        <f>C13*7</f>
        <v>6.2510000000000003</v>
      </c>
      <c r="E13" s="8">
        <v>95.289000000000001</v>
      </c>
      <c r="F13" s="10">
        <v>5.9880000000000004</v>
      </c>
      <c r="G13" s="8">
        <f>194.812</f>
        <v>194.81200000000001</v>
      </c>
      <c r="H13" s="8">
        <v>0</v>
      </c>
      <c r="I13" s="34">
        <v>692.16800000000001</v>
      </c>
      <c r="J13" s="34">
        <f>320.192/I13</f>
        <v>0.46259289652223162</v>
      </c>
      <c r="K13" s="11">
        <f>1</f>
        <v>1</v>
      </c>
      <c r="L13"/>
    </row>
    <row r="14" spans="2:12" x14ac:dyDescent="0.3">
      <c r="B14" s="6" t="s">
        <v>11</v>
      </c>
      <c r="C14" s="8">
        <v>0.998</v>
      </c>
      <c r="D14" s="8">
        <f>C14/K14</f>
        <v>4.2387499049790955</v>
      </c>
      <c r="E14" s="8">
        <v>272.41199999999998</v>
      </c>
      <c r="F14" s="10">
        <v>2.702</v>
      </c>
      <c r="G14" s="10">
        <f>E14+100.637</f>
        <v>373.04899999999998</v>
      </c>
      <c r="H14" s="8">
        <f>1-K14</f>
        <v>0.76455322385789071</v>
      </c>
      <c r="I14" s="34"/>
      <c r="J14" s="34"/>
      <c r="K14" s="8">
        <f>15786/67047</f>
        <v>0.23544677614210927</v>
      </c>
      <c r="L14"/>
    </row>
    <row r="15" spans="2:12" x14ac:dyDescent="0.3">
      <c r="B15" s="6" t="s">
        <v>12</v>
      </c>
      <c r="C15" s="8">
        <v>0.996</v>
      </c>
      <c r="D15" s="8">
        <f>C15/K15</f>
        <v>2.1074050584157145</v>
      </c>
      <c r="E15" s="8">
        <v>520.99800000000005</v>
      </c>
      <c r="F15" s="10">
        <v>5.0990000000000002</v>
      </c>
      <c r="G15" s="10">
        <f>E15+101.832</f>
        <v>622.83000000000004</v>
      </c>
      <c r="H15" s="8">
        <f>1-K15</f>
        <v>0.5273808440277904</v>
      </c>
      <c r="I15" s="34"/>
      <c r="J15" s="34"/>
      <c r="K15" s="8">
        <f>15578/32961</f>
        <v>0.4726191559722096</v>
      </c>
      <c r="L15"/>
    </row>
    <row r="16" spans="2:12" x14ac:dyDescent="0.3">
      <c r="J16" s="7"/>
      <c r="L16"/>
    </row>
    <row r="17" spans="2:12" x14ac:dyDescent="0.3">
      <c r="B17" s="4">
        <v>4</v>
      </c>
      <c r="C17" s="6" t="s">
        <v>13</v>
      </c>
      <c r="D17" s="6" t="s">
        <v>14</v>
      </c>
      <c r="E17" s="6" t="s">
        <v>16</v>
      </c>
      <c r="F17" s="6" t="s">
        <v>15</v>
      </c>
      <c r="G17" s="6" t="s">
        <v>26</v>
      </c>
      <c r="H17" s="6" t="s">
        <v>24</v>
      </c>
      <c r="I17" s="6" t="s">
        <v>29</v>
      </c>
      <c r="J17" s="6" t="s">
        <v>19</v>
      </c>
      <c r="K17" s="3" t="s">
        <v>25</v>
      </c>
      <c r="L17"/>
    </row>
    <row r="18" spans="2:12" x14ac:dyDescent="0.3">
      <c r="B18" s="6" t="s">
        <v>10</v>
      </c>
      <c r="C18" s="10">
        <v>0.90400000000000003</v>
      </c>
      <c r="D18" s="8">
        <f>C18*7</f>
        <v>6.3280000000000003</v>
      </c>
      <c r="E18" s="10">
        <v>112.845</v>
      </c>
      <c r="F18" s="10">
        <v>7.13</v>
      </c>
      <c r="G18" s="8">
        <f>213.032</f>
        <v>213.03200000000001</v>
      </c>
      <c r="H18" s="8">
        <v>0</v>
      </c>
      <c r="I18" s="34">
        <v>702.95500000000004</v>
      </c>
      <c r="J18" s="34">
        <f>326.07/I18</f>
        <v>0.46385615010918191</v>
      </c>
      <c r="K18" s="9">
        <f>1</f>
        <v>1</v>
      </c>
      <c r="L18"/>
    </row>
    <row r="19" spans="2:12" x14ac:dyDescent="0.3">
      <c r="B19" s="6" t="s">
        <v>11</v>
      </c>
      <c r="C19" s="8">
        <v>0.997</v>
      </c>
      <c r="D19" s="8">
        <f>C19/K19</f>
        <v>4.2265336368234703</v>
      </c>
      <c r="E19" s="10">
        <v>270.024</v>
      </c>
      <c r="F19" s="10">
        <v>2.698</v>
      </c>
      <c r="G19" s="10">
        <f>E19+99.867</f>
        <v>369.89100000000002</v>
      </c>
      <c r="H19" s="8">
        <f>1-K19</f>
        <v>0.76410929483355206</v>
      </c>
      <c r="I19" s="34"/>
      <c r="J19" s="34"/>
      <c r="K19" s="8">
        <f>15816             /67048</f>
        <v>0.23589070516644792</v>
      </c>
      <c r="L19"/>
    </row>
    <row r="20" spans="2:12" x14ac:dyDescent="0.3">
      <c r="B20" s="6" t="s">
        <v>12</v>
      </c>
      <c r="C20" s="8">
        <v>0.997</v>
      </c>
      <c r="D20" s="8">
        <f>C20/K20</f>
        <v>2.0935920239536214</v>
      </c>
      <c r="E20" s="10">
        <v>511.60199999999998</v>
      </c>
      <c r="F20" s="10">
        <v>5.0720000000000001</v>
      </c>
      <c r="G20" s="10">
        <f>E20+100.583</f>
        <v>612.18499999999995</v>
      </c>
      <c r="H20" s="8">
        <f>1-K20</f>
        <v>0.52378496450458101</v>
      </c>
      <c r="I20" s="34"/>
      <c r="J20" s="34"/>
      <c r="K20" s="8">
        <f>15697             /32962</f>
        <v>0.47621503549541899</v>
      </c>
      <c r="L20"/>
    </row>
    <row r="21" spans="2:12" x14ac:dyDescent="0.3">
      <c r="L21"/>
    </row>
    <row r="22" spans="2:12" x14ac:dyDescent="0.3">
      <c r="B22" s="5">
        <v>5</v>
      </c>
      <c r="C22" s="6" t="s">
        <v>13</v>
      </c>
      <c r="D22" s="6" t="s">
        <v>14</v>
      </c>
      <c r="E22" s="6" t="s">
        <v>16</v>
      </c>
      <c r="F22" s="6" t="s">
        <v>15</v>
      </c>
      <c r="G22" s="6" t="s">
        <v>26</v>
      </c>
      <c r="H22" s="6" t="s">
        <v>24</v>
      </c>
      <c r="I22" s="6" t="s">
        <v>29</v>
      </c>
      <c r="J22" s="6" t="s">
        <v>19</v>
      </c>
      <c r="K22" s="3" t="s">
        <v>25</v>
      </c>
      <c r="L22"/>
    </row>
    <row r="23" spans="2:12" x14ac:dyDescent="0.3">
      <c r="B23" s="6" t="s">
        <v>10</v>
      </c>
      <c r="C23" s="12">
        <v>0.90200000000000002</v>
      </c>
      <c r="D23" s="8">
        <f>C23*7</f>
        <v>6.3140000000000001</v>
      </c>
      <c r="E23" s="11">
        <v>93.712000000000003</v>
      </c>
      <c r="F23" s="11">
        <v>5.9089999999999998</v>
      </c>
      <c r="G23" s="8">
        <f>193.854</f>
        <v>193.85400000000001</v>
      </c>
      <c r="H23" s="8">
        <v>0</v>
      </c>
      <c r="I23" s="34">
        <v>684.53300000000002</v>
      </c>
      <c r="J23" s="34">
        <f>310.229/I23</f>
        <v>0.4531980196718054</v>
      </c>
      <c r="K23" s="9">
        <f>1</f>
        <v>1</v>
      </c>
      <c r="L23"/>
    </row>
    <row r="24" spans="2:12" x14ac:dyDescent="0.3">
      <c r="B24" s="6" t="s">
        <v>11</v>
      </c>
      <c r="C24" s="12">
        <v>0.998</v>
      </c>
      <c r="D24" s="8">
        <f>C24/K24</f>
        <v>4.2193015953086572</v>
      </c>
      <c r="E24" s="11">
        <v>270.18400000000003</v>
      </c>
      <c r="F24" s="11">
        <v>2.7010000000000001</v>
      </c>
      <c r="G24" s="11">
        <f>E24+99.801</f>
        <v>369.98500000000001</v>
      </c>
      <c r="H24" s="8">
        <f>1-K24</f>
        <v>0.76346796325020883</v>
      </c>
      <c r="I24" s="34"/>
      <c r="J24" s="34"/>
      <c r="K24" s="8">
        <f>15859             /67048</f>
        <v>0.2365320367497912</v>
      </c>
      <c r="L24"/>
    </row>
    <row r="25" spans="2:12" x14ac:dyDescent="0.3">
      <c r="B25" s="6" t="s">
        <v>12</v>
      </c>
      <c r="C25" s="12">
        <v>0.997</v>
      </c>
      <c r="D25" s="8">
        <f>C25/K25</f>
        <v>2.084360436354411</v>
      </c>
      <c r="E25" s="11">
        <v>514.60900000000004</v>
      </c>
      <c r="F25" s="11">
        <v>5.1159999999999997</v>
      </c>
      <c r="G25" s="11">
        <f>E25+100.348</f>
        <v>614.95699999999999</v>
      </c>
      <c r="H25" s="8">
        <f>1-K25</f>
        <v>0.52167581834177712</v>
      </c>
      <c r="I25" s="34"/>
      <c r="J25" s="34"/>
      <c r="K25" s="8">
        <f>15767             /32963</f>
        <v>0.47832418165822288</v>
      </c>
      <c r="L25"/>
    </row>
    <row r="26" spans="2:12" x14ac:dyDescent="0.3">
      <c r="K26"/>
      <c r="L26"/>
    </row>
    <row r="27" spans="2:12" x14ac:dyDescent="0.3">
      <c r="B27" s="11" t="s">
        <v>22</v>
      </c>
      <c r="C27" s="13" t="s">
        <v>13</v>
      </c>
      <c r="D27" s="13" t="s">
        <v>14</v>
      </c>
      <c r="E27" s="13" t="s">
        <v>16</v>
      </c>
      <c r="F27" s="13" t="s">
        <v>15</v>
      </c>
      <c r="G27" s="13" t="s">
        <v>26</v>
      </c>
      <c r="H27" s="13" t="s">
        <v>24</v>
      </c>
      <c r="I27" s="13" t="s">
        <v>29</v>
      </c>
      <c r="J27" s="13" t="s">
        <v>19</v>
      </c>
      <c r="K27"/>
      <c r="L27"/>
    </row>
    <row r="28" spans="2:12" x14ac:dyDescent="0.3">
      <c r="B28" s="13" t="s">
        <v>10</v>
      </c>
      <c r="C28" s="12">
        <f>SQRT(_xlfn.VAR.S(C3,C8,C13,C18,C23))</f>
        <v>4.2426406871192892E-3</v>
      </c>
      <c r="D28" s="12">
        <f t="shared" ref="D28:J28" si="0">SQRT(_xlfn.VAR.S(D3,D8,D13,D18,D23))</f>
        <v>2.9698484809834919E-2</v>
      </c>
      <c r="E28" s="12">
        <f t="shared" si="0"/>
        <v>8.2712362860699358</v>
      </c>
      <c r="F28" s="12">
        <f t="shared" si="0"/>
        <v>0.53309633275797352</v>
      </c>
      <c r="G28" s="12">
        <f t="shared" si="0"/>
        <v>8.3855851793419891</v>
      </c>
      <c r="H28" s="12">
        <v>0</v>
      </c>
      <c r="I28" s="38">
        <f>SQRT(_xlfn.VAR.S(I3,I8,I13,I18,I23))</f>
        <v>8.2829945852934266</v>
      </c>
      <c r="J28" s="38">
        <f t="shared" si="0"/>
        <v>6.1444429407801942E-3</v>
      </c>
      <c r="K28"/>
      <c r="L28"/>
    </row>
    <row r="29" spans="2:12" x14ac:dyDescent="0.3">
      <c r="B29" s="13" t="s">
        <v>11</v>
      </c>
      <c r="C29" s="12">
        <f t="shared" ref="C29:H29" si="1">SQRT(_xlfn.VAR.S(C4,C9,C14,C19,C24))</f>
        <v>5.4772255750516654E-4</v>
      </c>
      <c r="D29" s="12">
        <f t="shared" si="1"/>
        <v>1.422208751620848E-2</v>
      </c>
      <c r="E29" s="12">
        <f t="shared" si="1"/>
        <v>1.0541369929947293</v>
      </c>
      <c r="F29" s="12">
        <f t="shared" si="1"/>
        <v>3.5637059362410672E-3</v>
      </c>
      <c r="G29" s="12">
        <f t="shared" si="1"/>
        <v>1.3896594906666802</v>
      </c>
      <c r="H29" s="12">
        <f t="shared" si="1"/>
        <v>7.5723708854646152E-4</v>
      </c>
      <c r="I29" s="39"/>
      <c r="J29" s="39"/>
      <c r="K29"/>
      <c r="L29"/>
    </row>
    <row r="30" spans="2:12" x14ac:dyDescent="0.3">
      <c r="B30" s="13" t="s">
        <v>12</v>
      </c>
      <c r="C30" s="12">
        <f t="shared" ref="C30:H30" si="2">SQRT(_xlfn.VAR.S(C5,C10,C15,C20,C25))</f>
        <v>5.4772255750516654E-4</v>
      </c>
      <c r="D30" s="12">
        <f t="shared" si="2"/>
        <v>1.7739236725803114E-2</v>
      </c>
      <c r="E30" s="12">
        <f t="shared" si="2"/>
        <v>5.9732911531249018</v>
      </c>
      <c r="F30" s="12">
        <f t="shared" si="2"/>
        <v>1.75128524232918E-2</v>
      </c>
      <c r="G30" s="12">
        <f t="shared" si="2"/>
        <v>7.0016180058612179</v>
      </c>
      <c r="H30" s="12">
        <f t="shared" si="2"/>
        <v>4.1622613685468601E-3</v>
      </c>
      <c r="I30" s="40"/>
      <c r="J30" s="40"/>
      <c r="K30"/>
      <c r="L30"/>
    </row>
    <row r="31" spans="2:12" x14ac:dyDescent="0.3">
      <c r="B31" s="14"/>
      <c r="C31" s="14"/>
      <c r="D31" s="14"/>
      <c r="E31" s="14"/>
      <c r="F31" s="14"/>
      <c r="G31" s="14"/>
      <c r="H31" s="14"/>
      <c r="I31" s="14"/>
      <c r="J31" s="14"/>
      <c r="K31"/>
      <c r="L31"/>
    </row>
    <row r="32" spans="2:12" x14ac:dyDescent="0.3">
      <c r="B32" s="11" t="s">
        <v>23</v>
      </c>
      <c r="C32" s="13" t="s">
        <v>13</v>
      </c>
      <c r="D32" s="13" t="s">
        <v>14</v>
      </c>
      <c r="E32" s="13" t="s">
        <v>16</v>
      </c>
      <c r="F32" s="13" t="s">
        <v>15</v>
      </c>
      <c r="G32" s="13" t="s">
        <v>26</v>
      </c>
      <c r="H32" s="13" t="s">
        <v>24</v>
      </c>
      <c r="I32" s="13" t="s">
        <v>29</v>
      </c>
      <c r="J32" s="13" t="s">
        <v>19</v>
      </c>
      <c r="K32"/>
      <c r="L32"/>
    </row>
    <row r="33" spans="2:12" x14ac:dyDescent="0.3">
      <c r="B33" s="13" t="s">
        <v>10</v>
      </c>
      <c r="C33" s="8">
        <f>_xlfn.CONFIDENCE.T(0.05,C28,COUNT(C3,C8,C13,C18,C23))</f>
        <v>5.2679341985105016E-3</v>
      </c>
      <c r="D33" s="8">
        <f>_xlfn.CONFIDENCE.T(0.05,D28,COUNT(D3,D8,D13,D18,D23))</f>
        <v>3.6875539389573379E-2</v>
      </c>
      <c r="E33" s="8">
        <f>_xlfn.CONFIDENCE.T(0.05,E28,COUNT(E3,E8,E13,E18,E23))</f>
        <v>10.270096317049649</v>
      </c>
      <c r="F33" s="8">
        <f>_xlfn.CONFIDENCE.T(0.05,F28,COUNT(F3,F8,F13,F18,F23))</f>
        <v>0.66192652396002971</v>
      </c>
      <c r="G33" s="8">
        <f>_xlfn.CONFIDENCE.T(0.05,G28,COUNT(G3,G8,G13,G18,G23))</f>
        <v>10.412079221060003</v>
      </c>
      <c r="H33" s="8">
        <v>0</v>
      </c>
      <c r="I33" s="35">
        <f>_xlfn.CONFIDENCE.T(0.05,I28,COUNT(I3,I8,I13,I18,I23))</f>
        <v>10.284696173875565</v>
      </c>
      <c r="J33" s="35">
        <f>_xlfn.CONFIDENCE.T(0.05,J28,COUNT(J3,J8,J13,J18,J23))</f>
        <v>7.6293335885840299E-3</v>
      </c>
      <c r="K33"/>
      <c r="L33"/>
    </row>
    <row r="34" spans="2:12" x14ac:dyDescent="0.3">
      <c r="B34" s="13" t="s">
        <v>11</v>
      </c>
      <c r="C34" s="8">
        <f t="shared" ref="C34:H34" si="3">_xlfn.CONFIDENCE.T(0.05,C29,COUNT(C4,C9,C14,C19,C24))</f>
        <v>6.8008738065825623E-4</v>
      </c>
      <c r="D34" s="8">
        <f t="shared" si="3"/>
        <v>1.7659054048179263E-2</v>
      </c>
      <c r="E34" s="8">
        <f t="shared" si="3"/>
        <v>1.3088839533763288</v>
      </c>
      <c r="F34" s="8">
        <f t="shared" si="3"/>
        <v>4.4249253612155719E-3</v>
      </c>
      <c r="G34" s="8">
        <f t="shared" si="3"/>
        <v>1.7254901593229965</v>
      </c>
      <c r="H34" s="8">
        <f t="shared" si="3"/>
        <v>9.402340309527771E-4</v>
      </c>
      <c r="I34" s="36"/>
      <c r="J34" s="36"/>
      <c r="K34"/>
      <c r="L34"/>
    </row>
    <row r="35" spans="2:12" x14ac:dyDescent="0.3">
      <c r="B35" s="13" t="s">
        <v>12</v>
      </c>
      <c r="C35" s="8">
        <f t="shared" ref="C35:H35" si="4">_xlfn.CONFIDENCE.T(0.05,C30,COUNT(C5,C10,C15,C20,C25))</f>
        <v>6.8008738065825623E-4</v>
      </c>
      <c r="D35" s="8">
        <f t="shared" si="4"/>
        <v>2.2026171598043744E-2</v>
      </c>
      <c r="E35" s="8">
        <f t="shared" si="4"/>
        <v>7.4168205756242385</v>
      </c>
      <c r="F35" s="8">
        <f t="shared" si="4"/>
        <v>2.1745078359856975E-2</v>
      </c>
      <c r="G35" s="8">
        <f t="shared" si="4"/>
        <v>8.6936570070531047</v>
      </c>
      <c r="H35" s="8">
        <f t="shared" si="4"/>
        <v>5.1681300924389653E-3</v>
      </c>
      <c r="I35" s="37"/>
      <c r="J35" s="37"/>
      <c r="K35"/>
      <c r="L35"/>
    </row>
    <row r="36" spans="2:12" x14ac:dyDescent="0.3">
      <c r="B36" s="14"/>
      <c r="C36" s="14"/>
      <c r="D36" s="14"/>
      <c r="E36" s="14"/>
      <c r="F36" s="14"/>
      <c r="G36" s="14"/>
      <c r="H36" s="14"/>
      <c r="I36" s="14"/>
      <c r="J36" s="14"/>
      <c r="K36"/>
      <c r="L36"/>
    </row>
    <row r="37" spans="2:12" x14ac:dyDescent="0.3">
      <c r="B37" s="11" t="s">
        <v>21</v>
      </c>
      <c r="C37" s="15" t="s">
        <v>13</v>
      </c>
      <c r="D37" s="15" t="s">
        <v>14</v>
      </c>
      <c r="E37" s="15" t="s">
        <v>16</v>
      </c>
      <c r="F37" s="15" t="s">
        <v>15</v>
      </c>
      <c r="G37" s="15" t="s">
        <v>26</v>
      </c>
      <c r="H37" s="15" t="s">
        <v>24</v>
      </c>
      <c r="I37" s="15" t="s">
        <v>29</v>
      </c>
      <c r="J37" s="15" t="s">
        <v>19</v>
      </c>
      <c r="K37"/>
      <c r="L37"/>
    </row>
    <row r="38" spans="2:12" x14ac:dyDescent="0.3">
      <c r="B38" s="15" t="s">
        <v>10</v>
      </c>
      <c r="C38" s="12">
        <f>AVERAGE(C3,C8,C13,C18,C23)</f>
        <v>0.89900000000000002</v>
      </c>
      <c r="D38" s="12">
        <f t="shared" ref="C38:G40" si="5">AVERAGE(D3,D8,D13,D18,D23)</f>
        <v>6.2930000000000001</v>
      </c>
      <c r="E38" s="12">
        <f t="shared" si="5"/>
        <v>98.272199999999998</v>
      </c>
      <c r="F38" s="12">
        <f t="shared" si="5"/>
        <v>6.1891999999999996</v>
      </c>
      <c r="G38" s="12">
        <f t="shared" si="5"/>
        <v>198.23640000000003</v>
      </c>
      <c r="H38" s="11">
        <f t="shared" ref="H38:J38" si="6">AVERAGE(H3,H8,H13,H18,H23)</f>
        <v>0</v>
      </c>
      <c r="I38" s="41">
        <f t="shared" si="6"/>
        <v>689.84739999999999</v>
      </c>
      <c r="J38" s="41">
        <f t="shared" si="6"/>
        <v>0.45808688822524718</v>
      </c>
      <c r="K38"/>
      <c r="L38"/>
    </row>
    <row r="39" spans="2:12" x14ac:dyDescent="0.3">
      <c r="B39" s="15" t="s">
        <v>11</v>
      </c>
      <c r="C39" s="12">
        <f t="shared" si="5"/>
        <v>0.99740000000000006</v>
      </c>
      <c r="D39" s="12">
        <f t="shared" si="5"/>
        <v>4.2231111292985046</v>
      </c>
      <c r="E39" s="12">
        <f t="shared" si="5"/>
        <v>270.83759999999995</v>
      </c>
      <c r="F39" s="12">
        <f t="shared" si="5"/>
        <v>2.6982000000000004</v>
      </c>
      <c r="G39" s="12">
        <f t="shared" si="5"/>
        <v>370.98500000000001</v>
      </c>
      <c r="H39" s="12">
        <f>AVERAGE(H4,H9,H14,H19,H24)</f>
        <v>0.76382139234548974</v>
      </c>
      <c r="I39" s="41"/>
      <c r="J39" s="41"/>
      <c r="K39"/>
      <c r="L39"/>
    </row>
    <row r="40" spans="2:12" x14ac:dyDescent="0.3">
      <c r="B40" s="15" t="s">
        <v>12</v>
      </c>
      <c r="C40" s="12">
        <f t="shared" si="5"/>
        <v>0.99659999999999993</v>
      </c>
      <c r="D40" s="12">
        <f t="shared" si="5"/>
        <v>2.0840568873577814</v>
      </c>
      <c r="E40" s="12">
        <f t="shared" si="5"/>
        <v>512.42380000000003</v>
      </c>
      <c r="F40" s="12">
        <f t="shared" si="5"/>
        <v>5.0927999999999995</v>
      </c>
      <c r="G40" s="12">
        <f t="shared" si="5"/>
        <v>612.76919999999996</v>
      </c>
      <c r="H40" s="12">
        <f>AVERAGE(H5,H10,H15,H20,H25)</f>
        <v>0.52176978750766312</v>
      </c>
      <c r="I40" s="41"/>
      <c r="J40" s="41"/>
      <c r="K40"/>
      <c r="L40"/>
    </row>
    <row r="41" spans="2:12" x14ac:dyDescent="0.3">
      <c r="B41" s="14"/>
      <c r="C41" s="14"/>
      <c r="D41" s="16"/>
      <c r="E41" s="14"/>
      <c r="F41" s="14"/>
      <c r="G41" s="14"/>
      <c r="H41" s="14"/>
      <c r="I41" s="14"/>
      <c r="J41" s="14"/>
      <c r="K41"/>
      <c r="L41"/>
    </row>
    <row r="42" spans="2:12" x14ac:dyDescent="0.3">
      <c r="K42"/>
      <c r="L42"/>
    </row>
  </sheetData>
  <mergeCells count="16">
    <mergeCell ref="I18:I20"/>
    <mergeCell ref="J18:J20"/>
    <mergeCell ref="I23:I25"/>
    <mergeCell ref="J23:J25"/>
    <mergeCell ref="I33:I35"/>
    <mergeCell ref="I28:I30"/>
    <mergeCell ref="J28:J30"/>
    <mergeCell ref="J33:J35"/>
    <mergeCell ref="I38:I40"/>
    <mergeCell ref="J38:J40"/>
    <mergeCell ref="I3:I5"/>
    <mergeCell ref="J3:J5"/>
    <mergeCell ref="I8:I10"/>
    <mergeCell ref="J8:J10"/>
    <mergeCell ref="I13:I15"/>
    <mergeCell ref="J13:J15"/>
  </mergeCells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EDC2BB-D839-4747-904A-EF72A179BFA8}">
  <sheetPr>
    <tabColor rgb="FF00B050"/>
  </sheetPr>
  <dimension ref="B2:Z45"/>
  <sheetViews>
    <sheetView topLeftCell="A31" workbookViewId="0">
      <selection activeCell="E51" sqref="E51"/>
    </sheetView>
  </sheetViews>
  <sheetFormatPr defaultRowHeight="15.05" x14ac:dyDescent="0.3"/>
  <cols>
    <col min="1" max="1" width="8.88671875" style="19"/>
    <col min="2" max="2" width="8.109375" style="19" bestFit="1" customWidth="1"/>
    <col min="3" max="3" width="8.21875" style="19" bestFit="1" customWidth="1"/>
    <col min="4" max="4" width="8.44140625" style="19" bestFit="1" customWidth="1"/>
    <col min="5" max="6" width="11.109375" style="19" bestFit="1" customWidth="1"/>
    <col min="7" max="7" width="13.33203125" style="19" bestFit="1" customWidth="1"/>
    <col min="8" max="8" width="8" style="19" bestFit="1" customWidth="1"/>
    <col min="9" max="9" width="13.5546875" style="19" bestFit="1" customWidth="1"/>
    <col min="10" max="10" width="8" style="19" bestFit="1" customWidth="1"/>
    <col min="11" max="11" width="13.33203125" style="19" bestFit="1" customWidth="1"/>
    <col min="12" max="12" width="10.44140625" style="19" bestFit="1" customWidth="1"/>
    <col min="13" max="14" width="9.44140625" style="19" bestFit="1" customWidth="1"/>
    <col min="15" max="15" width="11.44140625" style="19" bestFit="1" customWidth="1"/>
    <col min="16" max="25" width="8.88671875" style="19"/>
    <col min="26" max="26" width="9" style="19" bestFit="1" customWidth="1"/>
    <col min="27" max="16384" width="8.88671875" style="19"/>
  </cols>
  <sheetData>
    <row r="2" spans="2:26" x14ac:dyDescent="0.3">
      <c r="B2" s="8"/>
      <c r="C2" s="17" t="s">
        <v>13</v>
      </c>
      <c r="D2" s="17" t="s">
        <v>14</v>
      </c>
      <c r="E2" s="17" t="s">
        <v>16</v>
      </c>
      <c r="F2" s="17" t="s">
        <v>15</v>
      </c>
      <c r="G2" s="17" t="s">
        <v>26</v>
      </c>
      <c r="H2" s="17" t="s">
        <v>24</v>
      </c>
      <c r="I2" s="17" t="s">
        <v>29</v>
      </c>
      <c r="J2" s="17" t="s">
        <v>19</v>
      </c>
      <c r="K2" s="18" t="s">
        <v>17</v>
      </c>
      <c r="L2" s="18" t="s">
        <v>27</v>
      </c>
      <c r="M2" s="18" t="s">
        <v>28</v>
      </c>
      <c r="N2" s="18" t="s">
        <v>30</v>
      </c>
      <c r="O2" s="18" t="s">
        <v>31</v>
      </c>
      <c r="U2" s="14"/>
    </row>
    <row r="3" spans="2:26" x14ac:dyDescent="0.3">
      <c r="B3" s="17" t="s">
        <v>10</v>
      </c>
      <c r="C3" s="20"/>
      <c r="D3" s="8">
        <f>C3*14</f>
        <v>0</v>
      </c>
      <c r="E3" s="20"/>
      <c r="F3" s="20"/>
      <c r="G3" s="20"/>
      <c r="H3" s="21">
        <v>0</v>
      </c>
      <c r="I3" s="42"/>
      <c r="J3" s="34" t="e">
        <f>N3/I3</f>
        <v>#DIV/0!</v>
      </c>
      <c r="K3" s="22">
        <f>G3-E3</f>
        <v>0</v>
      </c>
      <c r="L3" s="8">
        <f>L4+L5</f>
        <v>0</v>
      </c>
      <c r="M3" s="21"/>
      <c r="N3" s="42"/>
      <c r="O3" s="42"/>
      <c r="Y3" s="17" t="s">
        <v>18</v>
      </c>
      <c r="Z3" s="23">
        <v>584.9</v>
      </c>
    </row>
    <row r="4" spans="2:26" x14ac:dyDescent="0.3">
      <c r="B4" s="17" t="s">
        <v>11</v>
      </c>
      <c r="C4" s="20"/>
      <c r="D4" s="8" t="e">
        <f>L4/O3*K4</f>
        <v>#DIV/0!</v>
      </c>
      <c r="E4" s="20"/>
      <c r="F4" s="20"/>
      <c r="G4" s="8">
        <f>E4+K4</f>
        <v>0</v>
      </c>
      <c r="H4" s="24" t="e">
        <f>1 - M4/L4</f>
        <v>#DIV/0!</v>
      </c>
      <c r="I4" s="42"/>
      <c r="J4" s="34"/>
      <c r="K4" s="25"/>
      <c r="L4" s="20"/>
      <c r="M4" s="25"/>
      <c r="N4" s="42"/>
      <c r="O4" s="42"/>
      <c r="Y4" s="17" t="s">
        <v>19</v>
      </c>
      <c r="Z4" s="8">
        <v>285.63600000000002</v>
      </c>
    </row>
    <row r="5" spans="2:26" x14ac:dyDescent="0.3">
      <c r="B5" s="17" t="s">
        <v>12</v>
      </c>
      <c r="C5" s="20"/>
      <c r="D5" s="8" t="e">
        <f>L5/O3*K5</f>
        <v>#DIV/0!</v>
      </c>
      <c r="E5" s="20"/>
      <c r="F5" s="20"/>
      <c r="G5" s="8">
        <f>E5+K5</f>
        <v>0</v>
      </c>
      <c r="H5" s="24" t="e">
        <f>1 - M5/L5</f>
        <v>#DIV/0!</v>
      </c>
      <c r="I5" s="42"/>
      <c r="J5" s="34"/>
      <c r="K5" s="25"/>
      <c r="L5" s="20"/>
      <c r="M5" s="25"/>
      <c r="N5" s="42"/>
      <c r="O5" s="42"/>
      <c r="Y5" s="17" t="s">
        <v>20</v>
      </c>
      <c r="Z5" s="26">
        <f>(51239             +16918)             /100000</f>
        <v>0.68157000000000001</v>
      </c>
    </row>
    <row r="7" spans="2:26" x14ac:dyDescent="0.3">
      <c r="B7" s="27">
        <v>1</v>
      </c>
      <c r="C7" s="17" t="s">
        <v>13</v>
      </c>
      <c r="D7" s="17" t="s">
        <v>14</v>
      </c>
      <c r="E7" s="17" t="s">
        <v>16</v>
      </c>
      <c r="F7" s="17" t="s">
        <v>15</v>
      </c>
      <c r="G7" s="17" t="s">
        <v>26</v>
      </c>
      <c r="H7" s="17" t="s">
        <v>24</v>
      </c>
      <c r="I7" s="17" t="s">
        <v>29</v>
      </c>
      <c r="J7" s="17" t="s">
        <v>19</v>
      </c>
      <c r="K7" s="18" t="s">
        <v>17</v>
      </c>
      <c r="L7" s="18" t="s">
        <v>27</v>
      </c>
      <c r="M7" s="18" t="s">
        <v>28</v>
      </c>
      <c r="N7" s="18" t="s">
        <v>30</v>
      </c>
      <c r="O7" s="18" t="s">
        <v>31</v>
      </c>
    </row>
    <row r="8" spans="2:26" x14ac:dyDescent="0.3">
      <c r="B8" s="17" t="s">
        <v>10</v>
      </c>
      <c r="C8" s="20">
        <v>0.45</v>
      </c>
      <c r="D8" s="8">
        <f>C8*14</f>
        <v>6.3</v>
      </c>
      <c r="E8" s="20">
        <v>7.4999999999999997E-2</v>
      </c>
      <c r="F8" s="20">
        <v>5.0000000000000001E-3</v>
      </c>
      <c r="G8" s="20">
        <f>100.052</f>
        <v>100.05200000000001</v>
      </c>
      <c r="H8" s="21">
        <v>0</v>
      </c>
      <c r="I8" s="42">
        <v>584.9</v>
      </c>
      <c r="J8" s="34">
        <f>N8/I8</f>
        <v>0.48835014532398707</v>
      </c>
      <c r="K8" s="22">
        <f>G8-E8</f>
        <v>99.977000000000004</v>
      </c>
      <c r="L8" s="8">
        <f>L9+L10</f>
        <v>100008</v>
      </c>
      <c r="M8" s="21"/>
      <c r="N8" s="42">
        <f>285.636</f>
        <v>285.63600000000002</v>
      </c>
      <c r="O8" s="42">
        <f>1585837.65</f>
        <v>1585837.65</v>
      </c>
    </row>
    <row r="9" spans="2:26" x14ac:dyDescent="0.3">
      <c r="B9" s="17" t="s">
        <v>11</v>
      </c>
      <c r="C9" s="20">
        <v>0.998</v>
      </c>
      <c r="D9" s="8">
        <f>L9/O8*K9</f>
        <v>4.2230826339631928</v>
      </c>
      <c r="E9" s="20">
        <v>269.53100000000001</v>
      </c>
      <c r="F9" s="20">
        <v>2.694</v>
      </c>
      <c r="G9" s="8">
        <f>E9+K9</f>
        <v>369.351</v>
      </c>
      <c r="H9" s="24">
        <f>1 - M9/L9</f>
        <v>0.76371251415966135</v>
      </c>
      <c r="I9" s="42"/>
      <c r="J9" s="34"/>
      <c r="K9" s="25">
        <f>99.82</f>
        <v>99.82</v>
      </c>
      <c r="L9" s="20">
        <f>67092</f>
        <v>67092</v>
      </c>
      <c r="M9" s="25">
        <f>15853</f>
        <v>15853</v>
      </c>
      <c r="N9" s="42"/>
      <c r="O9" s="42"/>
    </row>
    <row r="10" spans="2:26" x14ac:dyDescent="0.3">
      <c r="B10" s="17" t="s">
        <v>12</v>
      </c>
      <c r="C10" s="20">
        <v>0.995</v>
      </c>
      <c r="D10" s="8">
        <f>L10/O8*K10</f>
        <v>2.048597703554333</v>
      </c>
      <c r="E10" s="20">
        <v>500.68299999999999</v>
      </c>
      <c r="F10" s="20">
        <v>5.0510000000000002</v>
      </c>
      <c r="G10" s="8">
        <f>E10+K10</f>
        <v>599.38099999999997</v>
      </c>
      <c r="H10" s="24">
        <f>1 - M10/L10</f>
        <v>0.51397496658160158</v>
      </c>
      <c r="I10" s="42"/>
      <c r="J10" s="34"/>
      <c r="K10" s="25">
        <f>98.698</f>
        <v>98.697999999999993</v>
      </c>
      <c r="L10" s="20">
        <f>32916</f>
        <v>32916</v>
      </c>
      <c r="M10" s="25">
        <f>15998</f>
        <v>15998</v>
      </c>
      <c r="N10" s="42"/>
      <c r="O10" s="42"/>
    </row>
    <row r="12" spans="2:26" x14ac:dyDescent="0.3">
      <c r="B12" s="27">
        <v>2</v>
      </c>
      <c r="C12" s="17" t="s">
        <v>13</v>
      </c>
      <c r="D12" s="17" t="s">
        <v>14</v>
      </c>
      <c r="E12" s="17" t="s">
        <v>16</v>
      </c>
      <c r="F12" s="17" t="s">
        <v>15</v>
      </c>
      <c r="G12" s="17" t="s">
        <v>26</v>
      </c>
      <c r="H12" s="17" t="s">
        <v>24</v>
      </c>
      <c r="I12" s="17" t="s">
        <v>29</v>
      </c>
      <c r="J12" s="17" t="s">
        <v>19</v>
      </c>
      <c r="K12" s="18" t="s">
        <v>17</v>
      </c>
      <c r="L12" s="18" t="s">
        <v>27</v>
      </c>
      <c r="M12" s="18" t="s">
        <v>28</v>
      </c>
      <c r="N12" s="18" t="s">
        <v>30</v>
      </c>
      <c r="O12" s="18" t="s">
        <v>31</v>
      </c>
    </row>
    <row r="13" spans="2:26" x14ac:dyDescent="0.3">
      <c r="B13" s="17" t="s">
        <v>10</v>
      </c>
      <c r="C13" s="20">
        <v>0.44800000000000001</v>
      </c>
      <c r="D13" s="8">
        <f>C13*14</f>
        <v>6.2720000000000002</v>
      </c>
      <c r="E13" s="20">
        <v>0.08</v>
      </c>
      <c r="F13" s="20">
        <v>5.0000000000000001E-3</v>
      </c>
      <c r="G13" s="20">
        <v>99.965000000000003</v>
      </c>
      <c r="H13" s="21">
        <v>0</v>
      </c>
      <c r="I13" s="43">
        <v>591.42600000000004</v>
      </c>
      <c r="J13" s="46">
        <f>N13/I13</f>
        <v>0.48914657116866683</v>
      </c>
      <c r="K13" s="22">
        <f>G13-E13</f>
        <v>99.885000000000005</v>
      </c>
      <c r="L13" s="8">
        <f>L14+L15</f>
        <v>100008</v>
      </c>
      <c r="M13" s="21"/>
      <c r="N13" s="43">
        <v>289.29399999999998</v>
      </c>
      <c r="O13" s="43">
        <f>1585837.65</f>
        <v>1585837.65</v>
      </c>
    </row>
    <row r="14" spans="2:26" x14ac:dyDescent="0.3">
      <c r="B14" s="17" t="s">
        <v>11</v>
      </c>
      <c r="C14" s="20">
        <v>0.998</v>
      </c>
      <c r="D14" s="8">
        <f>L14/O13*K14</f>
        <v>4.2327645910033729</v>
      </c>
      <c r="E14" s="20">
        <v>270.387</v>
      </c>
      <c r="F14" s="20">
        <v>2.6960000000000002</v>
      </c>
      <c r="G14" s="8">
        <f>E14+K14</f>
        <v>370.50299999999999</v>
      </c>
      <c r="H14" s="24">
        <f>1 - M14/L14</f>
        <v>0.76316613718734616</v>
      </c>
      <c r="I14" s="44"/>
      <c r="J14" s="47"/>
      <c r="K14" s="25">
        <v>100.116</v>
      </c>
      <c r="L14" s="20">
        <v>67047</v>
      </c>
      <c r="M14" s="25">
        <v>15879</v>
      </c>
      <c r="N14" s="44"/>
      <c r="O14" s="44"/>
    </row>
    <row r="15" spans="2:26" x14ac:dyDescent="0.3">
      <c r="B15" s="17" t="s">
        <v>12</v>
      </c>
      <c r="C15" s="20">
        <v>0.996</v>
      </c>
      <c r="D15" s="8">
        <f>L15/O13*K15</f>
        <v>2.0839470572539378</v>
      </c>
      <c r="E15" s="20">
        <v>511.69099999999997</v>
      </c>
      <c r="F15" s="20">
        <v>5.0839999999999996</v>
      </c>
      <c r="G15" s="8">
        <f>E15+K15</f>
        <v>611.95499999999993</v>
      </c>
      <c r="H15" s="24">
        <f>1 - M15/L15</f>
        <v>0.51994781711719917</v>
      </c>
      <c r="I15" s="45"/>
      <c r="J15" s="48"/>
      <c r="K15" s="25">
        <v>100.264</v>
      </c>
      <c r="L15" s="20">
        <v>32961</v>
      </c>
      <c r="M15" s="25">
        <v>15823</v>
      </c>
      <c r="N15" s="45"/>
      <c r="O15" s="45"/>
    </row>
    <row r="17" spans="2:15" x14ac:dyDescent="0.3">
      <c r="B17" s="27">
        <v>3</v>
      </c>
      <c r="C17" s="17" t="s">
        <v>13</v>
      </c>
      <c r="D17" s="17" t="s">
        <v>14</v>
      </c>
      <c r="E17" s="17" t="s">
        <v>16</v>
      </c>
      <c r="F17" s="17" t="s">
        <v>15</v>
      </c>
      <c r="G17" s="17" t="s">
        <v>26</v>
      </c>
      <c r="H17" s="17" t="s">
        <v>24</v>
      </c>
      <c r="I17" s="17" t="s">
        <v>29</v>
      </c>
      <c r="J17" s="17" t="s">
        <v>19</v>
      </c>
      <c r="K17" s="18" t="s">
        <v>17</v>
      </c>
      <c r="L17" s="18" t="s">
        <v>27</v>
      </c>
      <c r="M17" s="18" t="s">
        <v>28</v>
      </c>
      <c r="N17" s="18" t="s">
        <v>30</v>
      </c>
      <c r="O17" s="18" t="s">
        <v>31</v>
      </c>
    </row>
    <row r="18" spans="2:15" x14ac:dyDescent="0.3">
      <c r="B18" s="17" t="s">
        <v>10</v>
      </c>
      <c r="C18" s="20">
        <v>0.45</v>
      </c>
      <c r="D18" s="8">
        <f>L18/O18*K18</f>
        <v>6.3040530574130056</v>
      </c>
      <c r="E18" s="20">
        <v>6.6000000000000003E-2</v>
      </c>
      <c r="F18" s="20">
        <v>4.0000000000000001E-3</v>
      </c>
      <c r="G18" s="20">
        <v>100.15300000000001</v>
      </c>
      <c r="H18" s="21">
        <v>0</v>
      </c>
      <c r="I18" s="42">
        <v>592.01800000000003</v>
      </c>
      <c r="J18" s="34">
        <f>N18/I18</f>
        <v>0.48188061849470787</v>
      </c>
      <c r="K18" s="22">
        <f>G18-E18</f>
        <v>100.087</v>
      </c>
      <c r="L18" s="8">
        <f>L19+L20</f>
        <v>100010</v>
      </c>
      <c r="M18" s="21"/>
      <c r="N18" s="42">
        <v>285.28199999999998</v>
      </c>
      <c r="O18" s="42">
        <v>1587819.8959999999</v>
      </c>
    </row>
    <row r="19" spans="2:15" x14ac:dyDescent="0.3">
      <c r="B19" s="17" t="s">
        <v>11</v>
      </c>
      <c r="C19" s="20">
        <v>0.998</v>
      </c>
      <c r="D19" s="8">
        <f>L19/O18*K19</f>
        <v>4.2543994523671085</v>
      </c>
      <c r="E19" s="20">
        <v>272.40899999999999</v>
      </c>
      <c r="F19" s="20">
        <v>2.698</v>
      </c>
      <c r="G19" s="8">
        <f>E19+K19</f>
        <v>373.161</v>
      </c>
      <c r="H19" s="24">
        <f>1 - M19/L19</f>
        <v>0.76548144612814695</v>
      </c>
      <c r="I19" s="42"/>
      <c r="J19" s="34"/>
      <c r="K19" s="25">
        <v>100.752</v>
      </c>
      <c r="L19" s="20">
        <v>67048</v>
      </c>
      <c r="M19" s="25">
        <v>15724</v>
      </c>
      <c r="N19" s="42"/>
      <c r="O19" s="42"/>
    </row>
    <row r="20" spans="2:15" x14ac:dyDescent="0.3">
      <c r="B20" s="17" t="s">
        <v>12</v>
      </c>
      <c r="C20" s="20">
        <v>0.997</v>
      </c>
      <c r="D20" s="8">
        <f>L20/O18*K20</f>
        <v>2.0711950217306008</v>
      </c>
      <c r="E20" s="20">
        <v>510.22199999999998</v>
      </c>
      <c r="F20" s="20">
        <v>5.101</v>
      </c>
      <c r="G20" s="8">
        <f>E20+K20</f>
        <v>609.99400000000003</v>
      </c>
      <c r="H20" s="24">
        <f>1 - M20/L20</f>
        <v>0.51841514471209271</v>
      </c>
      <c r="I20" s="42"/>
      <c r="J20" s="34"/>
      <c r="K20" s="25">
        <v>99.772000000000006</v>
      </c>
      <c r="L20" s="20">
        <v>32962</v>
      </c>
      <c r="M20" s="25">
        <v>15874</v>
      </c>
      <c r="N20" s="42"/>
      <c r="O20" s="42"/>
    </row>
    <row r="22" spans="2:15" x14ac:dyDescent="0.3">
      <c r="B22" s="27">
        <v>4</v>
      </c>
      <c r="C22" s="17" t="s">
        <v>13</v>
      </c>
      <c r="D22" s="17" t="s">
        <v>14</v>
      </c>
      <c r="E22" s="17" t="s">
        <v>16</v>
      </c>
      <c r="F22" s="17" t="s">
        <v>15</v>
      </c>
      <c r="G22" s="17" t="s">
        <v>26</v>
      </c>
      <c r="H22" s="17" t="s">
        <v>24</v>
      </c>
      <c r="I22" s="17" t="s">
        <v>29</v>
      </c>
      <c r="J22" s="17" t="s">
        <v>19</v>
      </c>
      <c r="K22" s="18" t="s">
        <v>17</v>
      </c>
      <c r="L22" s="18" t="s">
        <v>27</v>
      </c>
      <c r="M22" s="18" t="s">
        <v>28</v>
      </c>
      <c r="N22" s="18" t="s">
        <v>30</v>
      </c>
      <c r="O22" s="18" t="s">
        <v>31</v>
      </c>
    </row>
    <row r="23" spans="2:15" x14ac:dyDescent="0.3">
      <c r="B23" s="17" t="s">
        <v>10</v>
      </c>
      <c r="C23" s="20">
        <v>0.44900000000000001</v>
      </c>
      <c r="D23" s="8">
        <f>C23*14</f>
        <v>6.2860000000000005</v>
      </c>
      <c r="E23" s="20">
        <v>7.5999999999999998E-2</v>
      </c>
      <c r="F23" s="20">
        <v>5.0000000000000001E-3</v>
      </c>
      <c r="G23" s="20">
        <v>99.992999999999995</v>
      </c>
      <c r="H23" s="21">
        <v>0</v>
      </c>
      <c r="I23" s="42">
        <v>588.79</v>
      </c>
      <c r="J23" s="34">
        <f>N23/I23</f>
        <v>0.49500161347848981</v>
      </c>
      <c r="K23" s="22">
        <f>G23-E23</f>
        <v>99.917000000000002</v>
      </c>
      <c r="L23" s="8">
        <f>L24+L25</f>
        <v>100011</v>
      </c>
      <c r="M23" s="21"/>
      <c r="N23" s="42">
        <v>291.452</v>
      </c>
      <c r="O23" s="42">
        <v>1589694.013</v>
      </c>
    </row>
    <row r="24" spans="2:15" x14ac:dyDescent="0.3">
      <c r="B24" s="17" t="s">
        <v>11</v>
      </c>
      <c r="C24" s="20">
        <v>0.997</v>
      </c>
      <c r="D24" s="8">
        <f>L24/O23*K24</f>
        <v>4.1759542866190555</v>
      </c>
      <c r="E24" s="20">
        <v>266.95299999999997</v>
      </c>
      <c r="F24" s="20">
        <v>2.6880000000000002</v>
      </c>
      <c r="G24" s="8">
        <f>E24+K24</f>
        <v>365.96399999999994</v>
      </c>
      <c r="H24" s="24">
        <f>1 - M24/L24</f>
        <v>0.76123076005249968</v>
      </c>
      <c r="I24" s="42"/>
      <c r="J24" s="34"/>
      <c r="K24" s="25">
        <v>99.010999999999996</v>
      </c>
      <c r="L24" s="20">
        <v>67048</v>
      </c>
      <c r="M24" s="25">
        <v>16009</v>
      </c>
      <c r="N24" s="42"/>
      <c r="O24" s="42"/>
    </row>
    <row r="25" spans="2:15" x14ac:dyDescent="0.3">
      <c r="B25" s="17" t="s">
        <v>12</v>
      </c>
      <c r="C25" s="20">
        <v>0.998</v>
      </c>
      <c r="D25" s="8">
        <f>L25/O23*K25</f>
        <v>2.0824391989453885</v>
      </c>
      <c r="E25" s="20">
        <v>513.17999999999995</v>
      </c>
      <c r="F25" s="20">
        <v>5.0990000000000002</v>
      </c>
      <c r="G25" s="8">
        <f>E25+K25</f>
        <v>613.60899999999992</v>
      </c>
      <c r="H25" s="24">
        <f>1 - M25/L25</f>
        <v>0.52079604404938873</v>
      </c>
      <c r="I25" s="42"/>
      <c r="J25" s="34"/>
      <c r="K25" s="25">
        <v>100.429</v>
      </c>
      <c r="L25" s="20">
        <v>32963</v>
      </c>
      <c r="M25" s="25">
        <v>15796</v>
      </c>
      <c r="N25" s="42"/>
      <c r="O25" s="42"/>
    </row>
    <row r="27" spans="2:15" x14ac:dyDescent="0.3">
      <c r="B27" s="27">
        <v>5</v>
      </c>
      <c r="C27" s="17" t="s">
        <v>13</v>
      </c>
      <c r="D27" s="17" t="s">
        <v>14</v>
      </c>
      <c r="E27" s="17" t="s">
        <v>16</v>
      </c>
      <c r="F27" s="17" t="s">
        <v>15</v>
      </c>
      <c r="G27" s="17" t="s">
        <v>26</v>
      </c>
      <c r="H27" s="17" t="s">
        <v>24</v>
      </c>
      <c r="I27" s="17" t="s">
        <v>29</v>
      </c>
      <c r="J27" s="17" t="s">
        <v>19</v>
      </c>
      <c r="K27" s="18" t="s">
        <v>17</v>
      </c>
      <c r="L27" s="18" t="s">
        <v>27</v>
      </c>
      <c r="M27" s="18" t="s">
        <v>28</v>
      </c>
      <c r="N27" s="18" t="s">
        <v>30</v>
      </c>
      <c r="O27" s="18" t="s">
        <v>31</v>
      </c>
    </row>
    <row r="28" spans="2:15" x14ac:dyDescent="0.3">
      <c r="B28" s="17" t="s">
        <v>10</v>
      </c>
      <c r="C28" s="20">
        <v>0.45</v>
      </c>
      <c r="D28" s="8">
        <f>C28*14</f>
        <v>6.3</v>
      </c>
      <c r="E28" s="20">
        <v>0.67</v>
      </c>
      <c r="F28" s="20">
        <v>4.0000000000000001E-3</v>
      </c>
      <c r="G28" s="20">
        <v>100.03400000000001</v>
      </c>
      <c r="H28" s="21">
        <v>0</v>
      </c>
      <c r="I28" s="42">
        <v>590.71</v>
      </c>
      <c r="J28" s="34">
        <f>N28/I28</f>
        <v>0.48533798310507692</v>
      </c>
      <c r="K28" s="22">
        <f>G28-E28</f>
        <v>99.364000000000004</v>
      </c>
      <c r="L28" s="8">
        <f>L29+L30</f>
        <v>100010</v>
      </c>
      <c r="M28" s="21"/>
      <c r="N28" s="42">
        <v>286.69400000000002</v>
      </c>
      <c r="O28" s="42">
        <v>1588079.0160000001</v>
      </c>
    </row>
    <row r="29" spans="2:15" x14ac:dyDescent="0.3">
      <c r="B29" s="17" t="s">
        <v>11</v>
      </c>
      <c r="C29" s="20">
        <v>0.998</v>
      </c>
      <c r="D29" s="8">
        <f>L29/O28*K29</f>
        <v>4.2621914122691233</v>
      </c>
      <c r="E29" s="20">
        <v>272.88499999999999</v>
      </c>
      <c r="F29" s="20">
        <v>2.698</v>
      </c>
      <c r="G29" s="8">
        <f>E29+K29</f>
        <v>373.83799999999997</v>
      </c>
      <c r="H29" s="24">
        <f>1 - M29/L29</f>
        <v>0.76577973988784154</v>
      </c>
      <c r="I29" s="42"/>
      <c r="J29" s="34"/>
      <c r="K29" s="25">
        <v>100.953</v>
      </c>
      <c r="L29" s="20">
        <v>67048</v>
      </c>
      <c r="M29" s="25">
        <v>15704</v>
      </c>
      <c r="N29" s="42"/>
      <c r="O29" s="42"/>
    </row>
    <row r="30" spans="2:15" x14ac:dyDescent="0.3">
      <c r="B30" s="17" t="s">
        <v>12</v>
      </c>
      <c r="C30" s="20">
        <v>0.996</v>
      </c>
      <c r="D30" s="8">
        <f>L30/O28*K30</f>
        <v>2.066747406729792</v>
      </c>
      <c r="E30" s="20">
        <v>507.08800000000002</v>
      </c>
      <c r="F30" s="20">
        <v>5.0739999999999998</v>
      </c>
      <c r="G30" s="8">
        <f>E30+K30</f>
        <v>606.66200000000003</v>
      </c>
      <c r="H30" s="24">
        <f>1 - M30/L30</f>
        <v>0.51792973727322367</v>
      </c>
      <c r="I30" s="42"/>
      <c r="J30" s="34"/>
      <c r="K30" s="25">
        <v>99.573999999999998</v>
      </c>
      <c r="L30" s="20">
        <v>32962</v>
      </c>
      <c r="M30" s="25">
        <v>15890</v>
      </c>
      <c r="N30" s="42"/>
      <c r="O30" s="42"/>
    </row>
    <row r="32" spans="2:15" x14ac:dyDescent="0.3">
      <c r="B32" s="11" t="s">
        <v>22</v>
      </c>
      <c r="C32" s="13" t="s">
        <v>13</v>
      </c>
      <c r="D32" s="13" t="s">
        <v>14</v>
      </c>
      <c r="E32" s="13" t="s">
        <v>16</v>
      </c>
      <c r="F32" s="13" t="s">
        <v>15</v>
      </c>
      <c r="G32" s="13" t="s">
        <v>26</v>
      </c>
      <c r="H32" s="13" t="s">
        <v>24</v>
      </c>
      <c r="I32" s="13" t="s">
        <v>29</v>
      </c>
      <c r="J32" s="13" t="s">
        <v>19</v>
      </c>
    </row>
    <row r="33" spans="2:10" x14ac:dyDescent="0.3">
      <c r="B33" s="13" t="s">
        <v>10</v>
      </c>
      <c r="C33" s="12">
        <f>SQRT(_xlfn.VAR.S(C8,C13,C18,C23,C28))</f>
        <v>8.9442719099991667E-4</v>
      </c>
      <c r="D33" s="12">
        <f t="shared" ref="D33:H33" si="0">SQRT(_xlfn.VAR.S(D8,D13,D18,D23,D28))</f>
        <v>1.3308204086699379E-2</v>
      </c>
      <c r="E33" s="12">
        <f t="shared" si="0"/>
        <v>0.26647664062727899</v>
      </c>
      <c r="F33" s="12">
        <f t="shared" si="0"/>
        <v>5.4772255750516611E-4</v>
      </c>
      <c r="G33" s="12">
        <f t="shared" si="0"/>
        <v>7.2078429505645761E-2</v>
      </c>
      <c r="H33" s="12">
        <f t="shared" si="0"/>
        <v>0</v>
      </c>
      <c r="I33" s="38">
        <f>SQRT(_xlfn.VAR.S(I8,I13,I18,I23,I28))</f>
        <v>2.8789899617748178</v>
      </c>
      <c r="J33" s="38">
        <f t="shared" ref="J33" si="1">SQRT(_xlfn.VAR.S(J8,J13,J18,J23,J28))</f>
        <v>4.8728060936168533E-3</v>
      </c>
    </row>
    <row r="34" spans="2:10" x14ac:dyDescent="0.3">
      <c r="B34" s="13" t="s">
        <v>11</v>
      </c>
      <c r="C34" s="12">
        <f t="shared" ref="C34:H34" si="2">SQRT(_xlfn.VAR.S(C9,C14,C19,C24,C29))</f>
        <v>4.4721359549995833E-4</v>
      </c>
      <c r="D34" s="12">
        <f t="shared" si="2"/>
        <v>3.3939414623750323E-2</v>
      </c>
      <c r="E34" s="12">
        <f t="shared" si="2"/>
        <v>2.3897175565325752</v>
      </c>
      <c r="F34" s="12">
        <f t="shared" si="2"/>
        <v>4.1472882706654725E-3</v>
      </c>
      <c r="G34" s="12">
        <f>SQRT(_xlfn.VAR.S(G9,G14,G19,G24,G29))</f>
        <v>3.1661717104415041</v>
      </c>
      <c r="H34" s="12">
        <f t="shared" si="2"/>
        <v>1.8526732281930768E-3</v>
      </c>
      <c r="I34" s="39"/>
      <c r="J34" s="39"/>
    </row>
    <row r="35" spans="2:10" x14ac:dyDescent="0.3">
      <c r="B35" s="13" t="s">
        <v>12</v>
      </c>
      <c r="C35" s="12">
        <f t="shared" ref="C35:H35" si="3">SQRT(_xlfn.VAR.S(C10,C15,C20,C25,C30))</f>
        <v>1.1401754250991388E-3</v>
      </c>
      <c r="D35" s="12">
        <f t="shared" si="3"/>
        <v>1.4296914526550179E-2</v>
      </c>
      <c r="E35" s="12">
        <f t="shared" si="3"/>
        <v>4.9528501592517253</v>
      </c>
      <c r="F35" s="12">
        <f t="shared" si="3"/>
        <v>2.0486580973896041E-2</v>
      </c>
      <c r="G35" s="12">
        <f t="shared" si="3"/>
        <v>5.6268043061759121</v>
      </c>
      <c r="H35" s="12">
        <f t="shared" si="3"/>
        <v>2.6345651524835117E-3</v>
      </c>
      <c r="I35" s="40"/>
      <c r="J35" s="40"/>
    </row>
    <row r="37" spans="2:10" x14ac:dyDescent="0.3">
      <c r="B37" s="11" t="s">
        <v>23</v>
      </c>
      <c r="C37" s="13" t="s">
        <v>13</v>
      </c>
      <c r="D37" s="13" t="s">
        <v>14</v>
      </c>
      <c r="E37" s="13" t="s">
        <v>16</v>
      </c>
      <c r="F37" s="13" t="s">
        <v>15</v>
      </c>
      <c r="G37" s="13" t="s">
        <v>26</v>
      </c>
      <c r="H37" s="13" t="s">
        <v>24</v>
      </c>
      <c r="I37" s="13" t="s">
        <v>29</v>
      </c>
      <c r="J37" s="13" t="s">
        <v>19</v>
      </c>
    </row>
    <row r="38" spans="2:10" x14ac:dyDescent="0.3">
      <c r="B38" s="13" t="s">
        <v>10</v>
      </c>
      <c r="C38" s="8">
        <f>_xlfn.CONFIDENCE.T(0.05,C33,COUNT(C8,C13,C18,C23,C28))</f>
        <v>1.1105780420791183E-3</v>
      </c>
      <c r="D38" s="8">
        <f>_xlfn.CONFIDENCE.T(0.05,D33,COUNT(D8,D13,D18,D23,D28))</f>
        <v>1.6524317895202822E-2</v>
      </c>
      <c r="E38" s="8">
        <f>_xlfn.CONFIDENCE.T(0.05,E33,COUNT(E8,E13,E18,E23,E28))</f>
        <v>0.33087445102917484</v>
      </c>
      <c r="F38" s="8">
        <f>_xlfn.CONFIDENCE.T(0.05,F33,COUNT(F8,F13,F18,F23,F28))</f>
        <v>6.8008738065825558E-4</v>
      </c>
      <c r="G38" s="8">
        <f>_xlfn.CONFIDENCE.T(0.05,G33,COUNT(G8,G13,G18,G23,G28))</f>
        <v>8.9497190964228271E-2</v>
      </c>
      <c r="H38" s="27">
        <v>0</v>
      </c>
      <c r="I38" s="35">
        <f>_xlfn.CONFIDENCE.T(0.05,I33,COUNT(I8,I13,I18,I23,I28))</f>
        <v>3.5747381867258223</v>
      </c>
      <c r="J38" s="35">
        <f>_xlfn.CONFIDENCE.T(0.05,J33,COUNT(J8,J13,J18,J23,J28))</f>
        <v>6.0503878966719675E-3</v>
      </c>
    </row>
    <row r="39" spans="2:10" x14ac:dyDescent="0.3">
      <c r="B39" s="13" t="s">
        <v>11</v>
      </c>
      <c r="C39" s="8">
        <f t="shared" ref="C39:H40" si="4">_xlfn.CONFIDENCE.T(0.05,C34,COUNT(C9,C14,C19,C24,C29))</f>
        <v>5.5528902103955914E-4</v>
      </c>
      <c r="D39" s="8">
        <f t="shared" si="4"/>
        <v>4.2141349258421126E-2</v>
      </c>
      <c r="E39" s="8">
        <f t="shared" si="4"/>
        <v>2.9672262558219673</v>
      </c>
      <c r="F39" s="8">
        <f t="shared" si="4"/>
        <v>5.1495385358580649E-3</v>
      </c>
      <c r="G39" s="8">
        <f>_xlfn.CONFIDENCE.T(0.05,G34,COUNT(G9,G14,G19,G24,G29))</f>
        <v>3.9313214249864483</v>
      </c>
      <c r="H39" s="8">
        <f t="shared" si="4"/>
        <v>2.3003976478832905E-3</v>
      </c>
      <c r="I39" s="36"/>
      <c r="J39" s="36"/>
    </row>
    <row r="40" spans="2:10" x14ac:dyDescent="0.3">
      <c r="B40" s="13" t="s">
        <v>12</v>
      </c>
      <c r="C40" s="8">
        <f t="shared" si="4"/>
        <v>1.415714776982273E-3</v>
      </c>
      <c r="D40" s="8">
        <f t="shared" si="4"/>
        <v>1.7751964053013769E-2</v>
      </c>
      <c r="E40" s="8">
        <f t="shared" si="4"/>
        <v>6.1497757312406467</v>
      </c>
      <c r="F40" s="8">
        <f t="shared" si="4"/>
        <v>2.5437450041572923E-2</v>
      </c>
      <c r="G40" s="8">
        <f t="shared" si="4"/>
        <v>6.9866003319165397</v>
      </c>
      <c r="H40" s="8">
        <f t="shared" si="4"/>
        <v>3.2712447007609865E-3</v>
      </c>
      <c r="I40" s="37"/>
      <c r="J40" s="37"/>
    </row>
    <row r="42" spans="2:10" x14ac:dyDescent="0.3">
      <c r="B42" s="11" t="s">
        <v>21</v>
      </c>
      <c r="C42" s="15" t="s">
        <v>13</v>
      </c>
      <c r="D42" s="15" t="s">
        <v>14</v>
      </c>
      <c r="E42" s="15" t="s">
        <v>16</v>
      </c>
      <c r="F42" s="15" t="s">
        <v>15</v>
      </c>
      <c r="G42" s="15" t="s">
        <v>26</v>
      </c>
      <c r="H42" s="15" t="s">
        <v>24</v>
      </c>
      <c r="I42" s="15" t="s">
        <v>29</v>
      </c>
      <c r="J42" s="15" t="s">
        <v>19</v>
      </c>
    </row>
    <row r="43" spans="2:10" x14ac:dyDescent="0.3">
      <c r="B43" s="15" t="s">
        <v>10</v>
      </c>
      <c r="C43" s="12">
        <f t="shared" ref="C43:G45" si="5">AVERAGE(C8,C13,C18,C23,C28)</f>
        <v>0.44940000000000008</v>
      </c>
      <c r="D43" s="12">
        <f t="shared" si="5"/>
        <v>6.2924106114826008</v>
      </c>
      <c r="E43" s="12">
        <f t="shared" si="5"/>
        <v>0.19340000000000002</v>
      </c>
      <c r="F43" s="12">
        <f t="shared" si="5"/>
        <v>4.5999999999999999E-3</v>
      </c>
      <c r="G43" s="12">
        <f t="shared" si="5"/>
        <v>100.0394</v>
      </c>
      <c r="H43" s="28">
        <f t="shared" ref="H43:J43" si="6">AVERAGE(H8,H13,H18,H23,H28)</f>
        <v>0</v>
      </c>
      <c r="I43" s="41">
        <f t="shared" si="6"/>
        <v>589.56880000000001</v>
      </c>
      <c r="J43" s="41">
        <f t="shared" si="6"/>
        <v>0.48794338631418571</v>
      </c>
    </row>
    <row r="44" spans="2:10" x14ac:dyDescent="0.3">
      <c r="B44" s="15" t="s">
        <v>11</v>
      </c>
      <c r="C44" s="12">
        <f t="shared" si="5"/>
        <v>0.99780000000000002</v>
      </c>
      <c r="D44" s="12">
        <f t="shared" si="5"/>
        <v>4.2296784752443699</v>
      </c>
      <c r="E44" s="12">
        <f t="shared" si="5"/>
        <v>270.43299999999999</v>
      </c>
      <c r="F44" s="12">
        <f t="shared" si="5"/>
        <v>2.6948000000000003</v>
      </c>
      <c r="G44" s="12">
        <f t="shared" si="5"/>
        <v>370.5634</v>
      </c>
      <c r="H44" s="12">
        <f>AVERAGE(H9,H14,H19,H24,H29)</f>
        <v>0.76387411948309913</v>
      </c>
      <c r="I44" s="41"/>
      <c r="J44" s="41"/>
    </row>
    <row r="45" spans="2:10" x14ac:dyDescent="0.3">
      <c r="B45" s="15" t="s">
        <v>12</v>
      </c>
      <c r="C45" s="12">
        <f t="shared" si="5"/>
        <v>0.99639999999999984</v>
      </c>
      <c r="D45" s="12">
        <f t="shared" si="5"/>
        <v>2.0705852776428104</v>
      </c>
      <c r="E45" s="12">
        <f t="shared" si="5"/>
        <v>508.57280000000003</v>
      </c>
      <c r="F45" s="12">
        <f t="shared" si="5"/>
        <v>5.0817999999999994</v>
      </c>
      <c r="G45" s="12">
        <f t="shared" si="5"/>
        <v>608.32019999999989</v>
      </c>
      <c r="H45" s="12">
        <f>AVERAGE(H10,H15,H20,H25,H30)</f>
        <v>0.51821274194670119</v>
      </c>
      <c r="I45" s="41"/>
      <c r="J45" s="41"/>
    </row>
  </sheetData>
  <mergeCells count="30">
    <mergeCell ref="I38:I40"/>
    <mergeCell ref="J38:J40"/>
    <mergeCell ref="I43:I45"/>
    <mergeCell ref="J43:J45"/>
    <mergeCell ref="I28:I30"/>
    <mergeCell ref="J28:J30"/>
    <mergeCell ref="N28:N30"/>
    <mergeCell ref="O28:O30"/>
    <mergeCell ref="I33:I35"/>
    <mergeCell ref="J33:J35"/>
    <mergeCell ref="N18:N20"/>
    <mergeCell ref="O18:O20"/>
    <mergeCell ref="I23:I25"/>
    <mergeCell ref="J23:J25"/>
    <mergeCell ref="N23:N25"/>
    <mergeCell ref="O23:O25"/>
    <mergeCell ref="I3:I5"/>
    <mergeCell ref="J3:J5"/>
    <mergeCell ref="N3:N5"/>
    <mergeCell ref="O3:O5"/>
    <mergeCell ref="I18:I20"/>
    <mergeCell ref="I8:I10"/>
    <mergeCell ref="J8:J10"/>
    <mergeCell ref="N8:N10"/>
    <mergeCell ref="O8:O10"/>
    <mergeCell ref="I13:I15"/>
    <mergeCell ref="J13:J15"/>
    <mergeCell ref="N13:N15"/>
    <mergeCell ref="O13:O15"/>
    <mergeCell ref="J18:J2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02124-823F-4790-9B93-2C48043B1EE2}">
  <sheetPr>
    <tabColor rgb="FF00B050"/>
  </sheetPr>
  <dimension ref="B2:Z49"/>
  <sheetViews>
    <sheetView topLeftCell="A28" workbookViewId="0">
      <selection activeCell="B40" sqref="B40"/>
    </sheetView>
  </sheetViews>
  <sheetFormatPr defaultRowHeight="15.05" x14ac:dyDescent="0.3"/>
  <cols>
    <col min="1" max="1" width="8.88671875" style="19"/>
    <col min="2" max="2" width="8.109375" style="19" bestFit="1" customWidth="1"/>
    <col min="3" max="3" width="9.5546875" style="19" customWidth="1"/>
    <col min="4" max="4" width="9.88671875" style="19" bestFit="1" customWidth="1"/>
    <col min="5" max="5" width="11.44140625" style="19" bestFit="1" customWidth="1"/>
    <col min="6" max="6" width="11.109375" style="19" bestFit="1" customWidth="1"/>
    <col min="7" max="7" width="13.33203125" style="19" bestFit="1" customWidth="1"/>
    <col min="8" max="8" width="8" style="19" bestFit="1" customWidth="1"/>
    <col min="9" max="9" width="13.5546875" style="19" bestFit="1" customWidth="1"/>
    <col min="10" max="10" width="8" style="19" bestFit="1" customWidth="1"/>
    <col min="11" max="11" width="13.33203125" style="19" bestFit="1" customWidth="1"/>
    <col min="12" max="12" width="10.44140625" style="19" bestFit="1" customWidth="1"/>
    <col min="13" max="13" width="9.44140625" style="19" bestFit="1" customWidth="1"/>
    <col min="14" max="14" width="11.44140625" style="19" bestFit="1" customWidth="1"/>
    <col min="15" max="15" width="12.44140625" style="19" bestFit="1" customWidth="1"/>
    <col min="16" max="25" width="8.88671875" style="19"/>
    <col min="26" max="26" width="9" style="19" bestFit="1" customWidth="1"/>
    <col min="27" max="16384" width="8.88671875" style="19"/>
  </cols>
  <sheetData>
    <row r="2" spans="2:26" x14ac:dyDescent="0.3">
      <c r="B2" s="8"/>
      <c r="C2" s="17" t="s">
        <v>13</v>
      </c>
      <c r="D2" s="17" t="s">
        <v>14</v>
      </c>
      <c r="E2" s="17" t="s">
        <v>16</v>
      </c>
      <c r="F2" s="17" t="s">
        <v>15</v>
      </c>
      <c r="G2" s="17" t="s">
        <v>26</v>
      </c>
      <c r="H2" s="17" t="s">
        <v>24</v>
      </c>
      <c r="I2" s="17" t="s">
        <v>29</v>
      </c>
      <c r="J2" s="17" t="s">
        <v>19</v>
      </c>
      <c r="K2" s="18" t="s">
        <v>17</v>
      </c>
      <c r="L2" s="18" t="s">
        <v>27</v>
      </c>
      <c r="M2" s="18" t="s">
        <v>28</v>
      </c>
      <c r="N2" s="18" t="s">
        <v>30</v>
      </c>
      <c r="O2" s="18" t="s">
        <v>31</v>
      </c>
      <c r="U2" s="14"/>
    </row>
    <row r="3" spans="2:26" x14ac:dyDescent="0.3">
      <c r="B3" s="17" t="s">
        <v>10</v>
      </c>
      <c r="C3" s="20"/>
      <c r="D3" s="8">
        <f>C3*14</f>
        <v>0</v>
      </c>
      <c r="E3" s="20"/>
      <c r="F3" s="20"/>
      <c r="G3" s="20"/>
      <c r="H3" s="29">
        <v>0</v>
      </c>
      <c r="I3" s="42"/>
      <c r="J3" s="34" t="e">
        <f>N3/I3</f>
        <v>#DIV/0!</v>
      </c>
      <c r="K3" s="22">
        <f>G3-E3</f>
        <v>0</v>
      </c>
      <c r="L3" s="8">
        <f>L4+L5</f>
        <v>0</v>
      </c>
      <c r="M3" s="21"/>
      <c r="N3" s="42"/>
      <c r="O3" s="42"/>
      <c r="Y3" s="17" t="s">
        <v>18</v>
      </c>
      <c r="Z3" s="23">
        <v>584.9</v>
      </c>
    </row>
    <row r="4" spans="2:26" x14ac:dyDescent="0.3">
      <c r="B4" s="17" t="s">
        <v>11</v>
      </c>
      <c r="C4" s="20"/>
      <c r="D4" s="8" t="e">
        <f>L4/O3*K4</f>
        <v>#DIV/0!</v>
      </c>
      <c r="E4" s="20"/>
      <c r="F4" s="20"/>
      <c r="G4" s="8">
        <f>E4+K4</f>
        <v>0</v>
      </c>
      <c r="H4" s="24" t="e">
        <f>1 - M4/L4</f>
        <v>#DIV/0!</v>
      </c>
      <c r="I4" s="42"/>
      <c r="J4" s="34"/>
      <c r="K4" s="25"/>
      <c r="L4" s="20"/>
      <c r="M4" s="25"/>
      <c r="N4" s="42"/>
      <c r="O4" s="42"/>
      <c r="Y4" s="17" t="s">
        <v>19</v>
      </c>
      <c r="Z4" s="8">
        <v>285.63600000000002</v>
      </c>
    </row>
    <row r="5" spans="2:26" x14ac:dyDescent="0.3">
      <c r="B5" s="17" t="s">
        <v>12</v>
      </c>
      <c r="C5" s="20"/>
      <c r="D5" s="8" t="e">
        <f>L5/O3*K5</f>
        <v>#DIV/0!</v>
      </c>
      <c r="E5" s="20"/>
      <c r="F5" s="20"/>
      <c r="G5" s="8">
        <f>E5+K5</f>
        <v>0</v>
      </c>
      <c r="H5" s="24" t="e">
        <f>1 - M5/L5</f>
        <v>#DIV/0!</v>
      </c>
      <c r="I5" s="42"/>
      <c r="J5" s="34"/>
      <c r="K5" s="25"/>
      <c r="L5" s="20"/>
      <c r="M5" s="25"/>
      <c r="N5" s="42"/>
      <c r="O5" s="42"/>
      <c r="Y5" s="17" t="s">
        <v>20</v>
      </c>
      <c r="Z5" s="26">
        <f>(51239             +16918)             /100000</f>
        <v>0.68157000000000001</v>
      </c>
    </row>
    <row r="7" spans="2:26" x14ac:dyDescent="0.3">
      <c r="B7" s="27">
        <v>1</v>
      </c>
      <c r="C7" s="17" t="s">
        <v>13</v>
      </c>
      <c r="D7" s="17" t="s">
        <v>14</v>
      </c>
      <c r="E7" s="17" t="s">
        <v>16</v>
      </c>
      <c r="F7" s="17" t="s">
        <v>15</v>
      </c>
      <c r="G7" s="17" t="s">
        <v>26</v>
      </c>
      <c r="H7" s="17" t="s">
        <v>24</v>
      </c>
      <c r="I7" s="17" t="s">
        <v>29</v>
      </c>
      <c r="J7" s="17" t="s">
        <v>19</v>
      </c>
      <c r="K7" s="18" t="s">
        <v>17</v>
      </c>
      <c r="L7" s="18" t="s">
        <v>27</v>
      </c>
      <c r="M7" s="18" t="s">
        <v>28</v>
      </c>
      <c r="N7" s="18" t="s">
        <v>30</v>
      </c>
      <c r="O7" s="18" t="s">
        <v>31</v>
      </c>
    </row>
    <row r="8" spans="2:26" x14ac:dyDescent="0.3">
      <c r="B8" s="17" t="s">
        <v>10</v>
      </c>
      <c r="C8" s="20">
        <v>1</v>
      </c>
      <c r="D8" s="31">
        <f>C8*1</f>
        <v>1</v>
      </c>
      <c r="E8" s="20">
        <v>4216100.4270000001</v>
      </c>
      <c r="F8" s="20">
        <v>265491.83199999999</v>
      </c>
      <c r="G8" s="20">
        <v>4216116.3080000002</v>
      </c>
      <c r="H8" s="29">
        <v>0</v>
      </c>
      <c r="I8" s="43">
        <v>4214978.6619999995</v>
      </c>
      <c r="J8" s="34">
        <f>N8/I8</f>
        <v>0.5786268713499837</v>
      </c>
      <c r="K8" s="30">
        <f>G8-E8</f>
        <v>15.881000000052154</v>
      </c>
      <c r="L8" s="8">
        <f>L9+L10</f>
        <v>100000</v>
      </c>
      <c r="M8" s="21"/>
      <c r="N8" s="43">
        <v>2438899.9160000002</v>
      </c>
      <c r="O8" s="43">
        <v>10027211.608999999</v>
      </c>
    </row>
    <row r="9" spans="2:26" x14ac:dyDescent="0.3">
      <c r="B9" s="17" t="s">
        <v>11</v>
      </c>
      <c r="C9" s="20">
        <v>0.61699999999999999</v>
      </c>
      <c r="D9" s="8">
        <f>L9/O8*K9</f>
        <v>0.66929497837428165</v>
      </c>
      <c r="E9" s="20">
        <v>101.959</v>
      </c>
      <c r="F9" s="20">
        <v>0.628</v>
      </c>
      <c r="G9" s="8">
        <f>E9+K9</f>
        <v>202.16</v>
      </c>
      <c r="H9" s="24">
        <f>1 - M9/L9</f>
        <v>7.7758036340833447E-2</v>
      </c>
      <c r="I9" s="44"/>
      <c r="J9" s="34"/>
      <c r="K9" s="25">
        <v>100.20099999999999</v>
      </c>
      <c r="L9" s="20">
        <v>66977</v>
      </c>
      <c r="M9" s="25">
        <v>61769</v>
      </c>
      <c r="N9" s="44"/>
      <c r="O9" s="44"/>
    </row>
    <row r="10" spans="2:26" x14ac:dyDescent="0.3">
      <c r="B10" s="17" t="s">
        <v>12</v>
      </c>
      <c r="C10" s="20">
        <v>0.33</v>
      </c>
      <c r="D10" s="8">
        <f>L10/O8*K10</f>
        <v>0.33019997763168785</v>
      </c>
      <c r="E10" s="20">
        <v>50.112000000000002</v>
      </c>
      <c r="F10" s="20">
        <v>0.16500000000000001</v>
      </c>
      <c r="G10" s="8">
        <f>E10+K10</f>
        <v>150.375</v>
      </c>
      <c r="H10" s="24">
        <f>1 - M10/L10</f>
        <v>3.0281924719133269E-4</v>
      </c>
      <c r="I10" s="45"/>
      <c r="J10" s="34"/>
      <c r="K10" s="25">
        <v>100.26300000000001</v>
      </c>
      <c r="L10" s="20">
        <v>33023</v>
      </c>
      <c r="M10" s="25">
        <v>33013</v>
      </c>
      <c r="N10" s="45"/>
      <c r="O10" s="45"/>
    </row>
    <row r="12" spans="2:26" x14ac:dyDescent="0.3">
      <c r="B12" s="27">
        <v>2</v>
      </c>
      <c r="C12" s="17" t="s">
        <v>13</v>
      </c>
      <c r="D12" s="17" t="s">
        <v>14</v>
      </c>
      <c r="E12" s="17" t="s">
        <v>16</v>
      </c>
      <c r="F12" s="17" t="s">
        <v>15</v>
      </c>
      <c r="G12" s="17" t="s">
        <v>26</v>
      </c>
      <c r="H12" s="17" t="s">
        <v>24</v>
      </c>
      <c r="I12" s="17" t="s">
        <v>29</v>
      </c>
      <c r="J12" s="17" t="s">
        <v>19</v>
      </c>
      <c r="K12" s="18" t="s">
        <v>17</v>
      </c>
      <c r="L12" s="18" t="s">
        <v>27</v>
      </c>
      <c r="M12" s="18" t="s">
        <v>28</v>
      </c>
      <c r="N12" s="18" t="s">
        <v>30</v>
      </c>
      <c r="O12" s="18" t="s">
        <v>31</v>
      </c>
    </row>
    <row r="13" spans="2:26" x14ac:dyDescent="0.3">
      <c r="B13" s="17" t="s">
        <v>10</v>
      </c>
      <c r="C13" s="20">
        <v>1</v>
      </c>
      <c r="D13" s="31">
        <f>C13*1</f>
        <v>1</v>
      </c>
      <c r="E13" s="20">
        <v>4201601.45</v>
      </c>
      <c r="F13" s="20">
        <f>264395.394</f>
        <v>264395.39399999997</v>
      </c>
      <c r="G13" s="20">
        <f>4201617.342</f>
        <v>4201617.3420000002</v>
      </c>
      <c r="H13" s="29">
        <v>0</v>
      </c>
      <c r="I13" s="43">
        <f>4200465.528</f>
        <v>4200465.5279999999</v>
      </c>
      <c r="J13" s="46">
        <f>N13/I13</f>
        <v>0.57745867638507142</v>
      </c>
      <c r="K13" s="30">
        <f>G13-E13</f>
        <v>15.891999999992549</v>
      </c>
      <c r="L13" s="8">
        <f>L14+L15</f>
        <v>100000</v>
      </c>
      <c r="M13" s="21"/>
      <c r="N13" s="43">
        <f>2425595.264</f>
        <v>2425595.264</v>
      </c>
      <c r="O13" s="43">
        <f>9988083.039</f>
        <v>9988083.0390000008</v>
      </c>
    </row>
    <row r="14" spans="2:26" x14ac:dyDescent="0.3">
      <c r="B14" s="17" t="s">
        <v>11</v>
      </c>
      <c r="C14" s="20">
        <v>0.622</v>
      </c>
      <c r="D14" s="8">
        <f>L14/O13*K14</f>
        <v>0.67411619063532691</v>
      </c>
      <c r="E14" s="20">
        <v>103.21</v>
      </c>
      <c r="F14" s="20">
        <v>0.63900000000000001</v>
      </c>
      <c r="G14" s="8">
        <f>E14+K14</f>
        <v>203.64</v>
      </c>
      <c r="H14" s="24">
        <f>1 - M14/L14</f>
        <v>7.7427919395015143E-2</v>
      </c>
      <c r="I14" s="44"/>
      <c r="J14" s="47"/>
      <c r="K14" s="25">
        <f>100.43</f>
        <v>100.43</v>
      </c>
      <c r="L14" s="20">
        <v>67043</v>
      </c>
      <c r="M14" s="25">
        <v>61852</v>
      </c>
      <c r="N14" s="44"/>
      <c r="O14" s="44"/>
    </row>
    <row r="15" spans="2:26" x14ac:dyDescent="0.3">
      <c r="B15" s="17" t="s">
        <v>12</v>
      </c>
      <c r="C15" s="20">
        <v>0.32800000000000001</v>
      </c>
      <c r="D15" s="8">
        <f>L15/O13*K15</f>
        <v>0.32810882260427304</v>
      </c>
      <c r="E15" s="20">
        <v>48.546999999999997</v>
      </c>
      <c r="F15" s="20">
        <v>0.16</v>
      </c>
      <c r="G15" s="8">
        <f>E15+K15</f>
        <v>147.98500000000001</v>
      </c>
      <c r="H15" s="24">
        <f>1 - M15/L15</f>
        <v>3.3376824346875722E-4</v>
      </c>
      <c r="I15" s="45"/>
      <c r="J15" s="48"/>
      <c r="K15" s="25">
        <v>99.438000000000002</v>
      </c>
      <c r="L15" s="20">
        <v>32957</v>
      </c>
      <c r="M15" s="25">
        <v>32946</v>
      </c>
      <c r="N15" s="45"/>
      <c r="O15" s="45"/>
    </row>
    <row r="17" spans="2:15" x14ac:dyDescent="0.3">
      <c r="B17" s="27">
        <v>3</v>
      </c>
      <c r="C17" s="17" t="s">
        <v>13</v>
      </c>
      <c r="D17" s="17" t="s">
        <v>14</v>
      </c>
      <c r="E17" s="17" t="s">
        <v>16</v>
      </c>
      <c r="F17" s="17" t="s">
        <v>15</v>
      </c>
      <c r="G17" s="17" t="s">
        <v>26</v>
      </c>
      <c r="H17" s="17" t="s">
        <v>24</v>
      </c>
      <c r="I17" s="17" t="s">
        <v>29</v>
      </c>
      <c r="J17" s="17" t="s">
        <v>19</v>
      </c>
      <c r="K17" s="18" t="s">
        <v>17</v>
      </c>
      <c r="L17" s="18" t="s">
        <v>27</v>
      </c>
      <c r="M17" s="18" t="s">
        <v>28</v>
      </c>
      <c r="N17" s="18" t="s">
        <v>30</v>
      </c>
      <c r="O17" s="18" t="s">
        <v>31</v>
      </c>
    </row>
    <row r="18" spans="2:15" x14ac:dyDescent="0.3">
      <c r="B18" s="17" t="s">
        <v>10</v>
      </c>
      <c r="C18" s="20">
        <v>1</v>
      </c>
      <c r="D18" s="31">
        <f>C18*1</f>
        <v>1</v>
      </c>
      <c r="E18" s="20">
        <f>4230674.618</f>
        <v>4230674.6179999998</v>
      </c>
      <c r="F18" s="20">
        <f>266888.119</f>
        <v>266888.11900000001</v>
      </c>
      <c r="G18" s="20">
        <f>4230690.47</f>
        <v>4230690.47</v>
      </c>
      <c r="H18" s="29">
        <v>0</v>
      </c>
      <c r="I18" s="43">
        <f>4228360.55</f>
        <v>4228360.55</v>
      </c>
      <c r="J18" s="34">
        <f>N18/I18</f>
        <v>0.57799040505190602</v>
      </c>
      <c r="K18" s="30">
        <f>G18-E18</f>
        <v>15.851999999955297</v>
      </c>
      <c r="L18" s="8">
        <f>L19+L20</f>
        <v>100002</v>
      </c>
      <c r="M18" s="21"/>
      <c r="N18" s="43">
        <f>2443951.827</f>
        <v>2443951.827</v>
      </c>
      <c r="O18" s="43">
        <f>10056312.644</f>
        <v>10056312.643999999</v>
      </c>
    </row>
    <row r="19" spans="2:15" x14ac:dyDescent="0.3">
      <c r="B19" s="17" t="s">
        <v>11</v>
      </c>
      <c r="C19" s="20">
        <v>0.61299999999999999</v>
      </c>
      <c r="D19" s="8">
        <f>L19/O18*K19</f>
        <v>0.66154876996284451</v>
      </c>
      <c r="E19" s="20">
        <v>99.53</v>
      </c>
      <c r="F19" s="20">
        <v>0.61499999999999999</v>
      </c>
      <c r="G19" s="8">
        <f>E19+K19</f>
        <v>198.75799999999998</v>
      </c>
      <c r="H19" s="24">
        <f>1 - M19/L19</f>
        <v>7.3323886941606409E-2</v>
      </c>
      <c r="I19" s="44"/>
      <c r="J19" s="34"/>
      <c r="K19" s="25">
        <v>99.227999999999994</v>
      </c>
      <c r="L19" s="20">
        <v>67045</v>
      </c>
      <c r="M19" s="25">
        <v>62129</v>
      </c>
      <c r="N19" s="44"/>
      <c r="O19" s="44"/>
    </row>
    <row r="20" spans="2:15" x14ac:dyDescent="0.3">
      <c r="B20" s="17" t="s">
        <v>12</v>
      </c>
      <c r="C20" s="20">
        <v>0.32900000000000001</v>
      </c>
      <c r="D20" s="8">
        <f>L20/O18*K20</f>
        <v>3.3978475818755585E-2</v>
      </c>
      <c r="E20" s="20">
        <v>49.048999999999999</v>
      </c>
      <c r="F20" s="20">
        <v>0.161</v>
      </c>
      <c r="G20" s="8">
        <f>E20+K20</f>
        <v>59.417000000000002</v>
      </c>
      <c r="H20" s="24">
        <f>1 - M20/L20</f>
        <v>3.0342567588070857E-4</v>
      </c>
      <c r="I20" s="45"/>
      <c r="J20" s="34"/>
      <c r="K20" s="25">
        <v>10.368</v>
      </c>
      <c r="L20" s="20">
        <v>32957</v>
      </c>
      <c r="M20" s="25">
        <v>32947</v>
      </c>
      <c r="N20" s="45"/>
      <c r="O20" s="45"/>
    </row>
    <row r="22" spans="2:15" x14ac:dyDescent="0.3">
      <c r="B22" s="27">
        <v>4</v>
      </c>
      <c r="C22" s="17" t="s">
        <v>13</v>
      </c>
      <c r="D22" s="17" t="s">
        <v>14</v>
      </c>
      <c r="E22" s="17" t="s">
        <v>16</v>
      </c>
      <c r="F22" s="17" t="s">
        <v>15</v>
      </c>
      <c r="G22" s="17" t="s">
        <v>26</v>
      </c>
      <c r="H22" s="17" t="s">
        <v>24</v>
      </c>
      <c r="I22" s="17" t="s">
        <v>29</v>
      </c>
      <c r="J22" s="17" t="s">
        <v>19</v>
      </c>
      <c r="K22" s="18" t="s">
        <v>17</v>
      </c>
      <c r="L22" s="18" t="s">
        <v>27</v>
      </c>
      <c r="M22" s="18" t="s">
        <v>28</v>
      </c>
      <c r="N22" s="18" t="s">
        <v>30</v>
      </c>
      <c r="O22" s="18" t="s">
        <v>31</v>
      </c>
    </row>
    <row r="23" spans="2:15" x14ac:dyDescent="0.3">
      <c r="B23" s="17" t="s">
        <v>10</v>
      </c>
      <c r="C23" s="20">
        <v>1</v>
      </c>
      <c r="D23" s="31">
        <f>C23*1</f>
        <v>1</v>
      </c>
      <c r="E23" s="20">
        <f>4209860.486</f>
        <v>4209860.4859999996</v>
      </c>
      <c r="F23" s="20">
        <f>264848.355</f>
        <v>264848.35499999998</v>
      </c>
      <c r="G23" s="20">
        <f>4209876.381</f>
        <v>4209876.3810000001</v>
      </c>
      <c r="H23" s="29">
        <v>0</v>
      </c>
      <c r="I23" s="43">
        <f>4204000.812</f>
        <v>4204000.8119999999</v>
      </c>
      <c r="J23" s="34">
        <f>N23/I23</f>
        <v>0.57764204851442824</v>
      </c>
      <c r="K23" s="30">
        <f>G23-E23</f>
        <v>15.895000000484288</v>
      </c>
      <c r="L23" s="8">
        <f>L24+L25</f>
        <v>100001</v>
      </c>
      <c r="M23" s="21"/>
      <c r="N23" s="43">
        <f>2428407.641</f>
        <v>2428407.6409999998</v>
      </c>
      <c r="O23" s="43">
        <f>10015842.449</f>
        <v>10015842.448999999</v>
      </c>
    </row>
    <row r="24" spans="2:15" x14ac:dyDescent="0.3">
      <c r="B24" s="17" t="s">
        <v>11</v>
      </c>
      <c r="C24" s="20">
        <v>0.61799999999999999</v>
      </c>
      <c r="D24" s="8">
        <f>L24/O23*K24</f>
        <v>0.66895113597448341</v>
      </c>
      <c r="E24" s="20">
        <v>101.35</v>
      </c>
      <c r="F24" s="20">
        <f>0.627</f>
        <v>0.627</v>
      </c>
      <c r="G24" s="8">
        <f>E24+K24</f>
        <v>201.286</v>
      </c>
      <c r="H24" s="24">
        <f>1 - M24/L24</f>
        <v>7.5442992661535757E-2</v>
      </c>
      <c r="I24" s="44"/>
      <c r="J24" s="34"/>
      <c r="K24" s="25">
        <f>99.936</f>
        <v>99.936000000000007</v>
      </c>
      <c r="L24" s="20">
        <v>67044</v>
      </c>
      <c r="M24" s="25">
        <v>61986</v>
      </c>
      <c r="N24" s="44"/>
      <c r="O24" s="44"/>
    </row>
    <row r="25" spans="2:15" x14ac:dyDescent="0.3">
      <c r="B25" s="17" t="s">
        <v>12</v>
      </c>
      <c r="C25" s="20">
        <v>0.33</v>
      </c>
      <c r="D25" s="8">
        <f>L25/O23*K25</f>
        <v>0.329993076052229</v>
      </c>
      <c r="E25" s="20">
        <v>48.881</v>
      </c>
      <c r="F25" s="20">
        <f>0.161</f>
        <v>0.161</v>
      </c>
      <c r="G25" s="8">
        <f>E25+K25</f>
        <v>149.16800000000001</v>
      </c>
      <c r="H25" s="24">
        <f>1 - M25/L25</f>
        <v>1.5171283794035428E-4</v>
      </c>
      <c r="I25" s="45"/>
      <c r="J25" s="34"/>
      <c r="K25" s="25">
        <v>100.28700000000001</v>
      </c>
      <c r="L25" s="20">
        <v>32957</v>
      </c>
      <c r="M25" s="25">
        <v>32952</v>
      </c>
      <c r="N25" s="45"/>
      <c r="O25" s="45"/>
    </row>
    <row r="27" spans="2:15" x14ac:dyDescent="0.3">
      <c r="B27" s="27">
        <v>5</v>
      </c>
      <c r="C27" s="17" t="s">
        <v>13</v>
      </c>
      <c r="D27" s="17" t="s">
        <v>14</v>
      </c>
      <c r="E27" s="17" t="s">
        <v>16</v>
      </c>
      <c r="F27" s="17" t="s">
        <v>15</v>
      </c>
      <c r="G27" s="17" t="s">
        <v>26</v>
      </c>
      <c r="H27" s="17" t="s">
        <v>24</v>
      </c>
      <c r="I27" s="17" t="s">
        <v>29</v>
      </c>
      <c r="J27" s="17" t="s">
        <v>19</v>
      </c>
      <c r="K27" s="18" t="s">
        <v>17</v>
      </c>
      <c r="L27" s="18" t="s">
        <v>27</v>
      </c>
      <c r="M27" s="18" t="s">
        <v>28</v>
      </c>
      <c r="N27" s="18" t="s">
        <v>30</v>
      </c>
      <c r="O27" s="18" t="s">
        <v>31</v>
      </c>
    </row>
    <row r="28" spans="2:15" x14ac:dyDescent="0.3">
      <c r="B28" s="17" t="s">
        <v>10</v>
      </c>
      <c r="C28" s="20">
        <v>1</v>
      </c>
      <c r="D28" s="31">
        <f>C28*1</f>
        <v>1</v>
      </c>
      <c r="E28" s="20">
        <v>4218899.4170000004</v>
      </c>
      <c r="F28" s="20">
        <f>265587.064</f>
        <v>265587.06400000001</v>
      </c>
      <c r="G28" s="20">
        <f>4218915.302</f>
        <v>4218915.3020000001</v>
      </c>
      <c r="H28" s="29">
        <v>0</v>
      </c>
      <c r="I28" s="43">
        <f>4199351.415</f>
        <v>4199351.415</v>
      </c>
      <c r="J28" s="34">
        <f>N28/I28</f>
        <v>0.57862160292674625</v>
      </c>
      <c r="K28" s="30">
        <f>G28-E28</f>
        <v>15.884999999776483</v>
      </c>
      <c r="L28" s="8">
        <f>L29+L30</f>
        <v>100001</v>
      </c>
      <c r="M28" s="21"/>
      <c r="N28" s="43">
        <f>2429835.447</f>
        <v>2429835.4470000002</v>
      </c>
      <c r="O28" s="43">
        <f>10025409.772</f>
        <v>10025409.772</v>
      </c>
    </row>
    <row r="29" spans="2:15" x14ac:dyDescent="0.3">
      <c r="B29" s="17" t="s">
        <v>11</v>
      </c>
      <c r="C29" s="20">
        <v>0.61799999999999999</v>
      </c>
      <c r="D29" s="8">
        <f>K29*L29/O28</f>
        <v>0.66897480427496292</v>
      </c>
      <c r="E29" s="20">
        <v>101.607</v>
      </c>
      <c r="F29" s="20">
        <v>0.628</v>
      </c>
      <c r="G29" s="8">
        <f>E29+K29</f>
        <v>201.642</v>
      </c>
      <c r="H29" s="24">
        <f>1 - M29/L29</f>
        <v>7.6323011753475334E-2</v>
      </c>
      <c r="I29" s="44"/>
      <c r="J29" s="34"/>
      <c r="K29" s="25">
        <v>100.035</v>
      </c>
      <c r="L29" s="20">
        <v>67044</v>
      </c>
      <c r="M29" s="25">
        <v>61927</v>
      </c>
      <c r="N29" s="44"/>
      <c r="O29" s="44"/>
    </row>
    <row r="30" spans="2:15" x14ac:dyDescent="0.3">
      <c r="B30" s="17" t="s">
        <v>12</v>
      </c>
      <c r="C30" s="20">
        <v>0.32800000000000001</v>
      </c>
      <c r="D30" s="8">
        <f>L30/O28*K30</f>
        <v>0.32833363631612761</v>
      </c>
      <c r="E30" s="20">
        <v>50.658000000000001</v>
      </c>
      <c r="F30" s="20">
        <v>0.16600000000000001</v>
      </c>
      <c r="G30" s="8">
        <f>E30+K30</f>
        <v>150.536</v>
      </c>
      <c r="H30" s="24">
        <f>1 - M30/L30</f>
        <v>3.3376824346875722E-4</v>
      </c>
      <c r="I30" s="45"/>
      <c r="J30" s="34"/>
      <c r="K30" s="25">
        <v>99.878</v>
      </c>
      <c r="L30" s="20">
        <v>32957</v>
      </c>
      <c r="M30" s="25">
        <v>32946</v>
      </c>
      <c r="N30" s="45"/>
      <c r="O30" s="45"/>
    </row>
    <row r="32" spans="2:15" x14ac:dyDescent="0.3">
      <c r="B32" s="11" t="s">
        <v>22</v>
      </c>
      <c r="C32" s="13" t="s">
        <v>13</v>
      </c>
      <c r="D32" s="13" t="s">
        <v>14</v>
      </c>
      <c r="E32" s="13" t="s">
        <v>16</v>
      </c>
      <c r="F32" s="13" t="s">
        <v>15</v>
      </c>
      <c r="G32" s="13" t="s">
        <v>26</v>
      </c>
      <c r="H32" s="13" t="s">
        <v>24</v>
      </c>
      <c r="I32" s="13" t="s">
        <v>29</v>
      </c>
      <c r="J32" s="13" t="s">
        <v>19</v>
      </c>
    </row>
    <row r="33" spans="2:10" x14ac:dyDescent="0.3">
      <c r="B33" s="13" t="s">
        <v>10</v>
      </c>
      <c r="C33" s="12">
        <f>SQRT(_xlfn.VAR.S(C8,C13,C18,C23,C28))</f>
        <v>0</v>
      </c>
      <c r="D33" s="12">
        <f t="shared" ref="D33:H33" si="0">SQRT(_xlfn.VAR.S(D8,D13,D18,D23,D28))</f>
        <v>0</v>
      </c>
      <c r="E33" s="12">
        <f t="shared" si="0"/>
        <v>10806.629318894409</v>
      </c>
      <c r="F33" s="12">
        <f t="shared" si="0"/>
        <v>943.74060829802488</v>
      </c>
      <c r="G33" s="12">
        <f t="shared" si="0"/>
        <v>10806.614089738272</v>
      </c>
      <c r="H33" s="12">
        <f t="shared" si="0"/>
        <v>0</v>
      </c>
      <c r="I33" s="38">
        <f>SQRT(_xlfn.VAR.S(I8,I13,I18,I23,I28))</f>
        <v>12253.255483393672</v>
      </c>
      <c r="J33" s="38">
        <f t="shared" ref="J33" si="1">SQRT(_xlfn.VAR.S(J8,J13,J18,J23,J28))</f>
        <v>5.4257355877974293E-4</v>
      </c>
    </row>
    <row r="34" spans="2:10" x14ac:dyDescent="0.3">
      <c r="B34" s="13" t="s">
        <v>11</v>
      </c>
      <c r="C34" s="12">
        <f t="shared" ref="C34:H35" si="2">SQRT(_xlfn.VAR.S(C9,C14,C19,C24,C29))</f>
        <v>3.2093613071762454E-3</v>
      </c>
      <c r="D34" s="12">
        <f t="shared" si="2"/>
        <v>4.4970092592071485E-3</v>
      </c>
      <c r="E34" s="12">
        <f t="shared" si="2"/>
        <v>1.3270986022146187</v>
      </c>
      <c r="F34" s="12">
        <f t="shared" si="2"/>
        <v>8.5029406677925318E-3</v>
      </c>
      <c r="G34" s="12">
        <f>SQRT(_xlfn.VAR.S(G9,G14,G19,G24,G29))</f>
        <v>1.7748017354059606</v>
      </c>
      <c r="H34" s="12">
        <f t="shared" si="2"/>
        <v>1.7811935689277291E-3</v>
      </c>
      <c r="I34" s="39"/>
      <c r="J34" s="39"/>
    </row>
    <row r="35" spans="2:10" x14ac:dyDescent="0.3">
      <c r="B35" s="13" t="s">
        <v>12</v>
      </c>
      <c r="C35" s="12">
        <f t="shared" si="2"/>
        <v>1.0000000000000009E-3</v>
      </c>
      <c r="D35" s="12">
        <f t="shared" si="2"/>
        <v>0.13201206322895495</v>
      </c>
      <c r="E35" s="12">
        <f t="shared" si="2"/>
        <v>0.89407454946441844</v>
      </c>
      <c r="F35" s="12">
        <f t="shared" si="2"/>
        <v>2.7018512172212617E-3</v>
      </c>
      <c r="G35" s="12">
        <f t="shared" si="2"/>
        <v>40.306659458456807</v>
      </c>
      <c r="H35" s="12">
        <f t="shared" si="2"/>
        <v>7.6123473642973247E-5</v>
      </c>
      <c r="I35" s="40"/>
      <c r="J35" s="40"/>
    </row>
    <row r="42" spans="2:10" x14ac:dyDescent="0.3">
      <c r="B42" s="11" t="s">
        <v>21</v>
      </c>
      <c r="C42" s="15" t="s">
        <v>13</v>
      </c>
      <c r="D42" s="15" t="s">
        <v>14</v>
      </c>
      <c r="E42" s="15" t="s">
        <v>16</v>
      </c>
      <c r="F42" s="15" t="s">
        <v>15</v>
      </c>
      <c r="G42" s="15" t="s">
        <v>26</v>
      </c>
      <c r="H42" s="15" t="s">
        <v>24</v>
      </c>
      <c r="I42" s="15" t="s">
        <v>29</v>
      </c>
      <c r="J42" s="15" t="s">
        <v>19</v>
      </c>
    </row>
    <row r="43" spans="2:10" x14ac:dyDescent="0.3">
      <c r="B43" s="15" t="s">
        <v>10</v>
      </c>
      <c r="C43" s="32">
        <f t="shared" ref="C43:G45" si="3">AVERAGE(C8,C13,C18,C23,C28)</f>
        <v>1</v>
      </c>
      <c r="D43" s="32">
        <f t="shared" si="3"/>
        <v>1</v>
      </c>
      <c r="E43" s="12">
        <f t="shared" si="3"/>
        <v>4215427.2796</v>
      </c>
      <c r="F43" s="12">
        <f t="shared" si="3"/>
        <v>265442.15279999998</v>
      </c>
      <c r="G43" s="12">
        <f t="shared" si="3"/>
        <v>4215443.160600001</v>
      </c>
      <c r="H43" s="11">
        <f t="shared" ref="H43:J43" si="4">AVERAGE(H8,H13,H18,H23,H28)</f>
        <v>0</v>
      </c>
      <c r="I43" s="41">
        <f t="shared" si="4"/>
        <v>4209431.3933999995</v>
      </c>
      <c r="J43" s="41">
        <f t="shared" si="4"/>
        <v>0.57806792084562708</v>
      </c>
    </row>
    <row r="44" spans="2:10" x14ac:dyDescent="0.3">
      <c r="B44" s="15" t="s">
        <v>11</v>
      </c>
      <c r="C44" s="12">
        <f t="shared" si="3"/>
        <v>0.61759999999999993</v>
      </c>
      <c r="D44" s="12">
        <f t="shared" si="3"/>
        <v>0.66857717584437992</v>
      </c>
      <c r="E44" s="12">
        <f t="shared" si="3"/>
        <v>101.53119999999998</v>
      </c>
      <c r="F44" s="12">
        <f t="shared" si="3"/>
        <v>0.62739999999999996</v>
      </c>
      <c r="G44" s="12">
        <f t="shared" si="3"/>
        <v>201.49720000000002</v>
      </c>
      <c r="H44" s="12">
        <f>AVERAGE(H9,H14,H19,H24,H29)</f>
        <v>7.6055169418493218E-2</v>
      </c>
      <c r="I44" s="41"/>
      <c r="J44" s="41"/>
    </row>
    <row r="45" spans="2:10" x14ac:dyDescent="0.3">
      <c r="B45" s="15" t="s">
        <v>12</v>
      </c>
      <c r="C45" s="12">
        <f t="shared" si="3"/>
        <v>0.32900000000000007</v>
      </c>
      <c r="D45" s="12">
        <f t="shared" si="3"/>
        <v>0.27012279768461461</v>
      </c>
      <c r="E45" s="12">
        <f t="shared" si="3"/>
        <v>49.449400000000004</v>
      </c>
      <c r="F45" s="12">
        <f t="shared" si="3"/>
        <v>0.16260000000000002</v>
      </c>
      <c r="G45" s="12">
        <f t="shared" si="3"/>
        <v>131.49619999999999</v>
      </c>
      <c r="H45" s="12">
        <f>AVERAGE(H10,H15,H20,H25,H30)</f>
        <v>2.8509884958998198E-4</v>
      </c>
      <c r="I45" s="41"/>
      <c r="J45" s="41"/>
    </row>
    <row r="46" spans="2:10" x14ac:dyDescent="0.3">
      <c r="B46" s="11" t="s">
        <v>23</v>
      </c>
      <c r="C46" s="13" t="s">
        <v>13</v>
      </c>
      <c r="D46" s="13" t="s">
        <v>14</v>
      </c>
      <c r="E46" s="13" t="s">
        <v>16</v>
      </c>
      <c r="F46" s="13" t="s">
        <v>15</v>
      </c>
      <c r="G46" s="13" t="s">
        <v>26</v>
      </c>
      <c r="H46" s="13" t="s">
        <v>24</v>
      </c>
      <c r="I46" s="13" t="s">
        <v>29</v>
      </c>
      <c r="J46" s="13" t="s">
        <v>19</v>
      </c>
    </row>
    <row r="47" spans="2:10" x14ac:dyDescent="0.3">
      <c r="B47" s="13" t="s">
        <v>10</v>
      </c>
      <c r="C47" s="27">
        <f>0</f>
        <v>0</v>
      </c>
      <c r="D47" s="27">
        <f>0</f>
        <v>0</v>
      </c>
      <c r="E47" s="8">
        <f>_xlfn.CONFIDENCE.T(0.05,E33,COUNT(E8,E13,E18,E23,E28))</f>
        <v>13418.202567204451</v>
      </c>
      <c r="F47" s="8">
        <f>_xlfn.CONFIDENCE.T(0.05,F33,COUNT(F8,F13,F18,F23,F28))</f>
        <v>1171.808736966578</v>
      </c>
      <c r="G47" s="8">
        <f>_xlfn.CONFIDENCE.T(0.05,G33,COUNT(G8,G13,G18,G23,G28))</f>
        <v>13418.183657709553</v>
      </c>
      <c r="H47" s="8">
        <v>0</v>
      </c>
      <c r="I47" s="35">
        <f>_xlfn.CONFIDENCE.T(0.05,I33,COUNT(I8,I13,I18,I23,I28))</f>
        <v>15214.426194522783</v>
      </c>
      <c r="J47" s="35">
        <f>_xlfn.CONFIDENCE.T(0.05,J33,COUNT(J8,J13,J18,J23,J28))</f>
        <v>6.736940543141006E-4</v>
      </c>
    </row>
    <row r="48" spans="2:10" x14ac:dyDescent="0.3">
      <c r="B48" s="13" t="s">
        <v>11</v>
      </c>
      <c r="C48" s="8">
        <f>_xlfn.CONFIDENCE.T(0.05,C34,COUNT(C9,C14,C19,C24,C29))</f>
        <v>3.9849483923489158E-3</v>
      </c>
      <c r="D48" s="8">
        <f>_xlfn.CONFIDENCE.T(0.05,D34,COUNT(D9,D14,D19,D24,D29))</f>
        <v>5.5837744967464952E-3</v>
      </c>
      <c r="E48" s="8">
        <f>_xlfn.CONFIDENCE.T(0.05,E34,COUNT(E9,E14,E19,E24,E29))</f>
        <v>1.64781055643643</v>
      </c>
      <c r="F48" s="8">
        <f>_xlfn.CONFIDENCE.T(0.05,F34,COUNT(F9,F14,F19,F24,F29))</f>
        <v>1.0557795306060659E-2</v>
      </c>
      <c r="G48" s="8">
        <f>_xlfn.CONFIDENCE.T(0.05,G34,COUNT(G9,G14,G19,G24,G29))</f>
        <v>2.2037074188031442</v>
      </c>
      <c r="H48" s="8">
        <f>_xlfn.CONFIDENCE.T(0.05,H34,COUNT(H9,H14,H19,H24,H29))</f>
        <v>2.2116439283696356E-3</v>
      </c>
      <c r="I48" s="36"/>
      <c r="J48" s="36"/>
    </row>
    <row r="49" spans="2:10" x14ac:dyDescent="0.3">
      <c r="B49" s="13" t="s">
        <v>12</v>
      </c>
      <c r="C49" s="8">
        <f>_xlfn.CONFIDENCE.T(0.05,C35,COUNT(C10,C15,C20,C25,C30))</f>
        <v>1.2416639982037651E-3</v>
      </c>
      <c r="D49" s="8">
        <f>_xlfn.CONFIDENCE.T(0.05,D35,COUNT(D10,D15,D20,D25,D30))</f>
        <v>0.16391462623999231</v>
      </c>
      <c r="E49" s="8">
        <f>_xlfn.CONFIDENCE.T(0.05,E35,COUNT(E10,E15,E20,E25,E30))</f>
        <v>1.1101401797802188</v>
      </c>
      <c r="F49" s="8">
        <f>_xlfn.CONFIDENCE.T(0.05,F35,COUNT(F10,F15,F20,F25,F30))</f>
        <v>3.3547913849266585E-3</v>
      </c>
      <c r="G49" s="8">
        <f>_xlfn.CONFIDENCE.T(0.05,G35,COUNT(G10,G15,G20,G25,G30))</f>
        <v>50.047327937425045</v>
      </c>
      <c r="H49" s="8">
        <f>_xlfn.CONFIDENCE.T(0.05,H35,COUNT(H10,H15,H20,H25,H30))</f>
        <v>9.4519776640693021E-5</v>
      </c>
      <c r="I49" s="37"/>
      <c r="J49" s="37"/>
    </row>
  </sheetData>
  <mergeCells count="30">
    <mergeCell ref="N13:N15"/>
    <mergeCell ref="O13:O15"/>
    <mergeCell ref="N18:N20"/>
    <mergeCell ref="O18:O20"/>
    <mergeCell ref="I33:I35"/>
    <mergeCell ref="J33:J35"/>
    <mergeCell ref="N23:N25"/>
    <mergeCell ref="O23:O25"/>
    <mergeCell ref="N28:N30"/>
    <mergeCell ref="O28:O30"/>
    <mergeCell ref="I13:I15"/>
    <mergeCell ref="J13:J15"/>
    <mergeCell ref="I18:I20"/>
    <mergeCell ref="J18:J20"/>
    <mergeCell ref="I47:I49"/>
    <mergeCell ref="J47:J49"/>
    <mergeCell ref="I43:I45"/>
    <mergeCell ref="J43:J45"/>
    <mergeCell ref="I23:I25"/>
    <mergeCell ref="J23:J25"/>
    <mergeCell ref="I28:I30"/>
    <mergeCell ref="J28:J30"/>
    <mergeCell ref="I3:I5"/>
    <mergeCell ref="J3:J5"/>
    <mergeCell ref="N3:N5"/>
    <mergeCell ref="O3:O5"/>
    <mergeCell ref="I8:I10"/>
    <mergeCell ref="J8:J10"/>
    <mergeCell ref="N8:N10"/>
    <mergeCell ref="O8:O1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7180D-2CEE-439C-A6AE-43419685A998}">
  <sheetPr>
    <tabColor rgb="FF7030A0"/>
  </sheetPr>
  <dimension ref="B2:O49"/>
  <sheetViews>
    <sheetView topLeftCell="A33" zoomScaleNormal="100" workbookViewId="0">
      <selection activeCell="B42" sqref="B42:J49"/>
    </sheetView>
  </sheetViews>
  <sheetFormatPr defaultRowHeight="15.05" x14ac:dyDescent="0.3"/>
  <cols>
    <col min="3" max="3" width="8.77734375" bestFit="1" customWidth="1"/>
    <col min="4" max="4" width="8.44140625" bestFit="1" customWidth="1"/>
    <col min="5" max="6" width="11.109375" bestFit="1" customWidth="1"/>
    <col min="7" max="7" width="13.33203125" bestFit="1" customWidth="1"/>
    <col min="8" max="8" width="8" bestFit="1" customWidth="1"/>
    <col min="9" max="9" width="13.5546875" bestFit="1" customWidth="1"/>
    <col min="10" max="10" width="8" bestFit="1" customWidth="1"/>
    <col min="11" max="11" width="13.33203125" bestFit="1" customWidth="1"/>
    <col min="12" max="12" width="10.44140625" bestFit="1" customWidth="1"/>
    <col min="13" max="14" width="9.44140625" bestFit="1" customWidth="1"/>
    <col min="15" max="15" width="11.44140625" bestFit="1" customWidth="1"/>
  </cols>
  <sheetData>
    <row r="2" spans="2:15" x14ac:dyDescent="0.3">
      <c r="B2" s="27"/>
      <c r="C2" s="17" t="s">
        <v>13</v>
      </c>
      <c r="D2" s="17" t="s">
        <v>14</v>
      </c>
      <c r="E2" s="17" t="s">
        <v>16</v>
      </c>
      <c r="F2" s="17" t="s">
        <v>15</v>
      </c>
      <c r="G2" s="17" t="s">
        <v>26</v>
      </c>
      <c r="H2" s="17" t="s">
        <v>24</v>
      </c>
      <c r="I2" s="17" t="s">
        <v>29</v>
      </c>
      <c r="J2" s="17" t="s">
        <v>19</v>
      </c>
      <c r="K2" s="18" t="s">
        <v>17</v>
      </c>
      <c r="L2" s="18" t="s">
        <v>27</v>
      </c>
      <c r="M2" s="18" t="s">
        <v>28</v>
      </c>
      <c r="N2" s="18" t="s">
        <v>30</v>
      </c>
      <c r="O2" s="18" t="s">
        <v>31</v>
      </c>
    </row>
    <row r="3" spans="2:15" x14ac:dyDescent="0.3">
      <c r="B3" s="17" t="s">
        <v>10</v>
      </c>
      <c r="C3" s="20"/>
      <c r="D3" s="8">
        <f>C3*14</f>
        <v>0</v>
      </c>
      <c r="E3" s="20"/>
      <c r="F3" s="20"/>
      <c r="G3" s="20"/>
      <c r="H3" s="29">
        <v>0</v>
      </c>
      <c r="I3" s="42"/>
      <c r="J3" s="34" t="e">
        <f>N3/I3</f>
        <v>#DIV/0!</v>
      </c>
      <c r="K3" s="22">
        <f>G3-E3</f>
        <v>0</v>
      </c>
      <c r="L3" s="8">
        <f>L4+L5</f>
        <v>0</v>
      </c>
      <c r="M3" s="21"/>
      <c r="N3" s="42"/>
      <c r="O3" s="42"/>
    </row>
    <row r="4" spans="2:15" x14ac:dyDescent="0.3">
      <c r="B4" s="17" t="s">
        <v>11</v>
      </c>
      <c r="C4" s="20"/>
      <c r="D4" s="8" t="e">
        <f>L4/O3*K4</f>
        <v>#DIV/0!</v>
      </c>
      <c r="E4" s="20"/>
      <c r="F4" s="20"/>
      <c r="G4" s="8">
        <f>E4+K4</f>
        <v>0</v>
      </c>
      <c r="H4" s="24" t="e">
        <f>1 - M4/L4</f>
        <v>#DIV/0!</v>
      </c>
      <c r="I4" s="42"/>
      <c r="J4" s="34"/>
      <c r="K4" s="25"/>
      <c r="L4" s="20"/>
      <c r="M4" s="25"/>
      <c r="N4" s="42"/>
      <c r="O4" s="42"/>
    </row>
    <row r="5" spans="2:15" x14ac:dyDescent="0.3">
      <c r="B5" s="17" t="s">
        <v>12</v>
      </c>
      <c r="C5" s="20"/>
      <c r="D5" s="8" t="e">
        <f>L5/O3*K5</f>
        <v>#DIV/0!</v>
      </c>
      <c r="E5" s="20"/>
      <c r="F5" s="20"/>
      <c r="G5" s="8">
        <f>E5+K5</f>
        <v>0</v>
      </c>
      <c r="H5" s="24" t="e">
        <f>1 - M5/L5</f>
        <v>#DIV/0!</v>
      </c>
      <c r="I5" s="42"/>
      <c r="J5" s="34"/>
      <c r="K5" s="25"/>
      <c r="L5" s="20"/>
      <c r="M5" s="25"/>
      <c r="N5" s="42"/>
      <c r="O5" s="42"/>
    </row>
    <row r="7" spans="2:15" x14ac:dyDescent="0.3">
      <c r="B7" s="27">
        <v>1</v>
      </c>
      <c r="C7" s="17" t="s">
        <v>13</v>
      </c>
      <c r="D7" s="17" t="s">
        <v>14</v>
      </c>
      <c r="E7" s="17" t="s">
        <v>16</v>
      </c>
      <c r="F7" s="17" t="s">
        <v>15</v>
      </c>
      <c r="G7" s="17" t="s">
        <v>26</v>
      </c>
      <c r="H7" s="17" t="s">
        <v>24</v>
      </c>
      <c r="I7" s="17" t="s">
        <v>29</v>
      </c>
      <c r="J7" s="17" t="s">
        <v>19</v>
      </c>
      <c r="K7" s="18" t="s">
        <v>17</v>
      </c>
      <c r="L7" s="18" t="s">
        <v>27</v>
      </c>
      <c r="M7" s="18" t="s">
        <v>28</v>
      </c>
      <c r="N7" s="18" t="s">
        <v>30</v>
      </c>
      <c r="O7" s="18" t="s">
        <v>31</v>
      </c>
    </row>
    <row r="8" spans="2:15" x14ac:dyDescent="0.3">
      <c r="B8" s="17" t="s">
        <v>10</v>
      </c>
      <c r="C8" s="20">
        <v>0.89800000000000002</v>
      </c>
      <c r="D8" s="8">
        <f>L8/O8*K8</f>
        <v>6.2833164341296142</v>
      </c>
      <c r="E8" s="20">
        <v>90.23</v>
      </c>
      <c r="F8" s="20">
        <v>5.6959999999999997</v>
      </c>
      <c r="G8" s="20">
        <v>189.785</v>
      </c>
      <c r="H8" s="29">
        <v>0</v>
      </c>
      <c r="I8" s="42">
        <f>697.691</f>
        <v>697.69100000000003</v>
      </c>
      <c r="J8" s="34">
        <f>N8/I8</f>
        <v>0.30614555727392212</v>
      </c>
      <c r="K8" s="22">
        <f>G8-E8</f>
        <v>99.554999999999993</v>
      </c>
      <c r="L8" s="8">
        <f>L9+L10</f>
        <v>100010</v>
      </c>
      <c r="M8" s="21"/>
      <c r="N8" s="42">
        <f>213.595</f>
        <v>213.595</v>
      </c>
      <c r="O8" s="42">
        <f>1584592.413</f>
        <v>1584592.4129999999</v>
      </c>
    </row>
    <row r="9" spans="2:15" x14ac:dyDescent="0.3">
      <c r="B9" s="17" t="s">
        <v>11</v>
      </c>
      <c r="C9" s="20">
        <v>1</v>
      </c>
      <c r="D9" s="8">
        <f>L9/O8*K9</f>
        <v>4.2288054234171062</v>
      </c>
      <c r="E9" s="20">
        <v>276.09800000000001</v>
      </c>
      <c r="F9" s="20">
        <v>2.762</v>
      </c>
      <c r="G9" s="8">
        <f>E9+K9</f>
        <v>376.09699999999998</v>
      </c>
      <c r="H9" s="24">
        <f>1 - M9/L9</f>
        <v>0.76348306222951801</v>
      </c>
      <c r="I9" s="42"/>
      <c r="J9" s="34"/>
      <c r="K9" s="25">
        <v>99.998999999999995</v>
      </c>
      <c r="L9" s="20">
        <v>67010</v>
      </c>
      <c r="M9" s="25">
        <v>15849</v>
      </c>
      <c r="N9" s="42"/>
      <c r="O9" s="42"/>
    </row>
    <row r="10" spans="2:15" x14ac:dyDescent="0.3">
      <c r="B10" s="17" t="s">
        <v>12</v>
      </c>
      <c r="C10" s="20">
        <v>1</v>
      </c>
      <c r="D10" s="8">
        <f>L10/O8*K10</f>
        <v>2.0807218139823318</v>
      </c>
      <c r="E10" s="20">
        <v>537.01499999999999</v>
      </c>
      <c r="F10" s="20">
        <v>5.375</v>
      </c>
      <c r="G10" s="8">
        <f>E10+K10</f>
        <v>636.92700000000002</v>
      </c>
      <c r="H10" s="24">
        <f>1 - M10/L10</f>
        <v>0.51930303030303038</v>
      </c>
      <c r="I10" s="42"/>
      <c r="J10" s="34"/>
      <c r="K10" s="25">
        <v>99.912000000000006</v>
      </c>
      <c r="L10" s="20">
        <v>33000</v>
      </c>
      <c r="M10" s="25">
        <v>15863</v>
      </c>
      <c r="N10" s="42"/>
      <c r="O10" s="42"/>
    </row>
    <row r="12" spans="2:15" x14ac:dyDescent="0.3">
      <c r="B12" s="27">
        <v>2</v>
      </c>
      <c r="C12" s="17" t="s">
        <v>13</v>
      </c>
      <c r="D12" s="17" t="s">
        <v>14</v>
      </c>
      <c r="E12" s="17" t="s">
        <v>16</v>
      </c>
      <c r="F12" s="17" t="s">
        <v>15</v>
      </c>
      <c r="G12" s="17" t="s">
        <v>26</v>
      </c>
      <c r="H12" s="17" t="s">
        <v>24</v>
      </c>
      <c r="I12" s="17" t="s">
        <v>29</v>
      </c>
      <c r="J12" s="17" t="s">
        <v>19</v>
      </c>
      <c r="K12" s="18" t="s">
        <v>17</v>
      </c>
      <c r="L12" s="18" t="s">
        <v>27</v>
      </c>
      <c r="M12" s="18" t="s">
        <v>28</v>
      </c>
      <c r="N12" s="18" t="s">
        <v>30</v>
      </c>
      <c r="O12" s="18" t="s">
        <v>31</v>
      </c>
    </row>
    <row r="13" spans="2:15" x14ac:dyDescent="0.3">
      <c r="B13" s="17" t="s">
        <v>10</v>
      </c>
      <c r="C13" s="20">
        <v>0.90400000000000003</v>
      </c>
      <c r="D13" s="8">
        <f>C13*7</f>
        <v>6.3280000000000003</v>
      </c>
      <c r="E13" s="20">
        <v>104.52800000000001</v>
      </c>
      <c r="F13" s="20">
        <v>6.5990000000000002</v>
      </c>
      <c r="G13" s="20">
        <v>204.76499999999999</v>
      </c>
      <c r="H13" s="29">
        <v>0</v>
      </c>
      <c r="I13" s="42">
        <v>710.96299999999997</v>
      </c>
      <c r="J13" s="34">
        <f>N13/I13</f>
        <v>0.31756926872425151</v>
      </c>
      <c r="K13" s="22">
        <f>G13-E13</f>
        <v>100.23699999999998</v>
      </c>
      <c r="L13" s="8">
        <f>L14+L15</f>
        <v>100010</v>
      </c>
      <c r="M13" s="21"/>
      <c r="N13" s="42">
        <v>225.78</v>
      </c>
      <c r="O13" s="42">
        <f>1584325.531</f>
        <v>1584325.531</v>
      </c>
    </row>
    <row r="14" spans="2:15" x14ac:dyDescent="0.3">
      <c r="B14" s="17" t="s">
        <v>11</v>
      </c>
      <c r="C14" s="20">
        <v>1</v>
      </c>
      <c r="D14" s="8">
        <f>L14/O13*K14</f>
        <v>4.2317046470672572</v>
      </c>
      <c r="E14" s="20">
        <v>275.86099999999999</v>
      </c>
      <c r="F14" s="20">
        <v>2.7589999999999999</v>
      </c>
      <c r="G14" s="8">
        <f>E14+K14</f>
        <v>375.85500000000002</v>
      </c>
      <c r="H14" s="24">
        <f>1 - M14/L14</f>
        <v>0.76366185419401023</v>
      </c>
      <c r="I14" s="42"/>
      <c r="J14" s="34"/>
      <c r="K14" s="25">
        <v>99.994</v>
      </c>
      <c r="L14" s="20">
        <v>67048</v>
      </c>
      <c r="M14" s="25">
        <v>15846</v>
      </c>
      <c r="N14" s="42"/>
      <c r="O14" s="42"/>
    </row>
    <row r="15" spans="2:15" x14ac:dyDescent="0.3">
      <c r="B15" s="17" t="s">
        <v>12</v>
      </c>
      <c r="C15" s="20">
        <v>1</v>
      </c>
      <c r="D15" s="8">
        <f>L15/O13*K15</f>
        <v>2.077053133091245</v>
      </c>
      <c r="E15" s="20">
        <v>535.91499999999996</v>
      </c>
      <c r="F15" s="20">
        <v>5.3689999999999998</v>
      </c>
      <c r="G15" s="8">
        <f>E15+K15</f>
        <v>635.74900000000002</v>
      </c>
      <c r="H15" s="24">
        <f>1 - M15/L15</f>
        <v>0.51844548267702195</v>
      </c>
      <c r="I15" s="42"/>
      <c r="J15" s="34"/>
      <c r="K15" s="25">
        <v>99.834000000000003</v>
      </c>
      <c r="L15" s="20">
        <v>32962</v>
      </c>
      <c r="M15" s="25">
        <v>15873</v>
      </c>
      <c r="N15" s="42"/>
      <c r="O15" s="42"/>
    </row>
    <row r="17" spans="2:15" x14ac:dyDescent="0.3">
      <c r="B17" s="27">
        <v>3</v>
      </c>
      <c r="C17" s="17" t="s">
        <v>13</v>
      </c>
      <c r="D17" s="17" t="s">
        <v>14</v>
      </c>
      <c r="E17" s="17" t="s">
        <v>16</v>
      </c>
      <c r="F17" s="17" t="s">
        <v>15</v>
      </c>
      <c r="G17" s="17" t="s">
        <v>26</v>
      </c>
      <c r="H17" s="17" t="s">
        <v>24</v>
      </c>
      <c r="I17" s="17" t="s">
        <v>29</v>
      </c>
      <c r="J17" s="17" t="s">
        <v>19</v>
      </c>
      <c r="K17" s="18" t="s">
        <v>17</v>
      </c>
      <c r="L17" s="18" t="s">
        <v>27</v>
      </c>
      <c r="M17" s="18" t="s">
        <v>28</v>
      </c>
      <c r="N17" s="18" t="s">
        <v>30</v>
      </c>
      <c r="O17" s="18" t="s">
        <v>31</v>
      </c>
    </row>
    <row r="18" spans="2:15" x14ac:dyDescent="0.3">
      <c r="B18" s="17" t="s">
        <v>10</v>
      </c>
      <c r="C18" s="20">
        <v>0.90300000000000002</v>
      </c>
      <c r="D18" s="8">
        <f>C18*7</f>
        <v>6.3209999999999997</v>
      </c>
      <c r="E18" s="20">
        <v>115.158</v>
      </c>
      <c r="F18" s="20">
        <v>7.2670000000000003</v>
      </c>
      <c r="G18" s="20">
        <v>213.36799999999999</v>
      </c>
      <c r="H18" s="29">
        <v>0</v>
      </c>
      <c r="I18" s="42">
        <v>720.24</v>
      </c>
      <c r="J18" s="34">
        <f>N18/I18</f>
        <v>0.33023436632233699</v>
      </c>
      <c r="K18" s="22">
        <f>G18-E18</f>
        <v>98.21</v>
      </c>
      <c r="L18" s="8">
        <f>L19+L20</f>
        <v>100011</v>
      </c>
      <c r="M18" s="21"/>
      <c r="N18" s="42">
        <v>237.84800000000001</v>
      </c>
      <c r="O18" s="42">
        <f>1585010.291</f>
        <v>1585010.291</v>
      </c>
    </row>
    <row r="19" spans="2:15" x14ac:dyDescent="0.3">
      <c r="B19" s="17" t="s">
        <v>11</v>
      </c>
      <c r="C19" s="20">
        <v>1</v>
      </c>
      <c r="D19" s="8">
        <f>L19/O18*K19</f>
        <v>4.2300033596438018</v>
      </c>
      <c r="E19" s="20">
        <v>275.89600000000002</v>
      </c>
      <c r="F19" s="20">
        <v>2.7589999999999999</v>
      </c>
      <c r="G19" s="8">
        <f>E19+K19</f>
        <v>375.89300000000003</v>
      </c>
      <c r="H19" s="24">
        <f>1 - M19/L19</f>
        <v>0.76355745137811715</v>
      </c>
      <c r="I19" s="42"/>
      <c r="J19" s="34"/>
      <c r="K19" s="25">
        <v>99.997</v>
      </c>
      <c r="L19" s="20">
        <v>67048</v>
      </c>
      <c r="M19" s="25">
        <v>15853</v>
      </c>
      <c r="N19" s="42"/>
      <c r="O19" s="42"/>
    </row>
    <row r="20" spans="2:15" x14ac:dyDescent="0.3">
      <c r="B20" s="17" t="s">
        <v>12</v>
      </c>
      <c r="C20" s="20">
        <v>1</v>
      </c>
      <c r="D20" s="8">
        <f>L20/O18*K20</f>
        <v>2.079255105606125</v>
      </c>
      <c r="E20" s="20">
        <v>537.697</v>
      </c>
      <c r="F20" s="20">
        <v>5.3819999999999997</v>
      </c>
      <c r="G20" s="8">
        <f>E20+K20</f>
        <v>637.67700000000002</v>
      </c>
      <c r="H20" s="24">
        <f>1 - M20/L20</f>
        <v>0.51873312501896063</v>
      </c>
      <c r="I20" s="42"/>
      <c r="J20" s="34"/>
      <c r="K20" s="25">
        <v>99.98</v>
      </c>
      <c r="L20" s="20">
        <v>32963</v>
      </c>
      <c r="M20" s="25">
        <v>15864</v>
      </c>
      <c r="N20" s="42"/>
      <c r="O20" s="42"/>
    </row>
    <row r="22" spans="2:15" x14ac:dyDescent="0.3">
      <c r="B22" s="27">
        <v>4</v>
      </c>
      <c r="C22" s="17" t="s">
        <v>13</v>
      </c>
      <c r="D22" s="17" t="s">
        <v>14</v>
      </c>
      <c r="E22" s="17" t="s">
        <v>16</v>
      </c>
      <c r="F22" s="17" t="s">
        <v>15</v>
      </c>
      <c r="G22" s="17" t="s">
        <v>26</v>
      </c>
      <c r="H22" s="17" t="s">
        <v>24</v>
      </c>
      <c r="I22" s="17" t="s">
        <v>29</v>
      </c>
      <c r="J22" s="17" t="s">
        <v>19</v>
      </c>
      <c r="K22" s="18" t="s">
        <v>17</v>
      </c>
      <c r="L22" s="18" t="s">
        <v>27</v>
      </c>
      <c r="M22" s="18" t="s">
        <v>28</v>
      </c>
      <c r="N22" s="18" t="s">
        <v>30</v>
      </c>
      <c r="O22" s="18" t="s">
        <v>31</v>
      </c>
    </row>
    <row r="23" spans="2:15" x14ac:dyDescent="0.3">
      <c r="B23" s="17" t="s">
        <v>10</v>
      </c>
      <c r="C23" s="20">
        <v>0.90300000000000002</v>
      </c>
      <c r="D23" s="8">
        <f>C23*14</f>
        <v>12.641999999999999</v>
      </c>
      <c r="E23" s="20">
        <v>108.956</v>
      </c>
      <c r="F23" s="20">
        <v>6.8730000000000002</v>
      </c>
      <c r="G23" s="20">
        <v>209.202</v>
      </c>
      <c r="H23" s="29">
        <v>0</v>
      </c>
      <c r="I23" s="42">
        <v>716.38400000000001</v>
      </c>
      <c r="J23" s="34">
        <f>N23/I23</f>
        <v>0.32630823692321437</v>
      </c>
      <c r="K23" s="22">
        <f>G23-E23</f>
        <v>100.246</v>
      </c>
      <c r="L23" s="8">
        <f>L24+L25</f>
        <v>100010</v>
      </c>
      <c r="M23" s="21"/>
      <c r="N23" s="42">
        <v>233.762</v>
      </c>
      <c r="O23" s="42">
        <f>1585567.391</f>
        <v>1585567.3910000001</v>
      </c>
    </row>
    <row r="24" spans="2:15" x14ac:dyDescent="0.3">
      <c r="B24" s="17" t="s">
        <v>11</v>
      </c>
      <c r="C24" s="20">
        <v>1</v>
      </c>
      <c r="D24" s="8">
        <f>L24/O23*K24</f>
        <v>4.2284325460121677</v>
      </c>
      <c r="E24" s="20">
        <v>275.988</v>
      </c>
      <c r="F24" s="20">
        <v>2.76</v>
      </c>
      <c r="G24" s="8">
        <f>E24+K24</f>
        <v>375.983</v>
      </c>
      <c r="H24" s="24">
        <f>1 - M24/L24</f>
        <v>0.76348287793819347</v>
      </c>
      <c r="I24" s="42"/>
      <c r="J24" s="34"/>
      <c r="K24" s="25">
        <v>99.995000000000005</v>
      </c>
      <c r="L24" s="20">
        <v>67048</v>
      </c>
      <c r="M24" s="25">
        <v>15858</v>
      </c>
      <c r="N24" s="42"/>
      <c r="O24" s="42"/>
    </row>
    <row r="25" spans="2:15" x14ac:dyDescent="0.3">
      <c r="B25" s="17" t="s">
        <v>12</v>
      </c>
      <c r="C25" s="20">
        <v>1</v>
      </c>
      <c r="D25" s="8">
        <f>L25/O23*K25</f>
        <v>2.0845525991269582</v>
      </c>
      <c r="E25" s="20">
        <v>538.75199999999995</v>
      </c>
      <c r="F25" s="20">
        <v>5.3730000000000002</v>
      </c>
      <c r="G25" s="8">
        <f>E25+K25</f>
        <v>639.02499999999998</v>
      </c>
      <c r="H25" s="24">
        <f>1 - M25/L25</f>
        <v>0.52017474667799291</v>
      </c>
      <c r="I25" s="42"/>
      <c r="J25" s="34"/>
      <c r="K25" s="25">
        <v>100.273</v>
      </c>
      <c r="L25" s="20">
        <v>32962</v>
      </c>
      <c r="M25" s="25">
        <v>15816</v>
      </c>
      <c r="N25" s="42"/>
      <c r="O25" s="42"/>
    </row>
    <row r="27" spans="2:15" x14ac:dyDescent="0.3">
      <c r="B27" s="27">
        <v>5</v>
      </c>
      <c r="C27" s="17" t="s">
        <v>13</v>
      </c>
      <c r="D27" s="17" t="s">
        <v>14</v>
      </c>
      <c r="E27" s="17" t="s">
        <v>16</v>
      </c>
      <c r="F27" s="17" t="s">
        <v>15</v>
      </c>
      <c r="G27" s="17" t="s">
        <v>26</v>
      </c>
      <c r="H27" s="17" t="s">
        <v>24</v>
      </c>
      <c r="I27" s="17" t="s">
        <v>29</v>
      </c>
      <c r="J27" s="17" t="s">
        <v>19</v>
      </c>
      <c r="K27" s="18" t="s">
        <v>17</v>
      </c>
      <c r="L27" s="18" t="s">
        <v>27</v>
      </c>
      <c r="M27" s="18" t="s">
        <v>28</v>
      </c>
      <c r="N27" s="18" t="s">
        <v>30</v>
      </c>
      <c r="O27" s="18" t="s">
        <v>31</v>
      </c>
    </row>
    <row r="28" spans="2:15" x14ac:dyDescent="0.3">
      <c r="B28" s="17" t="s">
        <v>10</v>
      </c>
      <c r="C28" s="20">
        <v>0.9</v>
      </c>
      <c r="D28" s="8">
        <f>C28*14</f>
        <v>12.6</v>
      </c>
      <c r="E28" s="20">
        <v>101.182</v>
      </c>
      <c r="F28" s="20">
        <v>6.3620000000000001</v>
      </c>
      <c r="G28" s="20">
        <v>201.42</v>
      </c>
      <c r="H28" s="29">
        <v>0</v>
      </c>
      <c r="I28" s="42">
        <v>709.88599999999997</v>
      </c>
      <c r="J28" s="34">
        <f>N28/I28</f>
        <v>0.31804261529315975</v>
      </c>
      <c r="K28" s="22">
        <f>G28-E28</f>
        <v>100.23799999999999</v>
      </c>
      <c r="L28" s="8">
        <f>L29+L30</f>
        <v>100010</v>
      </c>
      <c r="M28" s="21"/>
      <c r="N28" s="42">
        <v>225.774</v>
      </c>
      <c r="O28" s="42">
        <f>1590906.279</f>
        <v>1590906.2790000001</v>
      </c>
    </row>
    <row r="29" spans="2:15" x14ac:dyDescent="0.3">
      <c r="B29" s="17" t="s">
        <v>11</v>
      </c>
      <c r="C29" s="20">
        <v>1</v>
      </c>
      <c r="D29" s="8">
        <f>L29/O28*K29</f>
        <v>4.2144531632714735</v>
      </c>
      <c r="E29" s="20">
        <v>275.95400000000001</v>
      </c>
      <c r="F29" s="20">
        <v>2.76</v>
      </c>
      <c r="G29" s="8">
        <f>E29+K29</f>
        <v>375.95400000000001</v>
      </c>
      <c r="H29" s="24">
        <f>1 - M29/L29</f>
        <v>0.762692399475003</v>
      </c>
      <c r="I29" s="42"/>
      <c r="J29" s="34"/>
      <c r="K29" s="25">
        <v>100</v>
      </c>
      <c r="L29" s="20">
        <v>67048</v>
      </c>
      <c r="M29" s="25">
        <v>15911</v>
      </c>
      <c r="N29" s="42"/>
      <c r="O29" s="42"/>
    </row>
    <row r="30" spans="2:15" x14ac:dyDescent="0.3">
      <c r="B30" s="17" t="s">
        <v>12</v>
      </c>
      <c r="C30" s="20">
        <v>1</v>
      </c>
      <c r="D30" s="8">
        <f>L30/O28*K30</f>
        <v>2.0826954081058093</v>
      </c>
      <c r="E30" s="20">
        <v>540.85799999999995</v>
      </c>
      <c r="F30" s="20">
        <v>5.3810000000000002</v>
      </c>
      <c r="G30" s="8">
        <f>E30+K30</f>
        <v>641.37899999999991</v>
      </c>
      <c r="H30" s="24">
        <f>1 - M30/L30</f>
        <v>0.5197803531339118</v>
      </c>
      <c r="I30" s="42"/>
      <c r="J30" s="34"/>
      <c r="K30" s="25">
        <v>100.521</v>
      </c>
      <c r="L30" s="20">
        <v>32962</v>
      </c>
      <c r="M30" s="25">
        <v>15829</v>
      </c>
      <c r="N30" s="42"/>
      <c r="O30" s="42"/>
    </row>
    <row r="32" spans="2:15" x14ac:dyDescent="0.3">
      <c r="B32" s="11" t="s">
        <v>22</v>
      </c>
      <c r="C32" s="13" t="s">
        <v>13</v>
      </c>
      <c r="D32" s="13" t="s">
        <v>14</v>
      </c>
      <c r="E32" s="13" t="s">
        <v>16</v>
      </c>
      <c r="F32" s="13" t="s">
        <v>15</v>
      </c>
      <c r="G32" s="13" t="s">
        <v>26</v>
      </c>
      <c r="H32" s="13" t="s">
        <v>24</v>
      </c>
      <c r="I32" s="13" t="s">
        <v>29</v>
      </c>
      <c r="J32" s="13" t="s">
        <v>19</v>
      </c>
    </row>
    <row r="33" spans="2:10" x14ac:dyDescent="0.3">
      <c r="B33" s="13" t="s">
        <v>10</v>
      </c>
      <c r="C33" s="12">
        <f>SQRT(_xlfn.VAR.S(C8,C13,C18,C23,C28))</f>
        <v>2.5099800796022291E-3</v>
      </c>
      <c r="D33" s="12">
        <f t="shared" ref="D33:H33" si="0">SQRT(_xlfn.VAR.S(D8,D13,D18,D23,D28))</f>
        <v>3.4563278174559953</v>
      </c>
      <c r="E33" s="12">
        <f t="shared" si="0"/>
        <v>9.3125603998041253</v>
      </c>
      <c r="F33" s="12">
        <f t="shared" si="0"/>
        <v>0.58843801712669808</v>
      </c>
      <c r="G33" s="12">
        <f t="shared" si="0"/>
        <v>8.9958567963257394</v>
      </c>
      <c r="H33" s="12">
        <f t="shared" si="0"/>
        <v>0</v>
      </c>
      <c r="I33" s="38">
        <f>SQRT(_xlfn.VAR.S(I8,I13,I18,I23,I28))</f>
        <v>8.5546993342840452</v>
      </c>
      <c r="J33" s="38">
        <f t="shared" ref="J33" si="1">SQRT(_xlfn.VAR.S(J8,J13,J18,J23,J28))</f>
        <v>9.2957453985616709E-3</v>
      </c>
    </row>
    <row r="34" spans="2:10" x14ac:dyDescent="0.3">
      <c r="B34" s="13" t="s">
        <v>11</v>
      </c>
      <c r="C34" s="12">
        <f t="shared" ref="C34:H35" si="2">SQRT(_xlfn.VAR.S(C9,C14,C19,C24,C29))</f>
        <v>0</v>
      </c>
      <c r="D34" s="12">
        <f t="shared" si="2"/>
        <v>6.9529881334793511E-3</v>
      </c>
      <c r="E34" s="12">
        <f t="shared" si="2"/>
        <v>9.1868384115542739E-2</v>
      </c>
      <c r="F34" s="12">
        <f t="shared" si="2"/>
        <v>1.2247448713916353E-3</v>
      </c>
      <c r="G34" s="12">
        <f>SQRT(_xlfn.VAR.S(G9,G14,G19,G24,G29))</f>
        <v>9.3251273449732539E-2</v>
      </c>
      <c r="H34" s="12">
        <f t="shared" si="2"/>
        <v>3.8885440922318339E-4</v>
      </c>
      <c r="I34" s="39"/>
      <c r="J34" s="39"/>
    </row>
    <row r="35" spans="2:10" x14ac:dyDescent="0.3">
      <c r="B35" s="13" t="s">
        <v>12</v>
      </c>
      <c r="C35" s="12">
        <f t="shared" si="2"/>
        <v>0</v>
      </c>
      <c r="D35" s="12">
        <f t="shared" si="2"/>
        <v>2.9193720217599714E-3</v>
      </c>
      <c r="E35" s="12">
        <f t="shared" si="2"/>
        <v>1.8796072196073186</v>
      </c>
      <c r="F35" s="12">
        <f t="shared" si="2"/>
        <v>5.4772255750516665E-3</v>
      </c>
      <c r="G35" s="12">
        <f t="shared" si="2"/>
        <v>2.1608051277243376</v>
      </c>
      <c r="H35" s="12">
        <f t="shared" si="2"/>
        <v>7.1531055233713472E-4</v>
      </c>
      <c r="I35" s="40"/>
      <c r="J35" s="40"/>
    </row>
    <row r="42" spans="2:10" x14ac:dyDescent="0.3">
      <c r="B42" s="11" t="s">
        <v>21</v>
      </c>
      <c r="C42" s="15" t="s">
        <v>13</v>
      </c>
      <c r="D42" s="15" t="s">
        <v>14</v>
      </c>
      <c r="E42" s="15" t="s">
        <v>16</v>
      </c>
      <c r="F42" s="15" t="s">
        <v>15</v>
      </c>
      <c r="G42" s="15" t="s">
        <v>26</v>
      </c>
      <c r="H42" s="15" t="s">
        <v>24</v>
      </c>
      <c r="I42" s="15" t="s">
        <v>29</v>
      </c>
      <c r="J42" s="15" t="s">
        <v>19</v>
      </c>
    </row>
    <row r="43" spans="2:10" x14ac:dyDescent="0.3">
      <c r="B43" s="15" t="s">
        <v>10</v>
      </c>
      <c r="C43" s="12">
        <f t="shared" ref="C43:J45" si="3">AVERAGE(C8,C13,C18,C23,C28)</f>
        <v>0.90159999999999996</v>
      </c>
      <c r="D43" s="12">
        <f t="shared" si="3"/>
        <v>8.8348632868259234</v>
      </c>
      <c r="E43" s="12">
        <f t="shared" si="3"/>
        <v>104.01079999999999</v>
      </c>
      <c r="F43" s="12">
        <f t="shared" si="3"/>
        <v>6.559400000000001</v>
      </c>
      <c r="G43" s="12">
        <f t="shared" si="3"/>
        <v>203.70799999999997</v>
      </c>
      <c r="H43" s="28">
        <f t="shared" si="3"/>
        <v>0</v>
      </c>
      <c r="I43" s="53">
        <f t="shared" si="3"/>
        <v>711.03280000000007</v>
      </c>
      <c r="J43" s="53">
        <f t="shared" si="3"/>
        <v>0.31966000890737695</v>
      </c>
    </row>
    <row r="44" spans="2:10" x14ac:dyDescent="0.3">
      <c r="B44" s="15" t="s">
        <v>11</v>
      </c>
      <c r="C44" s="12">
        <f t="shared" si="3"/>
        <v>1</v>
      </c>
      <c r="D44" s="12">
        <f t="shared" si="3"/>
        <v>4.2266798278823616</v>
      </c>
      <c r="E44" s="12">
        <f t="shared" si="3"/>
        <v>275.95940000000002</v>
      </c>
      <c r="F44" s="12">
        <f t="shared" si="3"/>
        <v>2.76</v>
      </c>
      <c r="G44" s="12">
        <f t="shared" si="3"/>
        <v>375.95639999999997</v>
      </c>
      <c r="H44" s="12">
        <f>AVERAGE(H9,H14,H19,H24,H29)</f>
        <v>0.76337552904296846</v>
      </c>
      <c r="I44" s="53"/>
      <c r="J44" s="53"/>
    </row>
    <row r="45" spans="2:10" x14ac:dyDescent="0.3">
      <c r="B45" s="15" t="s">
        <v>12</v>
      </c>
      <c r="C45" s="12">
        <f t="shared" si="3"/>
        <v>1</v>
      </c>
      <c r="D45" s="12">
        <f t="shared" si="3"/>
        <v>2.0808556119824937</v>
      </c>
      <c r="E45" s="12">
        <f t="shared" si="3"/>
        <v>538.04740000000004</v>
      </c>
      <c r="F45" s="12">
        <f t="shared" si="3"/>
        <v>5.3759999999999994</v>
      </c>
      <c r="G45" s="12">
        <f t="shared" si="3"/>
        <v>638.15139999999997</v>
      </c>
      <c r="H45" s="12">
        <f>AVERAGE(H10,H15,H20,H25,H30)</f>
        <v>0.51928734756218353</v>
      </c>
      <c r="I45" s="53"/>
      <c r="J45" s="53"/>
    </row>
    <row r="46" spans="2:10" x14ac:dyDescent="0.3">
      <c r="B46" s="11" t="s">
        <v>23</v>
      </c>
      <c r="C46" s="13" t="s">
        <v>13</v>
      </c>
      <c r="D46" s="13" t="s">
        <v>14</v>
      </c>
      <c r="E46" s="13" t="s">
        <v>16</v>
      </c>
      <c r="F46" s="13" t="s">
        <v>15</v>
      </c>
      <c r="G46" s="13" t="s">
        <v>26</v>
      </c>
      <c r="H46" s="13" t="s">
        <v>24</v>
      </c>
      <c r="I46" s="13" t="s">
        <v>29</v>
      </c>
      <c r="J46" s="13" t="s">
        <v>19</v>
      </c>
    </row>
    <row r="47" spans="2:10" x14ac:dyDescent="0.3">
      <c r="B47" s="13" t="s">
        <v>10</v>
      </c>
      <c r="C47" s="8">
        <f>_xlfn.CONFIDENCE.T(0.05,C33,COUNT(C8,C13,C18,C23,C28))</f>
        <v>3.1165519010507062E-3</v>
      </c>
      <c r="D47" s="8">
        <f>_xlfn.CONFIDENCE.T(0.05,D33,COUNT(D8,D13,D18,D23,D28))</f>
        <v>4.2915978169253011</v>
      </c>
      <c r="E47" s="8">
        <f>_xlfn.CONFIDENCE.T(0.05,E33,COUNT(E8,E13,E18,E23,E28))</f>
        <v>11.563070979534835</v>
      </c>
      <c r="F47" s="8">
        <f>_xlfn.CONFIDENCE.T(0.05,F33,COUNT(F8,F13,F18,F23,F28))</f>
        <v>0.73064230104063099</v>
      </c>
      <c r="G47" s="8">
        <f>_xlfn.CONFIDENCE.T(0.05,G33,COUNT(G8,G13,G18,G23,G28))</f>
        <v>11.169831516994323</v>
      </c>
      <c r="H47" s="27">
        <v>0</v>
      </c>
      <c r="I47" s="54">
        <f>_xlfn.CONFIDENCE.T(0.05,I33,COUNT(I8,I13,I18,I23,I28))</f>
        <v>10.622062178838206</v>
      </c>
      <c r="J47" s="54">
        <f>_xlfn.CONFIDENCE.T(0.05,J33,COUNT(J8,J13,J18,J23,J28))</f>
        <v>1.1542192397862328E-2</v>
      </c>
    </row>
    <row r="48" spans="2:10" x14ac:dyDescent="0.3">
      <c r="B48" s="13" t="s">
        <v>11</v>
      </c>
      <c r="C48" s="27">
        <v>0</v>
      </c>
      <c r="D48" s="8">
        <f>_xlfn.CONFIDENCE.T(0.05,D34,COUNT(D9,D14,D19,D24,D29))</f>
        <v>8.633275045279297E-3</v>
      </c>
      <c r="E48" s="8">
        <f>_xlfn.CONFIDENCE.T(0.05,E34,COUNT(E9,E14,E19,E24,E29))</f>
        <v>0.11406966512942396</v>
      </c>
      <c r="F48" s="8">
        <f>_xlfn.CONFIDENCE.T(0.05,F34,COUNT(F9,F14,F19,F24,F29))</f>
        <v>1.5207216137916929E-3</v>
      </c>
      <c r="G48" s="8">
        <f>_xlfn.CONFIDENCE.T(0.05,G34,COUNT(G9,G14,G19,G24,G29))</f>
        <v>0.11578674902918741</v>
      </c>
      <c r="H48" s="8">
        <f>_xlfn.CONFIDENCE.T(0.05,H34,COUNT(H9,H14,H19,H24,H29))</f>
        <v>4.8282652047522054E-4</v>
      </c>
      <c r="I48" s="55"/>
      <c r="J48" s="55"/>
    </row>
    <row r="49" spans="2:10" x14ac:dyDescent="0.3">
      <c r="B49" s="13" t="s">
        <v>12</v>
      </c>
      <c r="C49" s="27">
        <v>0</v>
      </c>
      <c r="D49" s="8">
        <f>_xlfn.CONFIDENCE.T(0.05,D35,COUNT(D10,D15,D20,D25,D30))</f>
        <v>3.6248791367826921E-3</v>
      </c>
      <c r="E49" s="8">
        <f>_xlfn.CONFIDENCE.T(0.05,E35,COUNT(E10,E15,E20,E25,E30))</f>
        <v>2.3338406153502835</v>
      </c>
      <c r="F49" s="8">
        <f>_xlfn.CONFIDENCE.T(0.05,F35,COUNT(F10,F15,F20,F25,F30))</f>
        <v>6.8008738065825636E-3</v>
      </c>
      <c r="G49" s="8">
        <f>_xlfn.CONFIDENCE.T(0.05,G35,COUNT(G10,G15,G20,G25,G30))</f>
        <v>2.6829939342293962</v>
      </c>
      <c r="H49" s="8">
        <f>_xlfn.CONFIDENCE.T(0.05,H35,COUNT(H10,H15,H20,H25,H30))</f>
        <v>8.8817536037226962E-4</v>
      </c>
      <c r="I49" s="56"/>
      <c r="J49" s="56"/>
    </row>
  </sheetData>
  <mergeCells count="30">
    <mergeCell ref="I3:I5"/>
    <mergeCell ref="J3:J5"/>
    <mergeCell ref="N3:N5"/>
    <mergeCell ref="O3:O5"/>
    <mergeCell ref="I8:I10"/>
    <mergeCell ref="J8:J10"/>
    <mergeCell ref="N8:N10"/>
    <mergeCell ref="O8:O10"/>
    <mergeCell ref="I13:I15"/>
    <mergeCell ref="J13:J15"/>
    <mergeCell ref="N13:N15"/>
    <mergeCell ref="O13:O15"/>
    <mergeCell ref="I18:I20"/>
    <mergeCell ref="J18:J20"/>
    <mergeCell ref="N18:N20"/>
    <mergeCell ref="O18:O20"/>
    <mergeCell ref="I23:I25"/>
    <mergeCell ref="J23:J25"/>
    <mergeCell ref="N23:N25"/>
    <mergeCell ref="O23:O25"/>
    <mergeCell ref="I28:I30"/>
    <mergeCell ref="J28:J30"/>
    <mergeCell ref="N28:N30"/>
    <mergeCell ref="O28:O30"/>
    <mergeCell ref="I33:I35"/>
    <mergeCell ref="J33:J35"/>
    <mergeCell ref="I47:I49"/>
    <mergeCell ref="J47:J49"/>
    <mergeCell ref="I43:I45"/>
    <mergeCell ref="J43:J45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AB267-140B-4A8C-A1DF-0B490FDBC50F}">
  <sheetPr>
    <tabColor rgb="FF7030A0"/>
  </sheetPr>
  <dimension ref="B2:O49"/>
  <sheetViews>
    <sheetView topLeftCell="A37" workbookViewId="0">
      <selection activeCell="B42" sqref="B42:J49"/>
    </sheetView>
  </sheetViews>
  <sheetFormatPr defaultRowHeight="15.05" x14ac:dyDescent="0.3"/>
  <cols>
    <col min="3" max="3" width="8.21875" bestFit="1" customWidth="1"/>
    <col min="4" max="4" width="8.44140625" bestFit="1" customWidth="1"/>
    <col min="5" max="6" width="11.109375" bestFit="1" customWidth="1"/>
    <col min="7" max="7" width="13.33203125" bestFit="1" customWidth="1"/>
    <col min="8" max="8" width="8" bestFit="1" customWidth="1"/>
    <col min="9" max="9" width="13.5546875" bestFit="1" customWidth="1"/>
    <col min="10" max="10" width="8" bestFit="1" customWidth="1"/>
    <col min="11" max="11" width="13.33203125" bestFit="1" customWidth="1"/>
    <col min="12" max="12" width="10.44140625" bestFit="1" customWidth="1"/>
    <col min="13" max="14" width="9.44140625" bestFit="1" customWidth="1"/>
    <col min="15" max="15" width="11.44140625" bestFit="1" customWidth="1"/>
  </cols>
  <sheetData>
    <row r="2" spans="2:15" x14ac:dyDescent="0.3">
      <c r="B2" s="27"/>
      <c r="C2" s="17" t="s">
        <v>13</v>
      </c>
      <c r="D2" s="17" t="s">
        <v>14</v>
      </c>
      <c r="E2" s="17" t="s">
        <v>16</v>
      </c>
      <c r="F2" s="17" t="s">
        <v>15</v>
      </c>
      <c r="G2" s="17" t="s">
        <v>26</v>
      </c>
      <c r="H2" s="17" t="s">
        <v>24</v>
      </c>
      <c r="I2" s="17" t="s">
        <v>29</v>
      </c>
      <c r="J2" s="17" t="s">
        <v>19</v>
      </c>
      <c r="K2" s="18" t="s">
        <v>17</v>
      </c>
      <c r="L2" s="18" t="s">
        <v>27</v>
      </c>
      <c r="M2" s="18" t="s">
        <v>28</v>
      </c>
      <c r="N2" s="18" t="s">
        <v>30</v>
      </c>
      <c r="O2" s="18" t="s">
        <v>31</v>
      </c>
    </row>
    <row r="3" spans="2:15" x14ac:dyDescent="0.3">
      <c r="B3" s="17" t="s">
        <v>10</v>
      </c>
      <c r="C3" s="20"/>
      <c r="D3" s="8">
        <f>C3*14</f>
        <v>0</v>
      </c>
      <c r="E3" s="20"/>
      <c r="F3" s="20"/>
      <c r="G3" s="20"/>
      <c r="H3" s="29">
        <v>0</v>
      </c>
      <c r="I3" s="42"/>
      <c r="J3" s="34" t="e">
        <f>N3/I3</f>
        <v>#DIV/0!</v>
      </c>
      <c r="K3" s="22">
        <f>G3-E3</f>
        <v>0</v>
      </c>
      <c r="L3" s="8">
        <f>L4+L5</f>
        <v>0</v>
      </c>
      <c r="M3" s="21"/>
      <c r="N3" s="42"/>
      <c r="O3" s="42"/>
    </row>
    <row r="4" spans="2:15" x14ac:dyDescent="0.3">
      <c r="B4" s="17" t="s">
        <v>11</v>
      </c>
      <c r="C4" s="20"/>
      <c r="D4" s="8" t="e">
        <f>L4/O3*K4</f>
        <v>#DIV/0!</v>
      </c>
      <c r="E4" s="20"/>
      <c r="F4" s="20"/>
      <c r="G4" s="8">
        <f>E4+K4</f>
        <v>0</v>
      </c>
      <c r="H4" s="24" t="e">
        <f>1 - M4/L4</f>
        <v>#DIV/0!</v>
      </c>
      <c r="I4" s="42"/>
      <c r="J4" s="34"/>
      <c r="K4" s="25"/>
      <c r="L4" s="20"/>
      <c r="M4" s="25"/>
      <c r="N4" s="42"/>
      <c r="O4" s="42"/>
    </row>
    <row r="5" spans="2:15" x14ac:dyDescent="0.3">
      <c r="B5" s="17" t="s">
        <v>12</v>
      </c>
      <c r="C5" s="20"/>
      <c r="D5" s="8" t="e">
        <f>L5/O3*K5</f>
        <v>#DIV/0!</v>
      </c>
      <c r="E5" s="20"/>
      <c r="F5" s="20"/>
      <c r="G5" s="8">
        <f>E5+K5</f>
        <v>0</v>
      </c>
      <c r="H5" s="24" t="e">
        <f>1 - M5/L5</f>
        <v>#DIV/0!</v>
      </c>
      <c r="I5" s="42"/>
      <c r="J5" s="34"/>
      <c r="K5" s="25"/>
      <c r="L5" s="20"/>
      <c r="M5" s="25"/>
      <c r="N5" s="42"/>
      <c r="O5" s="42"/>
    </row>
    <row r="7" spans="2:15" x14ac:dyDescent="0.3">
      <c r="B7" s="27">
        <v>1</v>
      </c>
      <c r="C7" s="17" t="s">
        <v>13</v>
      </c>
      <c r="D7" s="17" t="s">
        <v>14</v>
      </c>
      <c r="E7" s="17" t="s">
        <v>16</v>
      </c>
      <c r="F7" s="17" t="s">
        <v>15</v>
      </c>
      <c r="G7" s="17" t="s">
        <v>26</v>
      </c>
      <c r="H7" s="17" t="s">
        <v>24</v>
      </c>
      <c r="I7" s="17" t="s">
        <v>29</v>
      </c>
      <c r="J7" s="17" t="s">
        <v>19</v>
      </c>
      <c r="K7" s="18" t="s">
        <v>17</v>
      </c>
      <c r="L7" s="18" t="s">
        <v>27</v>
      </c>
      <c r="M7" s="18" t="s">
        <v>28</v>
      </c>
      <c r="N7" s="18" t="s">
        <v>30</v>
      </c>
      <c r="O7" s="18" t="s">
        <v>31</v>
      </c>
    </row>
    <row r="8" spans="2:15" x14ac:dyDescent="0.3">
      <c r="B8" s="17" t="s">
        <v>10</v>
      </c>
      <c r="C8" s="20">
        <v>0.45200000000000001</v>
      </c>
      <c r="D8" s="8">
        <f>C8*14</f>
        <v>6.3280000000000003</v>
      </c>
      <c r="E8" s="20">
        <v>8.2000000000000003E-2</v>
      </c>
      <c r="F8" s="20">
        <v>5.0000000000000001E-3</v>
      </c>
      <c r="G8" s="20">
        <v>100.32599999999999</v>
      </c>
      <c r="H8" s="29">
        <v>0</v>
      </c>
      <c r="I8" s="42">
        <v>608.39599999999996</v>
      </c>
      <c r="J8" s="34">
        <f>N8/I8</f>
        <v>0.29866895903326124</v>
      </c>
      <c r="K8" s="22">
        <f>G8-E8</f>
        <v>100.244</v>
      </c>
      <c r="L8" s="8">
        <f>L9+L10</f>
        <v>100011</v>
      </c>
      <c r="M8" s="21"/>
      <c r="N8" s="42">
        <v>181.709</v>
      </c>
      <c r="O8" s="42">
        <f>1583734.182</f>
        <v>1583734.182</v>
      </c>
    </row>
    <row r="9" spans="2:15" x14ac:dyDescent="0.3">
      <c r="B9" s="17" t="s">
        <v>11</v>
      </c>
      <c r="C9" s="20">
        <v>1</v>
      </c>
      <c r="D9" s="8">
        <f>L9/O8*K9</f>
        <v>4.2259398206257828</v>
      </c>
      <c r="E9" s="20">
        <v>275.56</v>
      </c>
      <c r="F9" s="20">
        <v>2.7559999999999998</v>
      </c>
      <c r="G9" s="8">
        <f>E9+K9</f>
        <v>375.55500000000001</v>
      </c>
      <c r="H9" s="24">
        <f>1 - M9/L9</f>
        <v>0.76332342262927488</v>
      </c>
      <c r="I9" s="42"/>
      <c r="J9" s="34"/>
      <c r="K9" s="25">
        <v>99.995000000000005</v>
      </c>
      <c r="L9" s="20">
        <v>66931</v>
      </c>
      <c r="M9" s="25">
        <v>15841</v>
      </c>
      <c r="N9" s="42"/>
      <c r="O9" s="42"/>
    </row>
    <row r="10" spans="2:15" x14ac:dyDescent="0.3">
      <c r="B10" s="17" t="s">
        <v>12</v>
      </c>
      <c r="C10" s="20">
        <v>1</v>
      </c>
      <c r="D10" s="8">
        <f>L10/O8*K10</f>
        <v>2.0908439797758942</v>
      </c>
      <c r="E10" s="20">
        <v>539.42200000000003</v>
      </c>
      <c r="F10" s="20">
        <v>5.39</v>
      </c>
      <c r="G10" s="8">
        <f>E10+K10</f>
        <v>639.52300000000002</v>
      </c>
      <c r="H10" s="24">
        <f>1 - M10/L10</f>
        <v>0.52161426844014502</v>
      </c>
      <c r="I10" s="42"/>
      <c r="J10" s="34"/>
      <c r="K10" s="25">
        <v>100.101</v>
      </c>
      <c r="L10" s="20">
        <v>33080</v>
      </c>
      <c r="M10" s="25">
        <v>15825</v>
      </c>
      <c r="N10" s="42"/>
      <c r="O10" s="42"/>
    </row>
    <row r="12" spans="2:15" x14ac:dyDescent="0.3">
      <c r="B12" s="27">
        <v>2</v>
      </c>
      <c r="C12" s="17" t="s">
        <v>13</v>
      </c>
      <c r="D12" s="17" t="s">
        <v>14</v>
      </c>
      <c r="E12" s="17" t="s">
        <v>16</v>
      </c>
      <c r="F12" s="17" t="s">
        <v>15</v>
      </c>
      <c r="G12" s="17" t="s">
        <v>26</v>
      </c>
      <c r="H12" s="17" t="s">
        <v>24</v>
      </c>
      <c r="I12" s="17" t="s">
        <v>29</v>
      </c>
      <c r="J12" s="17" t="s">
        <v>19</v>
      </c>
      <c r="K12" s="18" t="s">
        <v>17</v>
      </c>
      <c r="L12" s="18" t="s">
        <v>27</v>
      </c>
      <c r="M12" s="18" t="s">
        <v>28</v>
      </c>
      <c r="N12" s="18" t="s">
        <v>30</v>
      </c>
      <c r="O12" s="18" t="s">
        <v>31</v>
      </c>
    </row>
    <row r="13" spans="2:15" x14ac:dyDescent="0.3">
      <c r="B13" s="17" t="s">
        <v>10</v>
      </c>
      <c r="C13" s="20">
        <v>0.45</v>
      </c>
      <c r="D13" s="8">
        <f>C13*14</f>
        <v>6.3</v>
      </c>
      <c r="E13" s="20">
        <v>8.5999999999999993E-2</v>
      </c>
      <c r="F13" s="20">
        <v>5.0000000000000001E-3</v>
      </c>
      <c r="G13" s="20">
        <v>100.182</v>
      </c>
      <c r="H13" s="29">
        <v>0</v>
      </c>
      <c r="I13" s="42">
        <v>605.06500000000005</v>
      </c>
      <c r="J13" s="34">
        <f>N13/I13</f>
        <v>0.2985398262996537</v>
      </c>
      <c r="K13" s="22">
        <f>G13-E13</f>
        <v>100.096</v>
      </c>
      <c r="L13" s="8">
        <f>L14+L15</f>
        <v>100009</v>
      </c>
      <c r="M13" s="21"/>
      <c r="N13" s="42">
        <v>180.636</v>
      </c>
      <c r="O13" s="42">
        <f>1589713.527</f>
        <v>1589713.527</v>
      </c>
    </row>
    <row r="14" spans="2:15" x14ac:dyDescent="0.3">
      <c r="B14" s="17" t="s">
        <v>11</v>
      </c>
      <c r="C14" s="20">
        <v>1</v>
      </c>
      <c r="D14" s="8">
        <f>L14/O13*K14</f>
        <v>4.2175730646594669</v>
      </c>
      <c r="E14" s="20">
        <v>275.536</v>
      </c>
      <c r="F14" s="20">
        <v>2.7559999999999998</v>
      </c>
      <c r="G14" s="8">
        <f>E14+K14</f>
        <v>375.53499999999997</v>
      </c>
      <c r="H14" s="24">
        <f>1 - M14/L14</f>
        <v>0.762856461042835</v>
      </c>
      <c r="I14" s="42"/>
      <c r="J14" s="34"/>
      <c r="K14" s="25">
        <v>99.998999999999995</v>
      </c>
      <c r="L14" s="20">
        <v>67048</v>
      </c>
      <c r="M14" s="25">
        <v>15900</v>
      </c>
      <c r="N14" s="42"/>
      <c r="O14" s="42"/>
    </row>
    <row r="15" spans="2:15" x14ac:dyDescent="0.3">
      <c r="B15" s="17" t="s">
        <v>12</v>
      </c>
      <c r="C15" s="20">
        <v>1</v>
      </c>
      <c r="D15" s="8">
        <f>L15/O13*K15</f>
        <v>2.0700128048919848</v>
      </c>
      <c r="E15" s="20">
        <v>535.25300000000004</v>
      </c>
      <c r="F15" s="20">
        <v>5.3620000000000001</v>
      </c>
      <c r="G15" s="8">
        <f>E15+K15</f>
        <v>635.09</v>
      </c>
      <c r="H15" s="24">
        <f>1 - M15/L15</f>
        <v>0.51685325081156519</v>
      </c>
      <c r="I15" s="42"/>
      <c r="J15" s="34"/>
      <c r="K15" s="25">
        <v>99.837000000000003</v>
      </c>
      <c r="L15" s="20">
        <v>32961</v>
      </c>
      <c r="M15" s="25">
        <v>15925</v>
      </c>
      <c r="N15" s="42"/>
      <c r="O15" s="42"/>
    </row>
    <row r="17" spans="2:15" x14ac:dyDescent="0.3">
      <c r="B17" s="27">
        <v>3</v>
      </c>
      <c r="C17" s="17" t="s">
        <v>13</v>
      </c>
      <c r="D17" s="17" t="s">
        <v>14</v>
      </c>
      <c r="E17" s="17" t="s">
        <v>16</v>
      </c>
      <c r="F17" s="17" t="s">
        <v>15</v>
      </c>
      <c r="G17" s="17" t="s">
        <v>26</v>
      </c>
      <c r="H17" s="17" t="s">
        <v>24</v>
      </c>
      <c r="I17" s="17" t="s">
        <v>29</v>
      </c>
      <c r="J17" s="17" t="s">
        <v>19</v>
      </c>
      <c r="K17" s="18" t="s">
        <v>17</v>
      </c>
      <c r="L17" s="18" t="s">
        <v>27</v>
      </c>
      <c r="M17" s="18" t="s">
        <v>28</v>
      </c>
      <c r="N17" s="18" t="s">
        <v>30</v>
      </c>
      <c r="O17" s="18" t="s">
        <v>31</v>
      </c>
    </row>
    <row r="18" spans="2:15" x14ac:dyDescent="0.3">
      <c r="B18" s="17" t="s">
        <v>10</v>
      </c>
      <c r="C18" s="20">
        <v>0.45100000000000001</v>
      </c>
      <c r="D18" s="8">
        <f>C18*14</f>
        <v>6.3140000000000001</v>
      </c>
      <c r="E18" s="20">
        <v>0.09</v>
      </c>
      <c r="F18" s="20">
        <v>6.0000000000000001E-3</v>
      </c>
      <c r="G18" s="20">
        <v>100.146</v>
      </c>
      <c r="H18" s="29">
        <v>0</v>
      </c>
      <c r="I18" s="42">
        <v>605.73500000000001</v>
      </c>
      <c r="J18" s="34">
        <f>N18/I18</f>
        <v>0.29691036509364654</v>
      </c>
      <c r="K18" s="22">
        <f>G18-E18</f>
        <v>100.056</v>
      </c>
      <c r="L18" s="8">
        <f>L19+L20</f>
        <v>100011</v>
      </c>
      <c r="M18" s="21"/>
      <c r="N18" s="42">
        <v>179.84899999999999</v>
      </c>
      <c r="O18" s="42">
        <f>1586509.116</f>
        <v>1586509.1159999999</v>
      </c>
    </row>
    <row r="19" spans="2:15" x14ac:dyDescent="0.3">
      <c r="B19" s="17" t="s">
        <v>11</v>
      </c>
      <c r="C19" s="20">
        <v>1</v>
      </c>
      <c r="D19" s="8">
        <f>L19/O18*K19</f>
        <v>4.226007142589908</v>
      </c>
      <c r="E19" s="20">
        <v>275.96199999999999</v>
      </c>
      <c r="F19" s="20">
        <v>2.76</v>
      </c>
      <c r="G19" s="8">
        <f>E19+K19</f>
        <v>375.959</v>
      </c>
      <c r="H19" s="24">
        <f>1 - M19/L19</f>
        <v>0.76333373105834623</v>
      </c>
      <c r="I19" s="42"/>
      <c r="J19" s="34"/>
      <c r="K19" s="25">
        <v>99.997</v>
      </c>
      <c r="L19" s="20">
        <v>67048</v>
      </c>
      <c r="M19" s="25">
        <v>15868</v>
      </c>
      <c r="N19" s="42"/>
      <c r="O19" s="42"/>
    </row>
    <row r="20" spans="2:15" x14ac:dyDescent="0.3">
      <c r="B20" s="17" t="s">
        <v>12</v>
      </c>
      <c r="C20" s="20">
        <v>1</v>
      </c>
      <c r="D20" s="8">
        <f>L20/O18*K20</f>
        <v>2.0744235332840031</v>
      </c>
      <c r="E20" s="20">
        <v>535.61800000000005</v>
      </c>
      <c r="F20" s="20">
        <v>5.3659999999999997</v>
      </c>
      <c r="G20" s="8">
        <f>E20+K20</f>
        <v>635.46</v>
      </c>
      <c r="H20" s="24">
        <f>1 - M20/L20</f>
        <v>0.517792676637442</v>
      </c>
      <c r="I20" s="42"/>
      <c r="J20" s="34"/>
      <c r="K20" s="25">
        <v>99.841999999999999</v>
      </c>
      <c r="L20" s="20">
        <v>32963</v>
      </c>
      <c r="M20" s="25">
        <v>15895</v>
      </c>
      <c r="N20" s="42"/>
      <c r="O20" s="42"/>
    </row>
    <row r="22" spans="2:15" x14ac:dyDescent="0.3">
      <c r="B22" s="27">
        <v>4</v>
      </c>
      <c r="C22" s="17" t="s">
        <v>13</v>
      </c>
      <c r="D22" s="17" t="s">
        <v>14</v>
      </c>
      <c r="E22" s="17" t="s">
        <v>16</v>
      </c>
      <c r="F22" s="17" t="s">
        <v>15</v>
      </c>
      <c r="G22" s="17" t="s">
        <v>26</v>
      </c>
      <c r="H22" s="17" t="s">
        <v>24</v>
      </c>
      <c r="I22" s="17" t="s">
        <v>29</v>
      </c>
      <c r="J22" s="17" t="s">
        <v>19</v>
      </c>
      <c r="K22" s="18" t="s">
        <v>17</v>
      </c>
      <c r="L22" s="18" t="s">
        <v>27</v>
      </c>
      <c r="M22" s="18" t="s">
        <v>28</v>
      </c>
      <c r="N22" s="18" t="s">
        <v>30</v>
      </c>
      <c r="O22" s="18" t="s">
        <v>31</v>
      </c>
    </row>
    <row r="23" spans="2:15" x14ac:dyDescent="0.3">
      <c r="B23" s="17" t="s">
        <v>10</v>
      </c>
      <c r="C23" s="20">
        <v>0.45</v>
      </c>
      <c r="D23" s="8">
        <f>C23*14</f>
        <v>6.3</v>
      </c>
      <c r="E23" s="20">
        <v>7.2999999999999995E-2</v>
      </c>
      <c r="F23" s="20">
        <v>5.0000000000000001E-3</v>
      </c>
      <c r="G23" s="20">
        <v>100.047</v>
      </c>
      <c r="H23" s="29">
        <v>0</v>
      </c>
      <c r="I23" s="42">
        <v>606.82100000000003</v>
      </c>
      <c r="J23" s="34">
        <f>N23/I23</f>
        <v>0.29676791014154091</v>
      </c>
      <c r="K23" s="22">
        <f>G23-E23</f>
        <v>99.974000000000004</v>
      </c>
      <c r="L23" s="8">
        <f>L24+L25</f>
        <v>100011</v>
      </c>
      <c r="M23" s="21"/>
      <c r="N23" s="42">
        <v>180.08500000000001</v>
      </c>
      <c r="O23" s="42">
        <f>1585821.943</f>
        <v>1585821.943</v>
      </c>
    </row>
    <row r="24" spans="2:15" x14ac:dyDescent="0.3">
      <c r="B24" s="17" t="s">
        <v>11</v>
      </c>
      <c r="C24" s="20">
        <v>1</v>
      </c>
      <c r="D24" s="8">
        <f>L24/O23*K24</f>
        <v>4.2278383683583574</v>
      </c>
      <c r="E24" s="20">
        <v>275.75799999999998</v>
      </c>
      <c r="F24" s="20">
        <v>2.758</v>
      </c>
      <c r="G24" s="8">
        <f>E24+K24</f>
        <v>375.755</v>
      </c>
      <c r="H24" s="24">
        <f>1 - M24/L24</f>
        <v>0.76343813387423931</v>
      </c>
      <c r="I24" s="42"/>
      <c r="J24" s="34"/>
      <c r="K24" s="25">
        <v>99.997</v>
      </c>
      <c r="L24" s="20">
        <v>67048</v>
      </c>
      <c r="M24" s="25">
        <v>15861</v>
      </c>
      <c r="N24" s="42"/>
      <c r="O24" s="42"/>
    </row>
    <row r="25" spans="2:15" x14ac:dyDescent="0.3">
      <c r="B25" s="17" t="s">
        <v>12</v>
      </c>
      <c r="C25" s="20">
        <v>1</v>
      </c>
      <c r="D25" s="8">
        <f>L25/O23*K25</f>
        <v>2.0761746572704602</v>
      </c>
      <c r="E25" s="20">
        <v>538.12199999999996</v>
      </c>
      <c r="F25" s="20">
        <v>5.3890000000000002</v>
      </c>
      <c r="G25" s="8">
        <f>E25+K25</f>
        <v>638.005</v>
      </c>
      <c r="H25" s="24">
        <f>1 - M25/L25</f>
        <v>0.51821739526135358</v>
      </c>
      <c r="I25" s="42"/>
      <c r="J25" s="34"/>
      <c r="K25" s="25">
        <v>99.882999999999996</v>
      </c>
      <c r="L25" s="20">
        <v>32963</v>
      </c>
      <c r="M25" s="25">
        <v>15881</v>
      </c>
      <c r="N25" s="42"/>
      <c r="O25" s="42"/>
    </row>
    <row r="27" spans="2:15" x14ac:dyDescent="0.3">
      <c r="B27" s="27">
        <v>5</v>
      </c>
      <c r="C27" s="17" t="s">
        <v>13</v>
      </c>
      <c r="D27" s="17" t="s">
        <v>14</v>
      </c>
      <c r="E27" s="17" t="s">
        <v>16</v>
      </c>
      <c r="F27" s="17" t="s">
        <v>15</v>
      </c>
      <c r="G27" s="17" t="s">
        <v>26</v>
      </c>
      <c r="H27" s="17" t="s">
        <v>24</v>
      </c>
      <c r="I27" s="17" t="s">
        <v>29</v>
      </c>
      <c r="J27" s="17" t="s">
        <v>19</v>
      </c>
      <c r="K27" s="18" t="s">
        <v>17</v>
      </c>
      <c r="L27" s="18" t="s">
        <v>27</v>
      </c>
      <c r="M27" s="18" t="s">
        <v>28</v>
      </c>
      <c r="N27" s="18" t="s">
        <v>30</v>
      </c>
      <c r="O27" s="18" t="s">
        <v>31</v>
      </c>
    </row>
    <row r="28" spans="2:15" x14ac:dyDescent="0.3">
      <c r="B28" s="17" t="s">
        <v>10</v>
      </c>
      <c r="C28" s="20">
        <v>0.44800000000000001</v>
      </c>
      <c r="D28" s="8">
        <f>C28*14</f>
        <v>6.2720000000000002</v>
      </c>
      <c r="E28" s="20">
        <v>0.09</v>
      </c>
      <c r="F28" s="20">
        <v>6.0000000000000001E-3</v>
      </c>
      <c r="G28" s="20">
        <v>99.965999999999994</v>
      </c>
      <c r="H28" s="29">
        <v>0</v>
      </c>
      <c r="I28" s="42">
        <v>606.04499999999996</v>
      </c>
      <c r="J28" s="34">
        <f>N28/I28</f>
        <v>0.29762476383766884</v>
      </c>
      <c r="K28" s="22">
        <f>G28-E28</f>
        <v>99.875999999999991</v>
      </c>
      <c r="L28" s="8">
        <f>L29+L30</f>
        <v>82991</v>
      </c>
      <c r="M28" s="21"/>
      <c r="N28" s="42">
        <v>180.374</v>
      </c>
      <c r="O28" s="42">
        <f>1594057.865</f>
        <v>1594057.865</v>
      </c>
    </row>
    <row r="29" spans="2:15" x14ac:dyDescent="0.3">
      <c r="B29" s="17" t="s">
        <v>11</v>
      </c>
      <c r="C29" s="20">
        <v>1</v>
      </c>
      <c r="D29" s="8">
        <f>L29/O28*K29</f>
        <v>4.2059946525216008</v>
      </c>
      <c r="E29" s="20">
        <v>275.95800000000003</v>
      </c>
      <c r="F29" s="20">
        <v>2.76</v>
      </c>
      <c r="G29" s="8">
        <f>E29+K29</f>
        <v>375.95500000000004</v>
      </c>
      <c r="H29" s="24">
        <f>1 - M29/L29</f>
        <v>0.76221512945949166</v>
      </c>
      <c r="I29" s="42"/>
      <c r="J29" s="34"/>
      <c r="K29" s="25">
        <v>99.997</v>
      </c>
      <c r="L29" s="20">
        <v>67048</v>
      </c>
      <c r="M29" s="25">
        <v>15943</v>
      </c>
      <c r="N29" s="42"/>
      <c r="O29" s="42"/>
    </row>
    <row r="30" spans="2:15" x14ac:dyDescent="0.3">
      <c r="B30" s="17" t="s">
        <v>12</v>
      </c>
      <c r="C30" s="20">
        <v>1</v>
      </c>
      <c r="D30" s="8">
        <f>L30/O28*K30</f>
        <v>1.0018121506523854</v>
      </c>
      <c r="E30" s="20">
        <v>537.08299999999997</v>
      </c>
      <c r="F30" s="20">
        <v>5.3630000000000004</v>
      </c>
      <c r="G30" s="8">
        <f>E30+K30</f>
        <v>637.24900000000002</v>
      </c>
      <c r="H30" s="24">
        <f>1 - M30/L30</f>
        <v>1.5680863074704066E-3</v>
      </c>
      <c r="I30" s="42"/>
      <c r="J30" s="34"/>
      <c r="K30" s="25">
        <v>100.166</v>
      </c>
      <c r="L30" s="20">
        <v>15943</v>
      </c>
      <c r="M30" s="25">
        <v>15918</v>
      </c>
      <c r="N30" s="42"/>
      <c r="O30" s="42"/>
    </row>
    <row r="32" spans="2:15" x14ac:dyDescent="0.3">
      <c r="B32" s="11" t="s">
        <v>22</v>
      </c>
      <c r="C32" s="13" t="s">
        <v>13</v>
      </c>
      <c r="D32" s="13" t="s">
        <v>14</v>
      </c>
      <c r="E32" s="13" t="s">
        <v>16</v>
      </c>
      <c r="F32" s="13" t="s">
        <v>15</v>
      </c>
      <c r="G32" s="13" t="s">
        <v>26</v>
      </c>
      <c r="H32" s="13" t="s">
        <v>24</v>
      </c>
      <c r="I32" s="13" t="s">
        <v>29</v>
      </c>
      <c r="J32" s="13" t="s">
        <v>19</v>
      </c>
    </row>
    <row r="33" spans="2:10" x14ac:dyDescent="0.3">
      <c r="B33" s="13" t="s">
        <v>10</v>
      </c>
      <c r="C33" s="12">
        <f>SQRT(_xlfn.VAR.S(C8,C13,C18,C23,C28))</f>
        <v>1.4832396974191339E-3</v>
      </c>
      <c r="D33" s="12">
        <f t="shared" ref="D33:H33" si="0">SQRT(_xlfn.VAR.S(D8,D13,D18,D23,D28))</f>
        <v>2.0765355763867874E-2</v>
      </c>
      <c r="E33" s="12">
        <f t="shared" si="0"/>
        <v>7.0851958335673409E-3</v>
      </c>
      <c r="F33" s="12">
        <f t="shared" si="0"/>
        <v>5.4772255750516611E-4</v>
      </c>
      <c r="G33" s="12">
        <f t="shared" si="0"/>
        <v>0.13702481527081165</v>
      </c>
      <c r="H33" s="12">
        <f t="shared" si="0"/>
        <v>0</v>
      </c>
      <c r="I33" s="38">
        <f>SQRT(_xlfn.VAR.S(I8,I13,I18,I23,I28))</f>
        <v>1.2758294556875265</v>
      </c>
      <c r="J33" s="38">
        <f t="shared" ref="J33" si="1">SQRT(_xlfn.VAR.S(J8,J13,J18,J23,J28))</f>
        <v>8.8630371883889809E-4</v>
      </c>
    </row>
    <row r="34" spans="2:10" x14ac:dyDescent="0.3">
      <c r="B34" s="13" t="s">
        <v>11</v>
      </c>
      <c r="C34" s="12">
        <f t="shared" ref="C34:H35" si="2">SQRT(_xlfn.VAR.S(C9,C14,C19,C24,C29))</f>
        <v>0</v>
      </c>
      <c r="D34" s="12">
        <f t="shared" si="2"/>
        <v>9.1186407379369588E-3</v>
      </c>
      <c r="E34" s="12">
        <f t="shared" si="2"/>
        <v>0.20618729349792919</v>
      </c>
      <c r="F34" s="12">
        <f t="shared" si="2"/>
        <v>2.0000000000000018E-3</v>
      </c>
      <c r="G34" s="12">
        <f>SQRT(_xlfn.VAR.S(G9,G14,G19,G24,G29))</f>
        <v>0.20613393704096192</v>
      </c>
      <c r="H34" s="12">
        <f t="shared" si="2"/>
        <v>5.0965563082056454E-4</v>
      </c>
      <c r="I34" s="39"/>
      <c r="J34" s="39"/>
    </row>
    <row r="35" spans="2:10" x14ac:dyDescent="0.3">
      <c r="B35" s="13" t="s">
        <v>12</v>
      </c>
      <c r="C35" s="12">
        <f t="shared" si="2"/>
        <v>0</v>
      </c>
      <c r="D35" s="12">
        <f t="shared" si="2"/>
        <v>0.48128848852103517</v>
      </c>
      <c r="E35" s="12">
        <f t="shared" si="2"/>
        <v>1.7352369578821016</v>
      </c>
      <c r="F35" s="12">
        <f t="shared" si="2"/>
        <v>1.4230249470757622E-2</v>
      </c>
      <c r="G35" s="12">
        <f t="shared" si="2"/>
        <v>1.832748564315348</v>
      </c>
      <c r="H35" s="12">
        <f t="shared" si="2"/>
        <v>0.23123936762689046</v>
      </c>
      <c r="I35" s="40"/>
      <c r="J35" s="40"/>
    </row>
    <row r="42" spans="2:10" x14ac:dyDescent="0.3">
      <c r="B42" s="11" t="s">
        <v>21</v>
      </c>
      <c r="C42" s="15" t="s">
        <v>13</v>
      </c>
      <c r="D42" s="15" t="s">
        <v>14</v>
      </c>
      <c r="E42" s="15" t="s">
        <v>16</v>
      </c>
      <c r="F42" s="15" t="s">
        <v>15</v>
      </c>
      <c r="G42" s="15" t="s">
        <v>26</v>
      </c>
      <c r="H42" s="15" t="s">
        <v>24</v>
      </c>
      <c r="I42" s="15" t="s">
        <v>29</v>
      </c>
      <c r="J42" s="15" t="s">
        <v>19</v>
      </c>
    </row>
    <row r="43" spans="2:10" x14ac:dyDescent="0.3">
      <c r="B43" s="15" t="s">
        <v>10</v>
      </c>
      <c r="C43" s="12">
        <f t="shared" ref="C43:J45" si="3">AVERAGE(C8,C13,C18,C23,C28)</f>
        <v>0.45019999999999999</v>
      </c>
      <c r="D43" s="12">
        <f t="shared" si="3"/>
        <v>6.3028000000000004</v>
      </c>
      <c r="E43" s="12">
        <f t="shared" si="3"/>
        <v>8.4200000000000011E-2</v>
      </c>
      <c r="F43" s="12">
        <f t="shared" si="3"/>
        <v>5.4000000000000003E-3</v>
      </c>
      <c r="G43" s="12">
        <f t="shared" si="3"/>
        <v>100.13340000000001</v>
      </c>
      <c r="H43" s="28">
        <f t="shared" si="3"/>
        <v>0</v>
      </c>
      <c r="I43" s="41">
        <f t="shared" si="3"/>
        <v>606.41239999999993</v>
      </c>
      <c r="J43" s="41">
        <f t="shared" si="3"/>
        <v>0.2977023648811542</v>
      </c>
    </row>
    <row r="44" spans="2:10" x14ac:dyDescent="0.3">
      <c r="B44" s="15" t="s">
        <v>11</v>
      </c>
      <c r="C44" s="12">
        <f t="shared" si="3"/>
        <v>1</v>
      </c>
      <c r="D44" s="12">
        <f t="shared" si="3"/>
        <v>4.2206706097510232</v>
      </c>
      <c r="E44" s="12">
        <f t="shared" si="3"/>
        <v>275.75480000000005</v>
      </c>
      <c r="F44" s="12">
        <f t="shared" si="3"/>
        <v>2.7579999999999996</v>
      </c>
      <c r="G44" s="12">
        <f t="shared" si="3"/>
        <v>375.7518</v>
      </c>
      <c r="H44" s="12">
        <f>AVERAGE(H9,H14,H19,H24,H29)</f>
        <v>0.76303337561283746</v>
      </c>
      <c r="I44" s="41"/>
      <c r="J44" s="41"/>
    </row>
    <row r="45" spans="2:10" x14ac:dyDescent="0.3">
      <c r="B45" s="15" t="s">
        <v>12</v>
      </c>
      <c r="C45" s="12">
        <f t="shared" si="3"/>
        <v>1</v>
      </c>
      <c r="D45" s="12">
        <f t="shared" si="3"/>
        <v>1.8626534251749458</v>
      </c>
      <c r="E45" s="12">
        <f t="shared" si="3"/>
        <v>537.09960000000001</v>
      </c>
      <c r="F45" s="12">
        <f t="shared" si="3"/>
        <v>5.3739999999999997</v>
      </c>
      <c r="G45" s="12">
        <f t="shared" si="3"/>
        <v>637.06540000000007</v>
      </c>
      <c r="H45" s="12">
        <f>AVERAGE(H10,H15,H20,H25,H30)</f>
        <v>0.41520913549159533</v>
      </c>
      <c r="I45" s="41"/>
      <c r="J45" s="41"/>
    </row>
    <row r="46" spans="2:10" x14ac:dyDescent="0.3">
      <c r="B46" s="11" t="s">
        <v>23</v>
      </c>
      <c r="C46" s="13" t="s">
        <v>13</v>
      </c>
      <c r="D46" s="13" t="s">
        <v>14</v>
      </c>
      <c r="E46" s="13" t="s">
        <v>16</v>
      </c>
      <c r="F46" s="13" t="s">
        <v>15</v>
      </c>
      <c r="G46" s="13" t="s">
        <v>26</v>
      </c>
      <c r="H46" s="13" t="s">
        <v>24</v>
      </c>
      <c r="I46" s="13" t="s">
        <v>29</v>
      </c>
      <c r="J46" s="13" t="s">
        <v>19</v>
      </c>
    </row>
    <row r="47" spans="2:10" x14ac:dyDescent="0.3">
      <c r="B47" s="13" t="s">
        <v>10</v>
      </c>
      <c r="C47" s="8">
        <f>_xlfn.CONFIDENCE.T(0.05,C33,COUNT(C8,C13,C18,C23,C28))</f>
        <v>1.8416853329919832E-3</v>
      </c>
      <c r="D47" s="8">
        <f>_xlfn.CONFIDENCE.T(0.05,D33,COUNT(D8,D13,D18,D23,D28))</f>
        <v>2.5783594661887763E-2</v>
      </c>
      <c r="E47" s="8">
        <f>_xlfn.CONFIDENCE.T(0.05,E33,COUNT(E8,E13,E18,E23,E28))</f>
        <v>8.7974325867638762E-3</v>
      </c>
      <c r="F47" s="8">
        <f>_xlfn.CONFIDENCE.T(0.05,F33,COUNT(F8,F13,F18,F23,F28))</f>
        <v>6.8008738065825558E-4</v>
      </c>
      <c r="G47" s="8">
        <f>_xlfn.CONFIDENCE.T(0.05,G33,COUNT(G8,G13,G18,G23,G28))</f>
        <v>0.17013877998228819</v>
      </c>
      <c r="H47" s="27">
        <v>0</v>
      </c>
      <c r="I47" s="35">
        <f>_xlfn.CONFIDENCE.T(0.05,I33,COUNT(I8,I13,I18,I23,I28))</f>
        <v>1.5841515029751063</v>
      </c>
      <c r="J47" s="35">
        <f>_xlfn.CONFIDENCE.T(0.05,J33,COUNT(J8,J13,J18,J23,J28))</f>
        <v>1.100491419156371E-3</v>
      </c>
    </row>
    <row r="48" spans="2:10" x14ac:dyDescent="0.3">
      <c r="B48" s="13" t="s">
        <v>11</v>
      </c>
      <c r="C48" s="27">
        <v>0</v>
      </c>
      <c r="D48" s="8">
        <f>_xlfn.CONFIDENCE.T(0.05,D34,COUNT(D9,D14,D19,D24,D29))</f>
        <v>1.1322287916850526E-2</v>
      </c>
      <c r="E48" s="8">
        <f>_xlfn.CONFIDENCE.T(0.05,E34,COUNT(E9,E14,E19,E24,E29))</f>
        <v>0.25601533922345171</v>
      </c>
      <c r="F48" s="8">
        <f>_xlfn.CONFIDENCE.T(0.05,F34,COUNT(F9,F14,F19,F24,F29))</f>
        <v>2.4833279964075303E-3</v>
      </c>
      <c r="G48" s="8">
        <f>_xlfn.CONFIDENCE.T(0.05,G34,COUNT(G9,G14,G19,G24,G29))</f>
        <v>0.25594908843176378</v>
      </c>
      <c r="H48" s="8">
        <f>_xlfn.CONFIDENCE.T(0.05,H34,COUNT(H9,H14,H19,H24,H29))</f>
        <v>6.3282104827172374E-4</v>
      </c>
      <c r="I48" s="36"/>
      <c r="J48" s="36"/>
    </row>
    <row r="49" spans="2:10" x14ac:dyDescent="0.3">
      <c r="B49" s="13" t="s">
        <v>12</v>
      </c>
      <c r="C49" s="27">
        <v>0</v>
      </c>
      <c r="D49" s="8">
        <f>_xlfn.CONFIDENCE.T(0.05,D35,COUNT(D10,D15,D20,D25,D30))</f>
        <v>0.597598588946475</v>
      </c>
      <c r="E49" s="8">
        <f>_xlfn.CONFIDENCE.T(0.05,E35,COUNT(E10,E15,E20,E25,E30))</f>
        <v>2.1545812589548268</v>
      </c>
      <c r="F49" s="8">
        <f>_xlfn.CONFIDENCE.T(0.05,F35,COUNT(F10,F15,F20,F25,F30))</f>
        <v>1.7669188453297908E-2</v>
      </c>
      <c r="G49" s="8">
        <f>_xlfn.CONFIDENCE.T(0.05,G35,COUNT(G10,G15,G20,G25,G30))</f>
        <v>2.2756579100700036</v>
      </c>
      <c r="H49" s="8">
        <f>_xlfn.CONFIDENCE.T(0.05,H35,COUNT(H10,H15,H20,H25,H30))</f>
        <v>0.28712159774971485</v>
      </c>
      <c r="I49" s="37"/>
      <c r="J49" s="37"/>
    </row>
  </sheetData>
  <mergeCells count="30">
    <mergeCell ref="I3:I5"/>
    <mergeCell ref="J3:J5"/>
    <mergeCell ref="N3:N5"/>
    <mergeCell ref="O3:O5"/>
    <mergeCell ref="I8:I10"/>
    <mergeCell ref="J8:J10"/>
    <mergeCell ref="N8:N10"/>
    <mergeCell ref="O8:O10"/>
    <mergeCell ref="I13:I15"/>
    <mergeCell ref="J13:J15"/>
    <mergeCell ref="N13:N15"/>
    <mergeCell ref="O13:O15"/>
    <mergeCell ref="I18:I20"/>
    <mergeCell ref="J18:J20"/>
    <mergeCell ref="N18:N20"/>
    <mergeCell ref="O18:O20"/>
    <mergeCell ref="I23:I25"/>
    <mergeCell ref="J23:J25"/>
    <mergeCell ref="N23:N25"/>
    <mergeCell ref="O23:O25"/>
    <mergeCell ref="I28:I30"/>
    <mergeCell ref="J28:J30"/>
    <mergeCell ref="N28:N30"/>
    <mergeCell ref="O28:O30"/>
    <mergeCell ref="I33:I35"/>
    <mergeCell ref="J33:J35"/>
    <mergeCell ref="I47:I49"/>
    <mergeCell ref="J47:J49"/>
    <mergeCell ref="I43:I45"/>
    <mergeCell ref="J43:J4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A708A-29B7-4046-9B1E-E10218AEC6C1}">
  <sheetPr>
    <tabColor rgb="FF7030A0"/>
  </sheetPr>
  <dimension ref="B2:O49"/>
  <sheetViews>
    <sheetView tabSelected="1" topLeftCell="A28" workbookViewId="0">
      <selection activeCell="A38" sqref="A38"/>
    </sheetView>
  </sheetViews>
  <sheetFormatPr defaultRowHeight="15.05" x14ac:dyDescent="0.3"/>
  <cols>
    <col min="3" max="3" width="11.44140625" bestFit="1" customWidth="1"/>
    <col min="5" max="6" width="11.44140625" bestFit="1" customWidth="1"/>
    <col min="7" max="7" width="13.33203125" bestFit="1" customWidth="1"/>
    <col min="8" max="8" width="8.77734375" bestFit="1" customWidth="1"/>
    <col min="9" max="9" width="13.5546875" bestFit="1" customWidth="1"/>
    <col min="11" max="11" width="13.33203125" bestFit="1" customWidth="1"/>
    <col min="12" max="12" width="10.44140625" bestFit="1" customWidth="1"/>
    <col min="13" max="13" width="9.44140625" bestFit="1" customWidth="1"/>
    <col min="14" max="14" width="11.44140625" bestFit="1" customWidth="1"/>
    <col min="15" max="15" width="12.44140625" bestFit="1" customWidth="1"/>
  </cols>
  <sheetData>
    <row r="2" spans="2:15" x14ac:dyDescent="0.3">
      <c r="B2" s="27"/>
      <c r="C2" s="17" t="s">
        <v>13</v>
      </c>
      <c r="D2" s="17" t="s">
        <v>14</v>
      </c>
      <c r="E2" s="17" t="s">
        <v>16</v>
      </c>
      <c r="F2" s="17" t="s">
        <v>15</v>
      </c>
      <c r="G2" s="17" t="s">
        <v>26</v>
      </c>
      <c r="H2" s="17" t="s">
        <v>24</v>
      </c>
      <c r="I2" s="17" t="s">
        <v>29</v>
      </c>
      <c r="J2" s="17" t="s">
        <v>19</v>
      </c>
      <c r="K2" s="18" t="s">
        <v>17</v>
      </c>
      <c r="L2" s="18" t="s">
        <v>27</v>
      </c>
      <c r="M2" s="18" t="s">
        <v>28</v>
      </c>
      <c r="N2" s="18" t="s">
        <v>30</v>
      </c>
      <c r="O2" s="18" t="s">
        <v>31</v>
      </c>
    </row>
    <row r="3" spans="2:15" x14ac:dyDescent="0.3">
      <c r="B3" s="17" t="s">
        <v>10</v>
      </c>
      <c r="C3" s="20"/>
      <c r="D3" s="31">
        <f>C3*1</f>
        <v>0</v>
      </c>
      <c r="E3" s="20"/>
      <c r="F3" s="20"/>
      <c r="G3" s="20"/>
      <c r="H3" s="29">
        <v>0</v>
      </c>
      <c r="I3" s="42"/>
      <c r="J3" s="34" t="e">
        <f>N3/I3</f>
        <v>#DIV/0!</v>
      </c>
      <c r="K3" s="30">
        <f>G3-E3</f>
        <v>0</v>
      </c>
      <c r="L3" s="8">
        <f>L4+L5</f>
        <v>0</v>
      </c>
      <c r="M3" s="21"/>
      <c r="N3" s="42"/>
      <c r="O3" s="42"/>
    </row>
    <row r="4" spans="2:15" x14ac:dyDescent="0.3">
      <c r="B4" s="17" t="s">
        <v>11</v>
      </c>
      <c r="C4" s="20"/>
      <c r="D4" s="8" t="e">
        <f>L4/O3*K4</f>
        <v>#DIV/0!</v>
      </c>
      <c r="E4" s="20"/>
      <c r="F4" s="20"/>
      <c r="G4" s="8">
        <f>E4+K4</f>
        <v>0</v>
      </c>
      <c r="H4" s="24" t="e">
        <f>1 - M4/L4</f>
        <v>#DIV/0!</v>
      </c>
      <c r="I4" s="42"/>
      <c r="J4" s="34"/>
      <c r="K4" s="25"/>
      <c r="L4" s="20"/>
      <c r="M4" s="25"/>
      <c r="N4" s="42"/>
      <c r="O4" s="42"/>
    </row>
    <row r="5" spans="2:15" x14ac:dyDescent="0.3">
      <c r="B5" s="17" t="s">
        <v>12</v>
      </c>
      <c r="C5" s="20"/>
      <c r="D5" s="8" t="e">
        <f>L5/O3*K5</f>
        <v>#DIV/0!</v>
      </c>
      <c r="E5" s="20"/>
      <c r="F5" s="20"/>
      <c r="G5" s="8">
        <f>E5+K5</f>
        <v>0</v>
      </c>
      <c r="H5" s="24" t="e">
        <f>1 - M5/L5</f>
        <v>#DIV/0!</v>
      </c>
      <c r="I5" s="42"/>
      <c r="J5" s="34"/>
      <c r="K5" s="25"/>
      <c r="L5" s="20"/>
      <c r="M5" s="25"/>
      <c r="N5" s="42"/>
      <c r="O5" s="42"/>
    </row>
    <row r="7" spans="2:15" x14ac:dyDescent="0.3">
      <c r="B7" s="27">
        <v>1</v>
      </c>
      <c r="C7" s="17" t="s">
        <v>13</v>
      </c>
      <c r="D7" s="17" t="s">
        <v>14</v>
      </c>
      <c r="E7" s="17" t="s">
        <v>16</v>
      </c>
      <c r="F7" s="17" t="s">
        <v>15</v>
      </c>
      <c r="G7" s="17" t="s">
        <v>26</v>
      </c>
      <c r="H7" s="17" t="s">
        <v>24</v>
      </c>
      <c r="I7" s="17" t="s">
        <v>29</v>
      </c>
      <c r="J7" s="17" t="s">
        <v>19</v>
      </c>
      <c r="K7" s="18" t="s">
        <v>17</v>
      </c>
      <c r="L7" s="18" t="s">
        <v>27</v>
      </c>
      <c r="M7" s="18" t="s">
        <v>28</v>
      </c>
      <c r="N7" s="18" t="s">
        <v>30</v>
      </c>
      <c r="O7" s="18" t="s">
        <v>31</v>
      </c>
    </row>
    <row r="8" spans="2:15" x14ac:dyDescent="0.3">
      <c r="B8" s="17" t="s">
        <v>10</v>
      </c>
      <c r="C8" s="20">
        <v>1</v>
      </c>
      <c r="D8" s="31">
        <f>C8*1</f>
        <v>1</v>
      </c>
      <c r="E8" s="20">
        <f>4175102.112</f>
        <v>4175102.1120000002</v>
      </c>
      <c r="F8" s="20">
        <v>262910.13</v>
      </c>
      <c r="G8" s="20">
        <f>4175117.992</f>
        <v>4175117.9920000001</v>
      </c>
      <c r="H8" s="29">
        <v>0</v>
      </c>
      <c r="I8" s="42">
        <f>4159736.547</f>
        <v>4159736.5469999998</v>
      </c>
      <c r="J8" s="34">
        <f>N8/I8</f>
        <v>0.58001362892562058</v>
      </c>
      <c r="K8" s="30">
        <f>G8-E8</f>
        <v>15.879999999888241</v>
      </c>
      <c r="L8" s="8">
        <f>L9+L10</f>
        <v>100001</v>
      </c>
      <c r="M8" s="21"/>
      <c r="N8" s="42">
        <f>2412703.89</f>
        <v>2412703.89</v>
      </c>
      <c r="O8" s="42">
        <f>9954797.229</f>
        <v>9954797.2290000003</v>
      </c>
    </row>
    <row r="9" spans="2:15" x14ac:dyDescent="0.3">
      <c r="B9" s="17" t="s">
        <v>11</v>
      </c>
      <c r="C9" s="20">
        <v>0.65400000000000003</v>
      </c>
      <c r="D9" s="8">
        <f>L9/O8*K9</f>
        <v>0.67377222234729262</v>
      </c>
      <c r="E9" s="20">
        <v>73.503</v>
      </c>
      <c r="F9" s="20">
        <v>0.48099999999999998</v>
      </c>
      <c r="G9" s="8">
        <f>E9+K9</f>
        <v>173.501</v>
      </c>
      <c r="H9" s="24">
        <f>1 - M9/L9</f>
        <v>2.8759280794346531E-2</v>
      </c>
      <c r="I9" s="42"/>
      <c r="J9" s="34"/>
      <c r="K9" s="25">
        <v>99.998000000000005</v>
      </c>
      <c r="L9" s="20">
        <v>67074</v>
      </c>
      <c r="M9" s="25">
        <v>65145</v>
      </c>
      <c r="N9" s="42"/>
      <c r="O9" s="42"/>
    </row>
    <row r="10" spans="2:15" x14ac:dyDescent="0.3">
      <c r="B10" s="17" t="s">
        <v>12</v>
      </c>
      <c r="C10" s="20">
        <v>0.33100000000000002</v>
      </c>
      <c r="D10" s="8">
        <f>L10/O8*K10</f>
        <v>0.33089084089067783</v>
      </c>
      <c r="E10" s="20">
        <v>27.390999999999998</v>
      </c>
      <c r="F10" s="20">
        <v>9.0999999999999998E-2</v>
      </c>
      <c r="G10" s="8">
        <f>E10+K10</f>
        <v>127.429</v>
      </c>
      <c r="H10" s="24">
        <f>1 - M10/L10</f>
        <v>0</v>
      </c>
      <c r="I10" s="42"/>
      <c r="J10" s="34"/>
      <c r="K10" s="25">
        <v>100.038</v>
      </c>
      <c r="L10" s="20">
        <v>32927</v>
      </c>
      <c r="M10" s="25">
        <v>32927</v>
      </c>
      <c r="N10" s="42"/>
      <c r="O10" s="42"/>
    </row>
    <row r="12" spans="2:15" x14ac:dyDescent="0.3">
      <c r="B12" s="27">
        <v>2</v>
      </c>
      <c r="C12" s="17" t="s">
        <v>13</v>
      </c>
      <c r="D12" s="17" t="s">
        <v>14</v>
      </c>
      <c r="E12" s="17" t="s">
        <v>16</v>
      </c>
      <c r="F12" s="17" t="s">
        <v>15</v>
      </c>
      <c r="G12" s="17" t="s">
        <v>26</v>
      </c>
      <c r="H12" s="17" t="s">
        <v>24</v>
      </c>
      <c r="I12" s="17" t="s">
        <v>29</v>
      </c>
      <c r="J12" s="17" t="s">
        <v>19</v>
      </c>
      <c r="K12" s="18" t="s">
        <v>17</v>
      </c>
      <c r="L12" s="18" t="s">
        <v>27</v>
      </c>
      <c r="M12" s="18" t="s">
        <v>28</v>
      </c>
      <c r="N12" s="18" t="s">
        <v>30</v>
      </c>
      <c r="O12" s="18" t="s">
        <v>31</v>
      </c>
    </row>
    <row r="13" spans="2:15" x14ac:dyDescent="0.3">
      <c r="B13" s="17" t="s">
        <v>10</v>
      </c>
      <c r="C13" s="20">
        <v>1</v>
      </c>
      <c r="D13" s="31">
        <f>C13*1</f>
        <v>1</v>
      </c>
      <c r="E13" s="20">
        <f>4212641.199</f>
        <v>4212641.199</v>
      </c>
      <c r="F13" s="20">
        <v>265291.19099999999</v>
      </c>
      <c r="G13" s="20">
        <f>4212657.078</f>
        <v>4212657.0779999997</v>
      </c>
      <c r="H13" s="29">
        <v>0</v>
      </c>
      <c r="I13" s="42">
        <f>4213218.172</f>
        <v>4213218.1720000003</v>
      </c>
      <c r="J13" s="34">
        <f>N13/I13</f>
        <v>0.57750714742716147</v>
      </c>
      <c r="K13" s="30">
        <f>G13-E13</f>
        <v>15.878999999724329</v>
      </c>
      <c r="L13" s="8">
        <f>L14+L15</f>
        <v>100005</v>
      </c>
      <c r="M13" s="21"/>
      <c r="N13" s="42">
        <f>2433163.608</f>
        <v>2433163.608</v>
      </c>
      <c r="O13" s="42">
        <f>10018193.483</f>
        <v>10018193.482999999</v>
      </c>
    </row>
    <row r="14" spans="2:15" x14ac:dyDescent="0.3">
      <c r="B14" s="17" t="s">
        <v>11</v>
      </c>
      <c r="C14" s="20">
        <v>0.65100000000000002</v>
      </c>
      <c r="D14" s="8">
        <f>L14/O13*K14</f>
        <v>0.66925239678962989</v>
      </c>
      <c r="E14" s="20">
        <v>72.287999999999997</v>
      </c>
      <c r="F14" s="20">
        <v>0.47</v>
      </c>
      <c r="G14" s="8">
        <f>E14+K14</f>
        <v>172.28800000000001</v>
      </c>
      <c r="H14" s="24">
        <f>1 - M14/L14</f>
        <v>2.7786478142198701E-2</v>
      </c>
      <c r="I14" s="42"/>
      <c r="J14" s="34"/>
      <c r="K14" s="25">
        <v>100</v>
      </c>
      <c r="L14" s="20">
        <v>67047</v>
      </c>
      <c r="M14" s="25">
        <v>65184</v>
      </c>
      <c r="N14" s="42"/>
      <c r="O14" s="42"/>
    </row>
    <row r="15" spans="2:15" x14ac:dyDescent="0.3">
      <c r="B15" s="17" t="s">
        <v>12</v>
      </c>
      <c r="C15" s="20">
        <v>0.32900000000000001</v>
      </c>
      <c r="D15" s="8">
        <f>L15/O13*K15</f>
        <v>0.32919859589419753</v>
      </c>
      <c r="E15" s="20">
        <v>27.21</v>
      </c>
      <c r="F15" s="20">
        <v>0.09</v>
      </c>
      <c r="G15" s="8">
        <f>E15+K15</f>
        <v>127.27600000000001</v>
      </c>
      <c r="H15" s="24">
        <f>1 - M15/L15</f>
        <v>0</v>
      </c>
      <c r="I15" s="42"/>
      <c r="J15" s="34"/>
      <c r="K15" s="25">
        <v>100.066</v>
      </c>
      <c r="L15" s="20">
        <v>32958</v>
      </c>
      <c r="M15" s="25">
        <v>32958</v>
      </c>
      <c r="N15" s="42"/>
      <c r="O15" s="42"/>
    </row>
    <row r="17" spans="2:15" x14ac:dyDescent="0.3">
      <c r="B17" s="27">
        <v>3</v>
      </c>
      <c r="C17" s="17" t="s">
        <v>13</v>
      </c>
      <c r="D17" s="17" t="s">
        <v>14</v>
      </c>
      <c r="E17" s="17" t="s">
        <v>16</v>
      </c>
      <c r="F17" s="17" t="s">
        <v>15</v>
      </c>
      <c r="G17" s="17" t="s">
        <v>26</v>
      </c>
      <c r="H17" s="17" t="s">
        <v>24</v>
      </c>
      <c r="I17" s="17" t="s">
        <v>29</v>
      </c>
      <c r="J17" s="17" t="s">
        <v>19</v>
      </c>
      <c r="K17" s="18" t="s">
        <v>17</v>
      </c>
      <c r="L17" s="18" t="s">
        <v>27</v>
      </c>
      <c r="M17" s="18" t="s">
        <v>28</v>
      </c>
      <c r="N17" s="18" t="s">
        <v>30</v>
      </c>
      <c r="O17" s="18" t="s">
        <v>31</v>
      </c>
    </row>
    <row r="18" spans="2:15" x14ac:dyDescent="0.3">
      <c r="B18" s="17" t="s">
        <v>10</v>
      </c>
      <c r="C18" s="20">
        <v>1</v>
      </c>
      <c r="D18" s="31">
        <f>C18*1</f>
        <v>1</v>
      </c>
      <c r="E18" s="20">
        <f>4220146.708</f>
        <v>4220146.7079999996</v>
      </c>
      <c r="F18" s="20">
        <f>266208.725</f>
        <v>266208.72499999998</v>
      </c>
      <c r="G18" s="20">
        <f>4220162.561</f>
        <v>4220162.5609999998</v>
      </c>
      <c r="H18" s="29">
        <v>0</v>
      </c>
      <c r="I18" s="42">
        <f>4212071.231</f>
        <v>4212071.2309999997</v>
      </c>
      <c r="J18" s="34">
        <f>N18/I18</f>
        <v>0.57882180388036275</v>
      </c>
      <c r="K18" s="30">
        <f>G18-E18</f>
        <v>15.853000000119209</v>
      </c>
      <c r="L18" s="8">
        <f>L19+L20</f>
        <v>100002</v>
      </c>
      <c r="M18" s="21"/>
      <c r="N18" s="42">
        <f>2438038.668</f>
        <v>2438038.6680000001</v>
      </c>
      <c r="O18" s="42">
        <f>10035598.472</f>
        <v>10035598.471999999</v>
      </c>
    </row>
    <row r="19" spans="2:15" x14ac:dyDescent="0.3">
      <c r="B19" s="17" t="s">
        <v>11</v>
      </c>
      <c r="C19" s="20">
        <v>0.64900000000000002</v>
      </c>
      <c r="D19" s="8">
        <f>L19/O18*K19</f>
        <v>0.66806508587463143</v>
      </c>
      <c r="E19" s="20">
        <v>72.56</v>
      </c>
      <c r="F19" s="20">
        <v>0.47099999999999997</v>
      </c>
      <c r="G19" s="8">
        <f>E19+K19</f>
        <v>172.559</v>
      </c>
      <c r="H19" s="24">
        <f>1 - M19/L19</f>
        <v>2.8920874039824018E-2</v>
      </c>
      <c r="I19" s="42"/>
      <c r="J19" s="34"/>
      <c r="K19" s="25">
        <v>99.998999999999995</v>
      </c>
      <c r="L19" s="20">
        <f>67045</f>
        <v>67045</v>
      </c>
      <c r="M19" s="25">
        <v>65106</v>
      </c>
      <c r="N19" s="42"/>
      <c r="O19" s="42"/>
    </row>
    <row r="20" spans="2:15" x14ac:dyDescent="0.3">
      <c r="B20" s="17" t="s">
        <v>12</v>
      </c>
      <c r="C20" s="20">
        <v>0.32800000000000001</v>
      </c>
      <c r="D20" s="8">
        <f>L20/O18*K20</f>
        <v>0.3283122745686512</v>
      </c>
      <c r="E20" s="20">
        <v>26.678999999999998</v>
      </c>
      <c r="F20" s="20">
        <v>8.7999999999999995E-2</v>
      </c>
      <c r="G20" s="8">
        <f>E20+K20</f>
        <v>126.652</v>
      </c>
      <c r="H20" s="24">
        <f>1 - M20/L20</f>
        <v>0</v>
      </c>
      <c r="I20" s="42"/>
      <c r="J20" s="34"/>
      <c r="K20" s="25">
        <v>99.972999999999999</v>
      </c>
      <c r="L20" s="20">
        <v>32957</v>
      </c>
      <c r="M20" s="25">
        <v>32957</v>
      </c>
      <c r="N20" s="42"/>
      <c r="O20" s="42"/>
    </row>
    <row r="22" spans="2:15" x14ac:dyDescent="0.3">
      <c r="B22" s="27">
        <v>4</v>
      </c>
      <c r="C22" s="17" t="s">
        <v>13</v>
      </c>
      <c r="D22" s="17" t="s">
        <v>14</v>
      </c>
      <c r="E22" s="17" t="s">
        <v>16</v>
      </c>
      <c r="F22" s="17" t="s">
        <v>15</v>
      </c>
      <c r="G22" s="17" t="s">
        <v>26</v>
      </c>
      <c r="H22" s="17" t="s">
        <v>24</v>
      </c>
      <c r="I22" s="17" t="s">
        <v>29</v>
      </c>
      <c r="J22" s="17" t="s">
        <v>19</v>
      </c>
      <c r="K22" s="18" t="s">
        <v>17</v>
      </c>
      <c r="L22" s="18" t="s">
        <v>27</v>
      </c>
      <c r="M22" s="18" t="s">
        <v>28</v>
      </c>
      <c r="N22" s="18" t="s">
        <v>30</v>
      </c>
      <c r="O22" s="18" t="s">
        <v>31</v>
      </c>
    </row>
    <row r="23" spans="2:15" x14ac:dyDescent="0.3">
      <c r="B23" s="17" t="s">
        <v>10</v>
      </c>
      <c r="C23" s="20">
        <v>1</v>
      </c>
      <c r="D23" s="31">
        <f>C23*1</f>
        <v>1</v>
      </c>
      <c r="E23" s="20">
        <f>4190791.973</f>
        <v>4190791.9730000002</v>
      </c>
      <c r="F23" s="20">
        <f>4190791.973</f>
        <v>4190791.9730000002</v>
      </c>
      <c r="G23" s="20">
        <f>4190807.874</f>
        <v>4190807.8739999998</v>
      </c>
      <c r="H23" s="29">
        <v>0</v>
      </c>
      <c r="I23" s="42">
        <f>4181322.291</f>
        <v>4181322.2910000002</v>
      </c>
      <c r="J23" s="34">
        <f>N23/I23</f>
        <v>0.57889775997657</v>
      </c>
      <c r="K23" s="30">
        <f>G23-E23</f>
        <v>15.900999999605119</v>
      </c>
      <c r="L23" s="8">
        <f>L24+L25</f>
        <v>100001</v>
      </c>
      <c r="M23" s="21"/>
      <c r="N23" s="42">
        <f>2420558.108</f>
        <v>2420558.108</v>
      </c>
      <c r="O23" s="42">
        <f>9977542.662</f>
        <v>9977542.6620000005</v>
      </c>
    </row>
    <row r="24" spans="2:15" x14ac:dyDescent="0.3">
      <c r="B24" s="17" t="s">
        <v>11</v>
      </c>
      <c r="C24" s="20">
        <v>0.65300000000000002</v>
      </c>
      <c r="D24" s="8">
        <f>L24/O23*K24</f>
        <v>0.67194901862299838</v>
      </c>
      <c r="E24" s="20">
        <v>71.98</v>
      </c>
      <c r="F24" s="20">
        <v>0.47</v>
      </c>
      <c r="G24" s="8">
        <f>E24+K24</f>
        <v>171.98000000000002</v>
      </c>
      <c r="H24" s="24">
        <f>1 - M24/L24</f>
        <v>2.8801980788735748E-2</v>
      </c>
      <c r="I24" s="42"/>
      <c r="J24" s="34"/>
      <c r="K24" s="25">
        <v>100</v>
      </c>
      <c r="L24" s="20">
        <f>67044</f>
        <v>67044</v>
      </c>
      <c r="M24" s="25">
        <v>65113</v>
      </c>
      <c r="N24" s="42"/>
      <c r="O24" s="42"/>
    </row>
    <row r="25" spans="2:15" x14ac:dyDescent="0.3">
      <c r="B25" s="17" t="s">
        <v>12</v>
      </c>
      <c r="C25" s="20">
        <v>0.33</v>
      </c>
      <c r="D25" s="8">
        <f>L25/O23*K25</f>
        <v>0.3299517525029651</v>
      </c>
      <c r="E25" s="20">
        <v>26.724</v>
      </c>
      <c r="F25" s="20">
        <v>8.7999999999999995E-2</v>
      </c>
      <c r="G25" s="8">
        <f>E25+K25</f>
        <v>126.61500000000001</v>
      </c>
      <c r="H25" s="24">
        <f>1 - M25/L25</f>
        <v>0</v>
      </c>
      <c r="I25" s="42"/>
      <c r="J25" s="34"/>
      <c r="K25" s="25">
        <v>99.891000000000005</v>
      </c>
      <c r="L25" s="20">
        <v>32957</v>
      </c>
      <c r="M25" s="25">
        <v>32957</v>
      </c>
      <c r="N25" s="42"/>
      <c r="O25" s="42"/>
    </row>
    <row r="27" spans="2:15" x14ac:dyDescent="0.3">
      <c r="B27" s="27">
        <v>5</v>
      </c>
      <c r="C27" s="17" t="s">
        <v>13</v>
      </c>
      <c r="D27" s="17" t="s">
        <v>14</v>
      </c>
      <c r="E27" s="17" t="s">
        <v>16</v>
      </c>
      <c r="F27" s="17" t="s">
        <v>15</v>
      </c>
      <c r="G27" s="17" t="s">
        <v>26</v>
      </c>
      <c r="H27" s="17" t="s">
        <v>24</v>
      </c>
      <c r="I27" s="17" t="s">
        <v>29</v>
      </c>
      <c r="J27" s="17" t="s">
        <v>19</v>
      </c>
      <c r="K27" s="18" t="s">
        <v>17</v>
      </c>
      <c r="L27" s="18" t="s">
        <v>27</v>
      </c>
      <c r="M27" s="18" t="s">
        <v>28</v>
      </c>
      <c r="N27" s="18" t="s">
        <v>30</v>
      </c>
      <c r="O27" s="18" t="s">
        <v>31</v>
      </c>
    </row>
    <row r="28" spans="2:15" x14ac:dyDescent="0.3">
      <c r="B28" s="17" t="s">
        <v>10</v>
      </c>
      <c r="C28" s="20">
        <v>1</v>
      </c>
      <c r="D28" s="31">
        <f>C28*1</f>
        <v>1</v>
      </c>
      <c r="E28" s="20">
        <f>4221464.161</f>
        <v>4221464.1610000003</v>
      </c>
      <c r="F28" s="20">
        <f>265823.021</f>
        <v>265823.02100000001</v>
      </c>
      <c r="G28" s="20">
        <f>4221480.042</f>
        <v>4221480.0420000004</v>
      </c>
      <c r="H28" s="29">
        <v>0</v>
      </c>
      <c r="I28" s="42">
        <f>4225627.409</f>
        <v>4225627.409</v>
      </c>
      <c r="J28" s="34">
        <f>N28/I28</f>
        <v>0.5753737607867736</v>
      </c>
      <c r="K28" s="30">
        <f>G28-E28</f>
        <v>15.881000000052154</v>
      </c>
      <c r="L28" s="8">
        <f>L29+L30</f>
        <v>100002</v>
      </c>
      <c r="M28" s="21"/>
      <c r="N28" s="42">
        <f>2431315.134</f>
        <v>2431315.1340000001</v>
      </c>
      <c r="O28" s="42">
        <f>10023203.405</f>
        <v>10023203.404999999</v>
      </c>
    </row>
    <row r="29" spans="2:15" x14ac:dyDescent="0.3">
      <c r="B29" s="17" t="s">
        <v>11</v>
      </c>
      <c r="C29" s="20">
        <v>0.64900000000000002</v>
      </c>
      <c r="D29" s="8">
        <f>L29/O28*K29</f>
        <v>0.6688845510862903</v>
      </c>
      <c r="E29" s="20">
        <v>72.768000000000001</v>
      </c>
      <c r="F29" s="20">
        <v>0.47199999999999998</v>
      </c>
      <c r="G29" s="8">
        <f>E29+K29</f>
        <v>172.76600000000002</v>
      </c>
      <c r="H29" s="24">
        <f>1 - M29/L29</f>
        <v>2.941308076664928E-2</v>
      </c>
      <c r="I29" s="42"/>
      <c r="J29" s="34"/>
      <c r="K29" s="25">
        <v>99.998000000000005</v>
      </c>
      <c r="L29" s="20">
        <f>67045</f>
        <v>67045</v>
      </c>
      <c r="M29" s="25">
        <v>65073</v>
      </c>
      <c r="N29" s="42"/>
      <c r="O29" s="42"/>
    </row>
    <row r="30" spans="2:15" x14ac:dyDescent="0.3">
      <c r="B30" s="17" t="s">
        <v>12</v>
      </c>
      <c r="C30" s="20">
        <v>0.32900000000000001</v>
      </c>
      <c r="D30" s="8">
        <f>L30/O28*K30</f>
        <v>0.32937917994890781</v>
      </c>
      <c r="E30" s="20">
        <v>26.475999999999999</v>
      </c>
      <c r="F30" s="20">
        <v>8.6999999999999994E-2</v>
      </c>
      <c r="G30" s="8">
        <f>E30+K30</f>
        <v>126.65</v>
      </c>
      <c r="H30" s="24">
        <f>1 - M30/L30</f>
        <v>0</v>
      </c>
      <c r="I30" s="42"/>
      <c r="J30" s="34"/>
      <c r="K30" s="25">
        <v>100.17400000000001</v>
      </c>
      <c r="L30" s="20">
        <v>32957</v>
      </c>
      <c r="M30" s="25">
        <v>32957</v>
      </c>
      <c r="N30" s="42"/>
      <c r="O30" s="42"/>
    </row>
    <row r="32" spans="2:15" x14ac:dyDescent="0.3">
      <c r="B32" s="11" t="s">
        <v>22</v>
      </c>
      <c r="C32" s="13" t="s">
        <v>13</v>
      </c>
      <c r="D32" s="13" t="s">
        <v>14</v>
      </c>
      <c r="E32" s="13" t="s">
        <v>16</v>
      </c>
      <c r="F32" s="13" t="s">
        <v>15</v>
      </c>
      <c r="G32" s="13" t="s">
        <v>26</v>
      </c>
      <c r="H32" s="13" t="s">
        <v>24</v>
      </c>
      <c r="I32" s="13" t="s">
        <v>29</v>
      </c>
      <c r="J32" s="13" t="s">
        <v>19</v>
      </c>
    </row>
    <row r="33" spans="2:10" x14ac:dyDescent="0.3">
      <c r="B33" s="13" t="s">
        <v>10</v>
      </c>
      <c r="C33" s="12">
        <f>SQRT(_xlfn.VAR.S(C8,C13,C18,C23,C28))</f>
        <v>0</v>
      </c>
      <c r="D33" s="12">
        <f t="shared" ref="D33:H33" si="0">SQRT(_xlfn.VAR.S(D8,D13,D18,D23,D28))</f>
        <v>0</v>
      </c>
      <c r="E33" s="12">
        <f t="shared" si="0"/>
        <v>20309.597822102234</v>
      </c>
      <c r="F33" s="12">
        <f t="shared" si="0"/>
        <v>1755641.9540340751</v>
      </c>
      <c r="G33" s="12">
        <f t="shared" si="0"/>
        <v>20309.589152175547</v>
      </c>
      <c r="H33" s="12">
        <f t="shared" si="0"/>
        <v>0</v>
      </c>
      <c r="I33" s="38">
        <f>SQRT(_xlfn.VAR.S(I8,I13,I18,I23,I28))</f>
        <v>27084.696801504091</v>
      </c>
      <c r="J33" s="38">
        <f t="shared" ref="J33" si="1">SQRT(_xlfn.VAR.S(J8,J13,J18,J23,J28))</f>
        <v>1.7748695797346705E-3</v>
      </c>
    </row>
    <row r="34" spans="2:10" x14ac:dyDescent="0.3">
      <c r="B34" s="13" t="s">
        <v>11</v>
      </c>
      <c r="C34" s="12">
        <f t="shared" ref="C34:H35" si="2">SQRT(_xlfn.VAR.S(C9,C14,C19,C24,C29))</f>
        <v>2.2803508501982781E-3</v>
      </c>
      <c r="D34" s="12">
        <f t="shared" si="2"/>
        <v>2.3893287452569473E-3</v>
      </c>
      <c r="E34" s="12">
        <f t="shared" si="2"/>
        <v>0.57554687037633978</v>
      </c>
      <c r="F34" s="12">
        <f t="shared" si="2"/>
        <v>4.6583258795408504E-3</v>
      </c>
      <c r="G34" s="12">
        <f>SQRT(_xlfn.VAR.S(G9,G14,G19,G24,G29))</f>
        <v>0.57467703973622963</v>
      </c>
      <c r="H34" s="12">
        <f t="shared" si="2"/>
        <v>5.9141851069899819E-4</v>
      </c>
      <c r="I34" s="39"/>
      <c r="J34" s="39"/>
    </row>
    <row r="35" spans="2:10" x14ac:dyDescent="0.3">
      <c r="B35" s="13" t="s">
        <v>12</v>
      </c>
      <c r="C35" s="12">
        <f t="shared" si="2"/>
        <v>1.140175425099139E-3</v>
      </c>
      <c r="D35" s="12">
        <f t="shared" si="2"/>
        <v>9.5444063449381001E-4</v>
      </c>
      <c r="E35" s="12">
        <f t="shared" si="2"/>
        <v>0.38622985384353714</v>
      </c>
      <c r="F35" s="12">
        <f t="shared" si="2"/>
        <v>1.6431676725154997E-3</v>
      </c>
      <c r="G35" s="12">
        <f t="shared" si="2"/>
        <v>0.39480032928051118</v>
      </c>
      <c r="H35" s="12">
        <f t="shared" si="2"/>
        <v>0</v>
      </c>
      <c r="I35" s="40"/>
      <c r="J35" s="40"/>
    </row>
    <row r="41" spans="2:10" x14ac:dyDescent="0.3">
      <c r="B41" s="19"/>
      <c r="C41" s="19"/>
      <c r="D41" s="19"/>
      <c r="E41" s="19"/>
      <c r="F41" s="19"/>
      <c r="G41" s="19"/>
      <c r="H41" s="19"/>
      <c r="I41" s="19"/>
      <c r="J41" s="19"/>
    </row>
    <row r="42" spans="2:10" x14ac:dyDescent="0.3">
      <c r="B42" s="11" t="s">
        <v>21</v>
      </c>
      <c r="C42" s="15" t="s">
        <v>13</v>
      </c>
      <c r="D42" s="15" t="s">
        <v>14</v>
      </c>
      <c r="E42" s="15" t="s">
        <v>16</v>
      </c>
      <c r="F42" s="15" t="s">
        <v>15</v>
      </c>
      <c r="G42" s="15" t="s">
        <v>26</v>
      </c>
      <c r="H42" s="15" t="s">
        <v>24</v>
      </c>
      <c r="I42" s="15" t="s">
        <v>29</v>
      </c>
      <c r="J42" s="15" t="s">
        <v>19</v>
      </c>
    </row>
    <row r="43" spans="2:10" x14ac:dyDescent="0.3">
      <c r="B43" s="15" t="s">
        <v>10</v>
      </c>
      <c r="C43" s="32">
        <f t="shared" ref="C43:J45" si="3">AVERAGE(C8,C13,C18,C23,C28)</f>
        <v>1</v>
      </c>
      <c r="D43" s="32">
        <f t="shared" si="3"/>
        <v>1</v>
      </c>
      <c r="E43" s="12">
        <f t="shared" si="3"/>
        <v>4204029.2306000013</v>
      </c>
      <c r="F43" s="12">
        <f t="shared" si="3"/>
        <v>1050205.0079999999</v>
      </c>
      <c r="G43" s="12">
        <f t="shared" si="3"/>
        <v>4204045.1094000004</v>
      </c>
      <c r="H43" s="11">
        <f t="shared" si="3"/>
        <v>0</v>
      </c>
      <c r="I43" s="53">
        <f t="shared" si="3"/>
        <v>4198395.13</v>
      </c>
      <c r="J43" s="53">
        <f t="shared" si="3"/>
        <v>0.57812282019929762</v>
      </c>
    </row>
    <row r="44" spans="2:10" x14ac:dyDescent="0.3">
      <c r="B44" s="15" t="s">
        <v>11</v>
      </c>
      <c r="C44" s="12">
        <f t="shared" si="3"/>
        <v>0.6512</v>
      </c>
      <c r="D44" s="12">
        <f t="shared" si="3"/>
        <v>0.67038465494416843</v>
      </c>
      <c r="E44" s="12">
        <f t="shared" si="3"/>
        <v>72.619800000000012</v>
      </c>
      <c r="F44" s="12">
        <f t="shared" si="3"/>
        <v>0.4728</v>
      </c>
      <c r="G44" s="12">
        <f t="shared" si="3"/>
        <v>172.61880000000002</v>
      </c>
      <c r="H44" s="12">
        <f>AVERAGE(H9,H14,H19,H24,H29)</f>
        <v>2.8736338906350856E-2</v>
      </c>
      <c r="I44" s="53"/>
      <c r="J44" s="53"/>
    </row>
    <row r="45" spans="2:10" x14ac:dyDescent="0.3">
      <c r="B45" s="15" t="s">
        <v>12</v>
      </c>
      <c r="C45" s="12">
        <f t="shared" si="3"/>
        <v>0.32940000000000003</v>
      </c>
      <c r="D45" s="12">
        <f t="shared" si="3"/>
        <v>0.32954652876107987</v>
      </c>
      <c r="E45" s="12">
        <f t="shared" si="3"/>
        <v>26.896000000000004</v>
      </c>
      <c r="F45" s="12">
        <f t="shared" si="3"/>
        <v>8.879999999999999E-2</v>
      </c>
      <c r="G45" s="12">
        <f t="shared" si="3"/>
        <v>126.92440000000002</v>
      </c>
      <c r="H45" s="32">
        <f>AVERAGE(H10,H15,H20,H25,H30)</f>
        <v>0</v>
      </c>
      <c r="I45" s="53"/>
      <c r="J45" s="53"/>
    </row>
    <row r="46" spans="2:10" x14ac:dyDescent="0.3">
      <c r="B46" s="11" t="s">
        <v>23</v>
      </c>
      <c r="C46" s="13" t="s">
        <v>13</v>
      </c>
      <c r="D46" s="13" t="s">
        <v>14</v>
      </c>
      <c r="E46" s="13" t="s">
        <v>16</v>
      </c>
      <c r="F46" s="13" t="s">
        <v>15</v>
      </c>
      <c r="G46" s="13" t="s">
        <v>26</v>
      </c>
      <c r="H46" s="13" t="s">
        <v>24</v>
      </c>
      <c r="I46" s="13" t="s">
        <v>29</v>
      </c>
      <c r="J46" s="13" t="s">
        <v>19</v>
      </c>
    </row>
    <row r="47" spans="2:10" x14ac:dyDescent="0.3">
      <c r="B47" s="13" t="s">
        <v>10</v>
      </c>
      <c r="C47" s="27">
        <f>0</f>
        <v>0</v>
      </c>
      <c r="D47" s="27">
        <f>0</f>
        <v>0</v>
      </c>
      <c r="E47" s="8">
        <f>_xlfn.CONFIDENCE.T(0.05,E33,COUNT(E8,E13,E18,E23,E28))</f>
        <v>25217.69643370192</v>
      </c>
      <c r="F47" s="8">
        <f>_xlfn.CONFIDENCE.T(0.05,F33,COUNT(F8,F13,F18,F23,F28))</f>
        <v>2179917.4080602187</v>
      </c>
      <c r="G47" s="8">
        <f>_xlfn.CONFIDENCE.T(0.05,G33,COUNT(G8,G13,G18,G23,G28))</f>
        <v>25217.685668566086</v>
      </c>
      <c r="H47" s="8">
        <v>0</v>
      </c>
      <c r="I47" s="54">
        <f>_xlfn.CONFIDENCE.T(0.05,I33,COUNT(I8,I13,I18,I23,I28))</f>
        <v>33630.092920692274</v>
      </c>
      <c r="J47" s="54">
        <f>_xlfn.CONFIDENCE.T(0.05,J33,COUNT(J8,J13,J18,J23,J28))</f>
        <v>2.2037916586635856E-3</v>
      </c>
    </row>
    <row r="48" spans="2:10" x14ac:dyDescent="0.3">
      <c r="B48" s="13" t="s">
        <v>11</v>
      </c>
      <c r="C48" s="8">
        <f>_xlfn.CONFIDENCE.T(0.05,C34,COUNT(C9,C14,C19,C24,C29))</f>
        <v>2.8314295539645464E-3</v>
      </c>
      <c r="D48" s="8">
        <f>_xlfn.CONFIDENCE.T(0.05,D34,COUNT(D9,D14,D19,D24,D29))</f>
        <v>2.9667434828589243E-3</v>
      </c>
      <c r="E48" s="8">
        <f>_xlfn.CONFIDENCE.T(0.05,E34,COUNT(E9,E14,E19,E24,E29))</f>
        <v>0.71463582822514959</v>
      </c>
      <c r="F48" s="8">
        <f>_xlfn.CONFIDENCE.T(0.05,F34,COUNT(F9,F14,F19,F24,F29))</f>
        <v>5.7840755365267576E-3</v>
      </c>
      <c r="G48" s="8">
        <f>_xlfn.CONFIDENCE.T(0.05,G34,COUNT(G9,G14,G19,G24,G29))</f>
        <v>0.71355579083479037</v>
      </c>
      <c r="H48" s="8">
        <f>_xlfn.CONFIDENCE.T(0.05,H34,COUNT(H9,H14,H19,H24,H29))</f>
        <v>7.3434307260623367E-4</v>
      </c>
      <c r="I48" s="55"/>
      <c r="J48" s="55"/>
    </row>
    <row r="49" spans="2:10" x14ac:dyDescent="0.3">
      <c r="B49" s="13" t="s">
        <v>12</v>
      </c>
      <c r="C49" s="8">
        <f>_xlfn.CONFIDENCE.T(0.05,C35,COUNT(C10,C15,C20,C25,C30))</f>
        <v>1.4157147769822732E-3</v>
      </c>
      <c r="D49" s="8">
        <f>_xlfn.CONFIDENCE.T(0.05,D35,COUNT(D10,D15,D20,D25,D30))</f>
        <v>1.1850945742737215E-3</v>
      </c>
      <c r="E49" s="8">
        <f>_xlfn.CONFIDENCE.T(0.05,E35,COUNT(E10,E15,E20,E25,E30))</f>
        <v>0.47956770454902176</v>
      </c>
      <c r="F49" s="8">
        <f>_xlfn.CONFIDENCE.T(0.05,F35,COUNT(F10,F15,F20,F25,F30))</f>
        <v>2.0402621419747685E-3</v>
      </c>
      <c r="G49" s="8">
        <f>_xlfn.CONFIDENCE.T(0.05,G35,COUNT(G10,G15,G20,G25,G30))</f>
        <v>0.49020935534660209</v>
      </c>
      <c r="H49" s="27">
        <v>0</v>
      </c>
      <c r="I49" s="56"/>
      <c r="J49" s="56"/>
    </row>
  </sheetData>
  <mergeCells count="30">
    <mergeCell ref="I3:I5"/>
    <mergeCell ref="J3:J5"/>
    <mergeCell ref="N3:N5"/>
    <mergeCell ref="O3:O5"/>
    <mergeCell ref="I8:I10"/>
    <mergeCell ref="J8:J10"/>
    <mergeCell ref="N8:N10"/>
    <mergeCell ref="O8:O10"/>
    <mergeCell ref="I13:I15"/>
    <mergeCell ref="J13:J15"/>
    <mergeCell ref="N13:N15"/>
    <mergeCell ref="O13:O15"/>
    <mergeCell ref="I18:I20"/>
    <mergeCell ref="J18:J20"/>
    <mergeCell ref="N18:N20"/>
    <mergeCell ref="O18:O20"/>
    <mergeCell ref="I23:I25"/>
    <mergeCell ref="J23:J25"/>
    <mergeCell ref="N23:N25"/>
    <mergeCell ref="O23:O25"/>
    <mergeCell ref="I28:I30"/>
    <mergeCell ref="J28:J30"/>
    <mergeCell ref="N28:N30"/>
    <mergeCell ref="O28:O30"/>
    <mergeCell ref="I33:I35"/>
    <mergeCell ref="J33:J35"/>
    <mergeCell ref="I47:I49"/>
    <mergeCell ref="J47:J49"/>
    <mergeCell ref="I43:I45"/>
    <mergeCell ref="J43:J4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data</vt:lpstr>
      <vt:lpstr>storages 7 (expd)</vt:lpstr>
      <vt:lpstr>storages 14 (expd)</vt:lpstr>
      <vt:lpstr>storages 1 (expd)</vt:lpstr>
      <vt:lpstr>storages 7 (det.uni)</vt:lpstr>
      <vt:lpstr>storages 14 (det.uni)</vt:lpstr>
      <vt:lpstr>storages  1 (det.uni)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Ореховский Антон</dc:creator>
  <cp:lastModifiedBy>Ореховский Антон</cp:lastModifiedBy>
  <dcterms:created xsi:type="dcterms:W3CDTF">2019-11-22T12:23:44Z</dcterms:created>
  <dcterms:modified xsi:type="dcterms:W3CDTF">2019-11-26T21:33:40Z</dcterms:modified>
</cp:coreProperties>
</file>