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02"/>
  <workbookPr/>
  <mc:AlternateContent xmlns:mc="http://schemas.openxmlformats.org/markup-compatibility/2006">
    <mc:Choice Requires="x15">
      <x15ac:absPath xmlns:x15ac="http://schemas.microsoft.com/office/spreadsheetml/2010/11/ac" url="https://niuitmo-my.sharepoint.com/personal/225123_niuitmo_ru/Documents/itmo/8/Экономика ПИ/лаба/"/>
    </mc:Choice>
  </mc:AlternateContent>
  <xr:revisionPtr revIDLastSave="696" documentId="13_ncr:1_{8A97B9EC-3BA5-4096-A73B-9961E8CB2407}" xr6:coauthVersionLast="47" xr6:coauthVersionMax="47" xr10:uidLastSave="{D7AD1730-28E0-46EC-869D-09C7F9C905D9}"/>
  <bookViews>
    <workbookView xWindow="-113" yWindow="-113" windowWidth="24267" windowHeight="13148" firstSheet="4" activeTab="5" xr2:uid="{00000000-000D-0000-FFFF-FFFF00000000}"/>
  </bookViews>
  <sheets>
    <sheet name="Стоимость труда" sheetId="2" r:id="rId1"/>
    <sheet name="Наивный" sheetId="1" r:id="rId2"/>
    <sheet name="PERT" sheetId="3" r:id="rId3"/>
    <sheet name="FPA IFPUG" sheetId="4" r:id="rId4"/>
    <sheet name="UCP" sheetId="5" r:id="rId5"/>
    <sheet name="COCOMO" sheetId="6" r:id="rId6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6" l="1"/>
  <c r="D9" i="6"/>
  <c r="D3" i="6"/>
  <c r="D5" i="6"/>
  <c r="D10" i="6"/>
  <c r="J11" i="5"/>
  <c r="C65" i="4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9" i="5"/>
  <c r="G30" i="5"/>
  <c r="G31" i="5"/>
  <c r="G32" i="5"/>
  <c r="G33" i="5"/>
  <c r="G34" i="5"/>
  <c r="G35" i="5"/>
  <c r="G28" i="5"/>
  <c r="L7" i="5"/>
  <c r="E5" i="5"/>
  <c r="G5" i="5" s="1"/>
  <c r="L5" i="5"/>
  <c r="L6" i="5"/>
  <c r="L4" i="5"/>
  <c r="E6" i="5" a="1"/>
  <c r="E6" i="5" s="1"/>
  <c r="G6" i="5" s="1"/>
  <c r="E4" i="5"/>
  <c r="G4" i="5" s="1"/>
  <c r="G7" i="5" s="1"/>
  <c r="C62" i="4"/>
  <c r="C63" i="4" s="1"/>
  <c r="G46" i="4"/>
  <c r="F15" i="4"/>
  <c r="O3" i="3"/>
  <c r="M5" i="3"/>
  <c r="M4" i="3"/>
  <c r="M3" i="3"/>
  <c r="E12" i="3"/>
  <c r="G12" i="3" s="1"/>
  <c r="H12" i="3"/>
  <c r="J12" i="3" s="1"/>
  <c r="E13" i="1"/>
  <c r="D13" i="1"/>
  <c r="H4" i="1" s="1"/>
  <c r="J4" i="1" s="1"/>
  <c r="H5" i="3"/>
  <c r="J5" i="3" s="1"/>
  <c r="H6" i="3"/>
  <c r="J6" i="3" s="1"/>
  <c r="H7" i="3"/>
  <c r="J7" i="3" s="1"/>
  <c r="H8" i="3"/>
  <c r="J8" i="3" s="1"/>
  <c r="H9" i="3"/>
  <c r="J9" i="3" s="1"/>
  <c r="H10" i="3"/>
  <c r="J10" i="3" s="1"/>
  <c r="H11" i="3"/>
  <c r="J11" i="3" s="1"/>
  <c r="H4" i="3"/>
  <c r="J4" i="3" s="1"/>
  <c r="E5" i="3"/>
  <c r="G5" i="3" s="1"/>
  <c r="E6" i="3"/>
  <c r="G6" i="3" s="1"/>
  <c r="E7" i="3"/>
  <c r="G7" i="3" s="1"/>
  <c r="E8" i="3"/>
  <c r="G8" i="3" s="1"/>
  <c r="E9" i="3"/>
  <c r="G9" i="3" s="1"/>
  <c r="E10" i="3"/>
  <c r="G10" i="3" s="1"/>
  <c r="E11" i="3"/>
  <c r="G11" i="3" s="1"/>
  <c r="E4" i="3"/>
  <c r="G4" i="3" s="1"/>
  <c r="C4" i="2"/>
  <c r="G6" i="1"/>
  <c r="H6" i="1" s="1"/>
  <c r="J6" i="1" s="1"/>
  <c r="I5" i="1"/>
  <c r="K5" i="1" s="1"/>
  <c r="D11" i="6" l="1"/>
  <c r="D26" i="6"/>
  <c r="D12" i="6"/>
  <c r="G36" i="5"/>
  <c r="G25" i="5"/>
  <c r="I4" i="1"/>
  <c r="K4" i="1" s="1"/>
  <c r="I7" i="1"/>
  <c r="K7" i="1" s="1"/>
  <c r="H7" i="1"/>
  <c r="J7" i="1" s="1"/>
  <c r="I6" i="1"/>
  <c r="K6" i="1" s="1"/>
  <c r="H5" i="1"/>
  <c r="J5" i="1" s="1"/>
  <c r="D14" i="6" l="1"/>
  <c r="D27" i="6" s="1"/>
  <c r="D28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<sst xmlns="http://schemas.openxmlformats.org/spreadsheetml/2006/main" count="425" uniqueCount="286">
  <si>
    <t>Стоимость труда команды</t>
  </si>
  <si>
    <t>в месяц</t>
  </si>
  <si>
    <t>в час</t>
  </si>
  <si>
    <t>№</t>
  </si>
  <si>
    <t>Описание</t>
  </si>
  <si>
    <t>Трудоемкость, часов</t>
  </si>
  <si>
    <t>Коэффициент</t>
  </si>
  <si>
    <t>Затраты для трудоемкостей, тысяч рублей</t>
  </si>
  <si>
    <t>min</t>
  </si>
  <si>
    <t>max</t>
  </si>
  <si>
    <t>авторизация и работа с пользователями</t>
  </si>
  <si>
    <t>уведомления</t>
  </si>
  <si>
    <t>аналитика, история транзакций</t>
  </si>
  <si>
    <t>работа с картами</t>
  </si>
  <si>
    <t>кредиты</t>
  </si>
  <si>
    <t>вклады</t>
  </si>
  <si>
    <t>справки, выписки, счета</t>
  </si>
  <si>
    <t>чат</t>
  </si>
  <si>
    <t>платежи</t>
  </si>
  <si>
    <t>сумма</t>
  </si>
  <si>
    <t>SDi</t>
  </si>
  <si>
    <t>Параметр</t>
  </si>
  <si>
    <t>Значение</t>
  </si>
  <si>
    <t>Затраты</t>
  </si>
  <si>
    <t>Oi</t>
  </si>
  <si>
    <t>Mi</t>
  </si>
  <si>
    <t>Pi</t>
  </si>
  <si>
    <t>Ei</t>
  </si>
  <si>
    <t>SDi^2</t>
  </si>
  <si>
    <t>E</t>
  </si>
  <si>
    <t>SD</t>
  </si>
  <si>
    <t>E95</t>
  </si>
  <si>
    <t>Объект данных</t>
  </si>
  <si>
    <t>DET</t>
  </si>
  <si>
    <t>RET</t>
  </si>
  <si>
    <t>Сложность</t>
  </si>
  <si>
    <t>FP</t>
  </si>
  <si>
    <t>Пользователь</t>
  </si>
  <si>
    <t>Average</t>
  </si>
  <si>
    <t>Карта</t>
  </si>
  <si>
    <t>Low</t>
  </si>
  <si>
    <t>Счет</t>
  </si>
  <si>
    <t>Уведомления</t>
  </si>
  <si>
    <t>Кредит</t>
  </si>
  <si>
    <t>Регистрация на госулугах</t>
  </si>
  <si>
    <t>Вклад</t>
  </si>
  <si>
    <t>ФИО</t>
  </si>
  <si>
    <t>Справка</t>
  </si>
  <si>
    <t>НОМЕР</t>
  </si>
  <si>
    <t>Чат</t>
  </si>
  <si>
    <t>email</t>
  </si>
  <si>
    <t>Платежи</t>
  </si>
  <si>
    <t>СНИЛС</t>
  </si>
  <si>
    <t>чекбокс</t>
  </si>
  <si>
    <t>Транзакции</t>
  </si>
  <si>
    <t>Тип</t>
  </si>
  <si>
    <t>FTR</t>
  </si>
  <si>
    <t>Изменить логин</t>
  </si>
  <si>
    <t>EI</t>
  </si>
  <si>
    <t>Изменить пароль</t>
  </si>
  <si>
    <t>Изменить кодовое слово</t>
  </si>
  <si>
    <t>Добавить телефон</t>
  </si>
  <si>
    <t>Логин</t>
  </si>
  <si>
    <t>Добавить email</t>
  </si>
  <si>
    <t>Пароль</t>
  </si>
  <si>
    <t>Изменение настроек событий</t>
  </si>
  <si>
    <t>Кодовое слово</t>
  </si>
  <si>
    <t>Изменение настроек уведомлений</t>
  </si>
  <si>
    <t>Паспорт</t>
  </si>
  <si>
    <t>Тип документа</t>
  </si>
  <si>
    <t>Активировать карту</t>
  </si>
  <si>
    <t>Серия</t>
  </si>
  <si>
    <t>Выпуск карты</t>
  </si>
  <si>
    <t>Номер</t>
  </si>
  <si>
    <t>Привязать карту</t>
  </si>
  <si>
    <t>Выдан когда</t>
  </si>
  <si>
    <t>Изменить лимит</t>
  </si>
  <si>
    <t>Выдан кем</t>
  </si>
  <si>
    <t>Заблокировать карту</t>
  </si>
  <si>
    <t>Адрес регистрации</t>
  </si>
  <si>
    <t>Регион</t>
  </si>
  <si>
    <t>Фильтрация событий</t>
  </si>
  <si>
    <t>EQ</t>
  </si>
  <si>
    <t>Город</t>
  </si>
  <si>
    <t xml:space="preserve">Заказать выписку </t>
  </si>
  <si>
    <t>Улица</t>
  </si>
  <si>
    <t>Скачать</t>
  </si>
  <si>
    <t xml:space="preserve">Дом </t>
  </si>
  <si>
    <t>Распечатать</t>
  </si>
  <si>
    <t>Квартира</t>
  </si>
  <si>
    <t>Отправить на email</t>
  </si>
  <si>
    <t>ИНН</t>
  </si>
  <si>
    <t>Открыть кредит</t>
  </si>
  <si>
    <t>&gt;16</t>
  </si>
  <si>
    <t>Погасить кредит (досрочно)</t>
  </si>
  <si>
    <t>Вод удост</t>
  </si>
  <si>
    <t>Погасить кредит (планово)</t>
  </si>
  <si>
    <t>Заказать справку</t>
  </si>
  <si>
    <t>Свид о регистр ТС</t>
  </si>
  <si>
    <t>Отправка сообщения</t>
  </si>
  <si>
    <t>Оплата услуг</t>
  </si>
  <si>
    <t>Перевод людям</t>
  </si>
  <si>
    <t>карта</t>
  </si>
  <si>
    <t>счет</t>
  </si>
  <si>
    <t>Перевод между счетами</t>
  </si>
  <si>
    <t>Сумма</t>
  </si>
  <si>
    <t>Перевод организациям</t>
  </si>
  <si>
    <t>Номер карты</t>
  </si>
  <si>
    <t>Перевод в бюджет</t>
  </si>
  <si>
    <t>действует до</t>
  </si>
  <si>
    <t>Запрос в другом банке</t>
  </si>
  <si>
    <t>cvv</t>
  </si>
  <si>
    <t>бесплатные снятия</t>
  </si>
  <si>
    <t>процент кэш-бека</t>
  </si>
  <si>
    <t>Обмен данными</t>
  </si>
  <si>
    <t>Распределенная обработка данных</t>
  </si>
  <si>
    <t xml:space="preserve">Производительность </t>
  </si>
  <si>
    <t>валюта</t>
  </si>
  <si>
    <t xml:space="preserve">Ограничения по аппаратным ресурсам </t>
  </si>
  <si>
    <t>дата открытия</t>
  </si>
  <si>
    <t xml:space="preserve">Транзакционная нагрузка </t>
  </si>
  <si>
    <t>статус</t>
  </si>
  <si>
    <t xml:space="preserve">Интенсивность взаимодействия с пользователем </t>
  </si>
  <si>
    <t>номер счета</t>
  </si>
  <si>
    <t xml:space="preserve">Эргономика </t>
  </si>
  <si>
    <t>банк</t>
  </si>
  <si>
    <t>Интенсивность изменения данных (ILF) пользователями</t>
  </si>
  <si>
    <t>БИК</t>
  </si>
  <si>
    <t xml:space="preserve">Сложность обработки </t>
  </si>
  <si>
    <t>корр счет</t>
  </si>
  <si>
    <t>Повторное использование</t>
  </si>
  <si>
    <t xml:space="preserve">Удобство инсталляции </t>
  </si>
  <si>
    <t>КПП</t>
  </si>
  <si>
    <t>Удобство администрирования</t>
  </si>
  <si>
    <t xml:space="preserve">Портируемость </t>
  </si>
  <si>
    <t>основной телевон</t>
  </si>
  <si>
    <t xml:space="preserve">Гибкость </t>
  </si>
  <si>
    <t>до телефон</t>
  </si>
  <si>
    <t>VAF</t>
  </si>
  <si>
    <t>собятия</t>
  </si>
  <si>
    <t>8 чекбоксов</t>
  </si>
  <si>
    <t>DFP</t>
  </si>
  <si>
    <t>операция</t>
  </si>
  <si>
    <t>С карты</t>
  </si>
  <si>
    <t>категория</t>
  </si>
  <si>
    <t>время</t>
  </si>
  <si>
    <t>исполнено</t>
  </si>
  <si>
    <t>адрес</t>
  </si>
  <si>
    <t>реквезиты</t>
  </si>
  <si>
    <t>кредит</t>
  </si>
  <si>
    <t>название договора</t>
  </si>
  <si>
    <t>сумма договора</t>
  </si>
  <si>
    <t>остаток задолжености</t>
  </si>
  <si>
    <t>рекомендуемы платеж</t>
  </si>
  <si>
    <t>дата окончания договора</t>
  </si>
  <si>
    <t>оплатить с</t>
  </si>
  <si>
    <t>оплатить до</t>
  </si>
  <si>
    <t>условия кредита</t>
  </si>
  <si>
    <t>банк кредитор</t>
  </si>
  <si>
    <t>номер договра</t>
  </si>
  <si>
    <t>дата открытия договора</t>
  </si>
  <si>
    <t>процентная ставка</t>
  </si>
  <si>
    <t>полная стоимость кредита</t>
  </si>
  <si>
    <t>вклад</t>
  </si>
  <si>
    <t>название вклаза</t>
  </si>
  <si>
    <t>начальная сумма</t>
  </si>
  <si>
    <t>малюта</t>
  </si>
  <si>
    <t>текущая сумма</t>
  </si>
  <si>
    <t>начало</t>
  </si>
  <si>
    <t>конец</t>
  </si>
  <si>
    <t>номер</t>
  </si>
  <si>
    <t>справка</t>
  </si>
  <si>
    <t>тип</t>
  </si>
  <si>
    <t>период от</t>
  </si>
  <si>
    <t>период до</t>
  </si>
  <si>
    <t>отправитель</t>
  </si>
  <si>
    <t>дата</t>
  </si>
  <si>
    <t>вложение</t>
  </si>
  <si>
    <t>текст</t>
  </si>
  <si>
    <t>источник - 2 шт</t>
  </si>
  <si>
    <t>кому - 3 шт</t>
  </si>
  <si>
    <t>куда - 4 шт</t>
  </si>
  <si>
    <t>сколько - 2шт</t>
  </si>
  <si>
    <t>UUCW</t>
  </si>
  <si>
    <t>Ni</t>
  </si>
  <si>
    <t>Wi</t>
  </si>
  <si>
    <t>*</t>
  </si>
  <si>
    <t>UAW</t>
  </si>
  <si>
    <t>Пользьватель</t>
  </si>
  <si>
    <t>Агент поддержки</t>
  </si>
  <si>
    <t>Сотрудник банка</t>
  </si>
  <si>
    <t>High</t>
  </si>
  <si>
    <t>Администратор</t>
  </si>
  <si>
    <t>TF</t>
  </si>
  <si>
    <t>Вес</t>
  </si>
  <si>
    <t>ucp'</t>
  </si>
  <si>
    <t>T1</t>
  </si>
  <si>
    <t>Распределенная система</t>
  </si>
  <si>
    <t>T2</t>
  </si>
  <si>
    <t>Время отклика / целевые показатели производительности</t>
  </si>
  <si>
    <t>T3</t>
  </si>
  <si>
    <t>Эффективность для конечного пользователя</t>
  </si>
  <si>
    <t>T4</t>
  </si>
  <si>
    <t>Сложность внутренней обработки</t>
  </si>
  <si>
    <t>T5</t>
  </si>
  <si>
    <t>Возможность повторного использования кода</t>
  </si>
  <si>
    <t>T6</t>
  </si>
  <si>
    <t>Легко установить</t>
  </si>
  <si>
    <t>T7</t>
  </si>
  <si>
    <t>Легко использовать</t>
  </si>
  <si>
    <t>T8</t>
  </si>
  <si>
    <t>Переносимость на другие платформы</t>
  </si>
  <si>
    <t>T9</t>
  </si>
  <si>
    <t>Обслуживание системы</t>
  </si>
  <si>
    <t>T10</t>
  </si>
  <si>
    <t>Параллельная / параллельная обработка</t>
  </si>
  <si>
    <t>T11</t>
  </si>
  <si>
    <t>Особенности безопасности</t>
  </si>
  <si>
    <t>T12</t>
  </si>
  <si>
    <t>Доступ для третьих лиц</t>
  </si>
  <si>
    <t>T13</t>
  </si>
  <si>
    <t>Обучение конечных пользователей</t>
  </si>
  <si>
    <t>EF</t>
  </si>
  <si>
    <t>E1</t>
  </si>
  <si>
    <t>Знакомство с используемым процессом разработки</t>
  </si>
  <si>
    <t>E2</t>
  </si>
  <si>
    <t>Опыт применения</t>
  </si>
  <si>
    <t>E3</t>
  </si>
  <si>
    <t>Объектно-ориентированный опыт команды</t>
  </si>
  <si>
    <t>E4</t>
  </si>
  <si>
    <t>Возможности ведущего аналитика</t>
  </si>
  <si>
    <t>E5</t>
  </si>
  <si>
    <t>Мотивация команды</t>
  </si>
  <si>
    <t>E6</t>
  </si>
  <si>
    <t>Стабильность требований</t>
  </si>
  <si>
    <t>E7</t>
  </si>
  <si>
    <t>Персонал, занятый неполный рабочий день</t>
  </si>
  <si>
    <t>E8</t>
  </si>
  <si>
    <t>Сложный язык программирования</t>
  </si>
  <si>
    <t>Невыровненные ФТ</t>
  </si>
  <si>
    <t>Фактор</t>
  </si>
  <si>
    <t>Пояснение</t>
  </si>
  <si>
    <t>Уровень</t>
  </si>
  <si>
    <t>Кол-во строк кода</t>
  </si>
  <si>
    <t>PREC</t>
  </si>
  <si>
    <t>Прецедентность, наличие опыт аналогичных разработок</t>
  </si>
  <si>
    <t>SIZE, KSLOC</t>
  </si>
  <si>
    <t>FLEX</t>
  </si>
  <si>
    <t>Гибкость процесса разработки</t>
  </si>
  <si>
    <t>A</t>
  </si>
  <si>
    <t>RESL</t>
  </si>
  <si>
    <t>Архитектура и разрешение рисков</t>
  </si>
  <si>
    <t>B</t>
  </si>
  <si>
    <t>TEAM</t>
  </si>
  <si>
    <t>Сработанность команды</t>
  </si>
  <si>
    <t>PMAT</t>
  </si>
  <si>
    <t>Зрелость процессов</t>
  </si>
  <si>
    <t>High (CMM L3: установленный)</t>
  </si>
  <si>
    <t>Mul(Emi)</t>
  </si>
  <si>
    <t>sum(SFj)</t>
  </si>
  <si>
    <t>Множитель</t>
  </si>
  <si>
    <t>PERS</t>
  </si>
  <si>
    <t>Квалификация персонала</t>
  </si>
  <si>
    <t>Very high</t>
  </si>
  <si>
    <t>SIZE^E</t>
  </si>
  <si>
    <t>RCPX</t>
  </si>
  <si>
    <t>Сложность и надежность продукта</t>
  </si>
  <si>
    <t>Nominal</t>
  </si>
  <si>
    <t>RUSE</t>
  </si>
  <si>
    <t>Разработка для повторного использования</t>
  </si>
  <si>
    <t>Very low</t>
  </si>
  <si>
    <t>-</t>
  </si>
  <si>
    <t>PM, чел*мес</t>
  </si>
  <si>
    <t>PDIF</t>
  </si>
  <si>
    <t>Сложность платформы разработки</t>
  </si>
  <si>
    <t>PREX</t>
  </si>
  <si>
    <t>Опыт персонала</t>
  </si>
  <si>
    <t>FCIL</t>
  </si>
  <si>
    <t>Оборудование</t>
  </si>
  <si>
    <t>SCED</t>
  </si>
  <si>
    <t>Сжатие расписания</t>
  </si>
  <si>
    <t>C</t>
  </si>
  <si>
    <t>D</t>
  </si>
  <si>
    <t>pow</t>
  </si>
  <si>
    <t>PMns^pow</t>
  </si>
  <si>
    <t>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</si>
</sst>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Border="1"/>
    <xf numFmtId="2" fontId="0" fillId="0" borderId="0" xfId="0" applyNumberFormat="1"/>
    <xf numFmtId="0" fontId="1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0" fillId="2" borderId="0" xfId="0" applyFill="1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2" fontId="1" fillId="0" borderId="0" xfId="0" applyNumberFormat="1" applyFont="1" applyBorder="1" applyAlignment="1">
      <alignment vertical="center" wrapText="1"/>
    </xf>
    <xf numFmtId="2" fontId="1" fillId="0" borderId="0" xfId="0" applyNumberFormat="1" applyFont="1" applyBorder="1"/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2750-EC1F-4E34-AF1E-08671E23922F}">
  <dimension ref="B2:C4"/>
  <sheetViews>
    <sheetView workbookViewId="0">
      <selection activeCell="D11" sqref="D11"/>
    </sheetView>
  </sheetViews>
  <sheetFormatPr defaultRowHeight="15"/>
  <sheetData>
    <row r="2" spans="2:3">
      <c r="B2" s="3" t="s">
        <v>0</v>
      </c>
      <c r="C2" s="3"/>
    </row>
    <row r="3" spans="2:3">
      <c r="B3" s="3" t="s">
        <v>1</v>
      </c>
      <c r="C3" s="3" t="s">
        <v>2</v>
      </c>
    </row>
    <row r="4" spans="2:3">
      <c r="B4" s="3">
        <v>300000</v>
      </c>
      <c r="C4" s="3">
        <f>B4/160</f>
        <v>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5"/>
  <sheetViews>
    <sheetView workbookViewId="0">
      <selection activeCell="C30" sqref="C30"/>
    </sheetView>
  </sheetViews>
  <sheetFormatPr defaultColWidth="8.85546875" defaultRowHeight="15"/>
  <cols>
    <col min="1" max="1" width="12.28515625" style="1" customWidth="1"/>
    <col min="2" max="2" width="7.42578125" style="1" customWidth="1"/>
    <col min="3" max="3" width="42" style="1" customWidth="1"/>
    <col min="4" max="4" width="12" style="1" customWidth="1"/>
    <col min="5" max="5" width="12.85546875" style="1" customWidth="1"/>
    <col min="6" max="6" width="8.85546875" style="1"/>
    <col min="7" max="7" width="13.42578125" style="1" customWidth="1"/>
    <col min="8" max="8" width="10.140625" style="1" customWidth="1"/>
    <col min="9" max="9" width="11.85546875" style="1" customWidth="1"/>
    <col min="10" max="10" width="20.140625" style="1" customWidth="1"/>
    <col min="11" max="11" width="20.7109375" style="1" customWidth="1"/>
    <col min="12" max="16384" width="8.85546875" style="1"/>
  </cols>
  <sheetData>
    <row r="1" spans="2:11">
      <c r="B1" s="3"/>
      <c r="C1" s="3"/>
      <c r="D1" s="3"/>
      <c r="E1" s="3"/>
      <c r="F1" s="3"/>
      <c r="G1" s="18"/>
      <c r="H1" s="18"/>
      <c r="I1" s="18"/>
      <c r="J1" s="18"/>
      <c r="K1" s="18"/>
    </row>
    <row r="2" spans="2:11" ht="14.45" customHeight="1">
      <c r="B2" s="19" t="s">
        <v>3</v>
      </c>
      <c r="C2" s="19" t="s">
        <v>4</v>
      </c>
      <c r="D2" s="19" t="s">
        <v>5</v>
      </c>
      <c r="E2" s="19"/>
      <c r="F2" s="20"/>
      <c r="G2" s="21" t="s">
        <v>6</v>
      </c>
      <c r="H2" s="21" t="s">
        <v>5</v>
      </c>
      <c r="I2" s="21"/>
      <c r="J2" s="21" t="s">
        <v>7</v>
      </c>
      <c r="K2" s="21"/>
    </row>
    <row r="3" spans="2:11">
      <c r="B3" s="19"/>
      <c r="C3" s="19"/>
      <c r="D3" s="17" t="s">
        <v>8</v>
      </c>
      <c r="E3" s="17" t="s">
        <v>9</v>
      </c>
      <c r="F3" s="20"/>
      <c r="G3" s="21"/>
      <c r="H3" s="22" t="s">
        <v>8</v>
      </c>
      <c r="I3" s="18" t="s">
        <v>9</v>
      </c>
      <c r="J3" s="20" t="s">
        <v>8</v>
      </c>
      <c r="K3" s="18" t="s">
        <v>9</v>
      </c>
    </row>
    <row r="4" spans="2:11">
      <c r="B4" s="17">
        <v>1</v>
      </c>
      <c r="C4" s="17" t="s">
        <v>10</v>
      </c>
      <c r="D4" s="23">
        <v>20</v>
      </c>
      <c r="E4" s="23">
        <v>35</v>
      </c>
      <c r="F4" s="3"/>
      <c r="G4" s="18">
        <v>1</v>
      </c>
      <c r="H4" s="22">
        <f>G4*$D$13</f>
        <v>555</v>
      </c>
      <c r="I4" s="18">
        <f>G4*$E$13</f>
        <v>920</v>
      </c>
      <c r="J4" s="18">
        <f>H4*'Стоимость труда'!$C$4/1000</f>
        <v>1040.625</v>
      </c>
      <c r="K4" s="18">
        <f>I4*'Стоимость труда'!$C$4/1000</f>
        <v>1725</v>
      </c>
    </row>
    <row r="5" spans="2:11">
      <c r="B5" s="3">
        <v>2</v>
      </c>
      <c r="C5" s="3" t="s">
        <v>11</v>
      </c>
      <c r="D5" s="24">
        <v>50</v>
      </c>
      <c r="E5" s="24">
        <v>120</v>
      </c>
      <c r="F5" s="3"/>
      <c r="G5" s="18">
        <v>2</v>
      </c>
      <c r="H5" s="22">
        <f>G5*$D$13</f>
        <v>1110</v>
      </c>
      <c r="I5" s="18">
        <f>G5*$E$13</f>
        <v>1840</v>
      </c>
      <c r="J5" s="18">
        <f>H5*'Стоимость труда'!$C$4/1000</f>
        <v>2081.25</v>
      </c>
      <c r="K5" s="18">
        <f>I5*'Стоимость труда'!$C$4/1000</f>
        <v>3450</v>
      </c>
    </row>
    <row r="6" spans="2:11">
      <c r="B6" s="17">
        <v>3</v>
      </c>
      <c r="C6" s="3" t="s">
        <v>12</v>
      </c>
      <c r="D6" s="24">
        <v>30</v>
      </c>
      <c r="E6" s="24">
        <v>50</v>
      </c>
      <c r="F6" s="3"/>
      <c r="G6" s="18">
        <f>PI()</f>
        <v>3.1415926535897931</v>
      </c>
      <c r="H6" s="22">
        <f>G6*$D$13</f>
        <v>1743.5839227423353</v>
      </c>
      <c r="I6" s="18">
        <f>G6*$E$13</f>
        <v>2890.2652413026099</v>
      </c>
      <c r="J6" s="18">
        <f>H6*'Стоимость труда'!$C$4/1000</f>
        <v>3269.2198551418787</v>
      </c>
      <c r="K6" s="18">
        <f>I6*'Стоимость труда'!$C$4/1000</f>
        <v>5419.2473274423937</v>
      </c>
    </row>
    <row r="7" spans="2:11">
      <c r="B7" s="3">
        <v>4</v>
      </c>
      <c r="C7" s="3" t="s">
        <v>13</v>
      </c>
      <c r="D7" s="24">
        <v>80</v>
      </c>
      <c r="E7" s="24">
        <v>150</v>
      </c>
      <c r="F7" s="3"/>
      <c r="G7" s="18">
        <v>4</v>
      </c>
      <c r="H7" s="22">
        <f>G7*$D$13</f>
        <v>2220</v>
      </c>
      <c r="I7" s="18">
        <f>G7*$E$13</f>
        <v>3680</v>
      </c>
      <c r="J7" s="18">
        <f>H7*'Стоимость труда'!$C$4/1000</f>
        <v>4162.5</v>
      </c>
      <c r="K7" s="18">
        <f>I7*'Стоимость труда'!$C$4/1000</f>
        <v>6900</v>
      </c>
    </row>
    <row r="8" spans="2:11">
      <c r="B8" s="17">
        <v>5</v>
      </c>
      <c r="C8" s="3" t="s">
        <v>14</v>
      </c>
      <c r="D8" s="24">
        <v>150</v>
      </c>
      <c r="E8" s="24">
        <v>200</v>
      </c>
      <c r="F8" s="3"/>
      <c r="G8" s="18"/>
      <c r="H8" s="22"/>
      <c r="I8" s="18"/>
      <c r="J8" s="18"/>
      <c r="K8" s="18"/>
    </row>
    <row r="9" spans="2:11">
      <c r="B9" s="3">
        <v>6</v>
      </c>
      <c r="C9" s="3" t="s">
        <v>15</v>
      </c>
      <c r="D9" s="24">
        <v>80</v>
      </c>
      <c r="E9" s="24">
        <v>150</v>
      </c>
      <c r="F9" s="3"/>
      <c r="G9" s="18"/>
      <c r="H9" s="22"/>
      <c r="I9" s="18"/>
      <c r="J9" s="18"/>
      <c r="K9" s="18"/>
    </row>
    <row r="10" spans="2:11">
      <c r="B10" s="17">
        <v>7</v>
      </c>
      <c r="C10" s="3" t="s">
        <v>16</v>
      </c>
      <c r="D10" s="24">
        <v>25</v>
      </c>
      <c r="E10" s="24">
        <v>35</v>
      </c>
      <c r="F10" s="3"/>
      <c r="G10" s="18"/>
      <c r="H10" s="18"/>
      <c r="I10" s="18"/>
      <c r="J10" s="18"/>
      <c r="K10" s="18"/>
    </row>
    <row r="11" spans="2:11">
      <c r="B11" s="3">
        <v>8</v>
      </c>
      <c r="C11" s="3" t="s">
        <v>17</v>
      </c>
      <c r="D11" s="24">
        <v>20</v>
      </c>
      <c r="E11" s="24">
        <v>30</v>
      </c>
      <c r="F11" s="3"/>
      <c r="G11" s="3"/>
      <c r="H11" s="3"/>
      <c r="I11" s="3"/>
      <c r="J11" s="3"/>
      <c r="K11" s="3"/>
    </row>
    <row r="12" spans="2:11">
      <c r="B12" s="3">
        <v>9</v>
      </c>
      <c r="C12" s="3" t="s">
        <v>18</v>
      </c>
      <c r="D12" s="3">
        <v>100</v>
      </c>
      <c r="E12" s="3">
        <v>150</v>
      </c>
      <c r="F12" s="3"/>
      <c r="G12" s="3"/>
      <c r="H12" s="3"/>
      <c r="I12" s="3"/>
      <c r="J12" s="3"/>
      <c r="K12" s="3"/>
    </row>
    <row r="13" spans="2:11">
      <c r="B13" s="17"/>
      <c r="C13" s="3" t="s">
        <v>19</v>
      </c>
      <c r="D13" s="24">
        <f>SUM(D4:D12)</f>
        <v>555</v>
      </c>
      <c r="E13" s="24">
        <f>SUM(E4:E12)</f>
        <v>920</v>
      </c>
      <c r="F13" s="3"/>
      <c r="G13" s="3"/>
      <c r="H13" s="3"/>
      <c r="I13" s="3"/>
      <c r="J13" s="3"/>
      <c r="K13" s="3"/>
    </row>
    <row r="14" spans="2:11">
      <c r="B14" s="17"/>
      <c r="C14" s="3"/>
      <c r="D14" s="24"/>
      <c r="E14" s="24"/>
      <c r="F14" s="3"/>
      <c r="G14" s="3"/>
      <c r="H14" s="3"/>
      <c r="I14" s="3"/>
      <c r="J14" s="3"/>
      <c r="K14" s="3"/>
    </row>
    <row r="15" spans="2:11">
      <c r="B15" s="3"/>
      <c r="C15" s="3"/>
      <c r="D15" s="24"/>
      <c r="E15" s="24"/>
      <c r="F15" s="3"/>
      <c r="G15" s="3"/>
      <c r="H15" s="3"/>
      <c r="I15" s="3"/>
      <c r="J15" s="3"/>
      <c r="K15" s="3"/>
    </row>
    <row r="16" spans="2:11">
      <c r="B16" s="17"/>
      <c r="C16" s="3"/>
      <c r="D16" s="24"/>
      <c r="E16" s="24"/>
      <c r="F16" s="3"/>
      <c r="G16" s="3"/>
      <c r="H16" s="3"/>
      <c r="I16" s="3"/>
      <c r="J16" s="3"/>
      <c r="K16" s="3"/>
    </row>
    <row r="17" spans="2:5">
      <c r="B17" s="3"/>
      <c r="C17" s="3"/>
      <c r="D17" s="24"/>
      <c r="E17" s="24"/>
    </row>
    <row r="18" spans="2:5">
      <c r="B18" s="17"/>
      <c r="C18" s="3"/>
      <c r="D18" s="24"/>
      <c r="E18" s="24"/>
    </row>
    <row r="19" spans="2:5">
      <c r="B19" s="3"/>
      <c r="C19" s="3"/>
      <c r="D19" s="24"/>
      <c r="E19" s="24"/>
    </row>
    <row r="20" spans="2:5">
      <c r="B20" s="17"/>
      <c r="C20" s="3"/>
      <c r="D20" s="24"/>
      <c r="E20" s="24"/>
    </row>
    <row r="21" spans="2:5">
      <c r="B21" s="3"/>
      <c r="C21" s="3"/>
      <c r="D21" s="24"/>
      <c r="E21" s="24"/>
    </row>
    <row r="22" spans="2:5">
      <c r="B22" s="17"/>
      <c r="C22" s="3"/>
      <c r="D22" s="24"/>
      <c r="E22" s="24"/>
    </row>
    <row r="23" spans="2:5">
      <c r="B23" s="3"/>
      <c r="C23" s="3"/>
      <c r="D23" s="24"/>
      <c r="E23" s="24"/>
    </row>
    <row r="24" spans="2:5">
      <c r="B24" s="17"/>
      <c r="C24" s="3"/>
      <c r="D24" s="24"/>
      <c r="E24" s="24"/>
    </row>
    <row r="25" spans="2:5">
      <c r="B25" s="3"/>
      <c r="C25" s="3"/>
      <c r="D25" s="24"/>
      <c r="E25" s="24"/>
    </row>
  </sheetData>
  <mergeCells count="6">
    <mergeCell ref="J2:K2"/>
    <mergeCell ref="B2:B3"/>
    <mergeCell ref="C2:C3"/>
    <mergeCell ref="D2:E2"/>
    <mergeCell ref="H2:I2"/>
    <mergeCell ref="G2:G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7CA1-5BEE-4DFC-8D22-5E16465ADC97}">
  <dimension ref="B2:O12"/>
  <sheetViews>
    <sheetView workbookViewId="0">
      <selection activeCell="C17" sqref="C17"/>
    </sheetView>
  </sheetViews>
  <sheetFormatPr defaultRowHeight="15"/>
  <cols>
    <col min="2" max="2" width="3" bestFit="1" customWidth="1"/>
    <col min="3" max="3" width="36.7109375" bestFit="1" customWidth="1"/>
    <col min="4" max="7" width="6.5703125" bestFit="1" customWidth="1"/>
    <col min="8" max="8" width="5.5703125" bestFit="1" customWidth="1"/>
    <col min="10" max="10" width="6.5703125" bestFit="1" customWidth="1"/>
    <col min="12" max="13" width="9.28515625" bestFit="1" customWidth="1"/>
  </cols>
  <sheetData>
    <row r="2" spans="2:15" ht="14.45" customHeight="1">
      <c r="B2" s="19" t="s">
        <v>3</v>
      </c>
      <c r="C2" s="19" t="s">
        <v>4</v>
      </c>
      <c r="D2" s="25" t="s">
        <v>5</v>
      </c>
      <c r="E2" s="25"/>
      <c r="F2" s="25"/>
      <c r="G2" s="25"/>
      <c r="H2" s="15" t="s">
        <v>20</v>
      </c>
      <c r="L2" t="s">
        <v>21</v>
      </c>
      <c r="M2" t="s">
        <v>22</v>
      </c>
      <c r="O2" t="s">
        <v>23</v>
      </c>
    </row>
    <row r="3" spans="2:15">
      <c r="B3" s="19"/>
      <c r="C3" s="19"/>
      <c r="D3" s="17" t="s">
        <v>24</v>
      </c>
      <c r="E3" t="s">
        <v>25</v>
      </c>
      <c r="F3" s="17" t="s">
        <v>26</v>
      </c>
      <c r="G3" t="s">
        <v>27</v>
      </c>
      <c r="H3" s="15"/>
      <c r="J3" t="s">
        <v>28</v>
      </c>
      <c r="L3" t="s">
        <v>29</v>
      </c>
      <c r="M3" s="2">
        <f>SUM(G4:G12)</f>
        <v>696.94444444444446</v>
      </c>
      <c r="O3">
        <f>M5*'Стоимость труда'!C4</f>
        <v>1396311.7632201733</v>
      </c>
    </row>
    <row r="4" spans="2:15">
      <c r="B4" s="17">
        <v>1</v>
      </c>
      <c r="C4" s="17" t="s">
        <v>10</v>
      </c>
      <c r="D4" s="23">
        <v>20</v>
      </c>
      <c r="E4" s="2">
        <f>(F4-D4)/3+D4</f>
        <v>25</v>
      </c>
      <c r="F4" s="23">
        <v>35</v>
      </c>
      <c r="G4" s="2">
        <f>(F4+4*E4+D4)/6</f>
        <v>25.833333333333332</v>
      </c>
      <c r="H4" s="2">
        <f>(F4-D4)/6</f>
        <v>2.5</v>
      </c>
      <c r="I4" s="2"/>
      <c r="J4" s="2">
        <f>POWER(H4,2)</f>
        <v>6.25</v>
      </c>
      <c r="L4" t="s">
        <v>30</v>
      </c>
      <c r="M4" s="2">
        <f>SQRT(SUM(J4:J12))</f>
        <v>23.877581303157335</v>
      </c>
    </row>
    <row r="5" spans="2:15">
      <c r="B5" s="3">
        <v>2</v>
      </c>
      <c r="C5" s="3" t="s">
        <v>11</v>
      </c>
      <c r="D5" s="24">
        <v>50</v>
      </c>
      <c r="E5" s="2">
        <f t="shared" ref="E5:E11" si="0">(F5-D5)/3+D5</f>
        <v>73.333333333333329</v>
      </c>
      <c r="F5" s="24">
        <v>120</v>
      </c>
      <c r="G5" s="2">
        <f t="shared" ref="G5:G11" si="1">(F5+4*E5+D5)/6</f>
        <v>77.222222222222214</v>
      </c>
      <c r="H5" s="2">
        <f t="shared" ref="H5:H11" si="2">(F5-D5)/6</f>
        <v>11.666666666666666</v>
      </c>
      <c r="I5" s="2"/>
      <c r="J5" s="2">
        <f t="shared" ref="J5:J11" si="3">POWER(H5,2)</f>
        <v>136.11111111111109</v>
      </c>
      <c r="L5" t="s">
        <v>31</v>
      </c>
      <c r="M5" s="2">
        <f>M3+2*M4</f>
        <v>744.69960705075914</v>
      </c>
    </row>
    <row r="6" spans="2:15">
      <c r="B6" s="17">
        <v>3</v>
      </c>
      <c r="C6" s="3" t="s">
        <v>12</v>
      </c>
      <c r="D6" s="24">
        <v>30</v>
      </c>
      <c r="E6" s="2">
        <f t="shared" si="0"/>
        <v>36.666666666666664</v>
      </c>
      <c r="F6" s="24">
        <v>50</v>
      </c>
      <c r="G6" s="2">
        <f t="shared" si="1"/>
        <v>37.777777777777779</v>
      </c>
      <c r="H6" s="2">
        <f t="shared" si="2"/>
        <v>3.3333333333333335</v>
      </c>
      <c r="I6" s="2"/>
      <c r="J6" s="2">
        <f t="shared" si="3"/>
        <v>11.111111111111112</v>
      </c>
    </row>
    <row r="7" spans="2:15">
      <c r="B7" s="3">
        <v>4</v>
      </c>
      <c r="C7" s="3" t="s">
        <v>13</v>
      </c>
      <c r="D7" s="24">
        <v>80</v>
      </c>
      <c r="E7" s="2">
        <f t="shared" si="0"/>
        <v>103.33333333333333</v>
      </c>
      <c r="F7" s="24">
        <v>150</v>
      </c>
      <c r="G7" s="2">
        <f t="shared" si="1"/>
        <v>107.22222222222221</v>
      </c>
      <c r="H7" s="2">
        <f t="shared" si="2"/>
        <v>11.666666666666666</v>
      </c>
      <c r="I7" s="2"/>
      <c r="J7" s="2">
        <f t="shared" si="3"/>
        <v>136.11111111111109</v>
      </c>
    </row>
    <row r="8" spans="2:15">
      <c r="B8" s="17">
        <v>5</v>
      </c>
      <c r="C8" s="3" t="s">
        <v>14</v>
      </c>
      <c r="D8" s="24">
        <v>150</v>
      </c>
      <c r="E8" s="2">
        <f t="shared" si="0"/>
        <v>166.66666666666666</v>
      </c>
      <c r="F8" s="24">
        <v>200</v>
      </c>
      <c r="G8" s="2">
        <f t="shared" si="1"/>
        <v>169.44444444444443</v>
      </c>
      <c r="H8" s="2">
        <f t="shared" si="2"/>
        <v>8.3333333333333339</v>
      </c>
      <c r="I8" s="2"/>
      <c r="J8" s="2">
        <f t="shared" si="3"/>
        <v>69.444444444444457</v>
      </c>
    </row>
    <row r="9" spans="2:15">
      <c r="B9" s="3">
        <v>6</v>
      </c>
      <c r="C9" s="3" t="s">
        <v>15</v>
      </c>
      <c r="D9" s="24">
        <v>80</v>
      </c>
      <c r="E9" s="2">
        <f t="shared" si="0"/>
        <v>103.33333333333333</v>
      </c>
      <c r="F9" s="24">
        <v>150</v>
      </c>
      <c r="G9" s="2">
        <f t="shared" si="1"/>
        <v>107.22222222222221</v>
      </c>
      <c r="H9" s="2">
        <f t="shared" si="2"/>
        <v>11.666666666666666</v>
      </c>
      <c r="I9" s="2"/>
      <c r="J9" s="2">
        <f t="shared" si="3"/>
        <v>136.11111111111109</v>
      </c>
    </row>
    <row r="10" spans="2:15">
      <c r="B10" s="17">
        <v>7</v>
      </c>
      <c r="C10" s="3" t="s">
        <v>16</v>
      </c>
      <c r="D10" s="24">
        <v>25</v>
      </c>
      <c r="E10" s="2">
        <f t="shared" si="0"/>
        <v>28.333333333333332</v>
      </c>
      <c r="F10" s="24">
        <v>35</v>
      </c>
      <c r="G10" s="2">
        <f t="shared" si="1"/>
        <v>28.888888888888886</v>
      </c>
      <c r="H10" s="2">
        <f t="shared" si="2"/>
        <v>1.6666666666666667</v>
      </c>
      <c r="I10" s="2"/>
      <c r="J10" s="2">
        <f t="shared" si="3"/>
        <v>2.7777777777777781</v>
      </c>
    </row>
    <row r="11" spans="2:15">
      <c r="B11" s="3">
        <v>8</v>
      </c>
      <c r="C11" s="3" t="s">
        <v>17</v>
      </c>
      <c r="D11" s="24">
        <v>20</v>
      </c>
      <c r="E11" s="2">
        <f>(F11-D11)/3+D11</f>
        <v>23.333333333333332</v>
      </c>
      <c r="F11" s="24">
        <v>30</v>
      </c>
      <c r="G11" s="2">
        <f>(F11+4*E11+D11)/6</f>
        <v>23.888888888888886</v>
      </c>
      <c r="H11" s="2">
        <f>(F11-D11)/6</f>
        <v>1.6666666666666667</v>
      </c>
      <c r="I11" s="2"/>
      <c r="J11" s="2">
        <f>POWER(H11,2)</f>
        <v>2.7777777777777781</v>
      </c>
    </row>
    <row r="12" spans="2:15">
      <c r="B12" s="17">
        <v>9</v>
      </c>
      <c r="C12" s="3" t="s">
        <v>18</v>
      </c>
      <c r="D12" s="24">
        <v>100</v>
      </c>
      <c r="E12" s="2">
        <f>(F12-D12)/3+D12</f>
        <v>116.66666666666667</v>
      </c>
      <c r="F12" s="24">
        <v>150</v>
      </c>
      <c r="G12" s="2">
        <f>(F12+4*E12+D12)/6</f>
        <v>119.44444444444446</v>
      </c>
      <c r="H12" s="2">
        <f>(F12-D12)/6</f>
        <v>8.3333333333333339</v>
      </c>
      <c r="J12" s="2">
        <f>POWER(H12,2)</f>
        <v>69.444444444444457</v>
      </c>
    </row>
  </sheetData>
  <mergeCells count="4">
    <mergeCell ref="B2:B3"/>
    <mergeCell ref="C2:C3"/>
    <mergeCell ref="D2:G2"/>
    <mergeCell ref="H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D81B3-54B0-4C27-9096-A89BF2DD1502}">
  <dimension ref="B5:O107"/>
  <sheetViews>
    <sheetView topLeftCell="A4" workbookViewId="0">
      <selection activeCell="I38" sqref="I38"/>
    </sheetView>
  </sheetViews>
  <sheetFormatPr defaultRowHeight="15"/>
  <cols>
    <col min="2" max="2" width="31" bestFit="1" customWidth="1"/>
    <col min="5" max="5" width="10.28515625" bestFit="1" customWidth="1"/>
    <col min="6" max="6" width="11" customWidth="1"/>
    <col min="8" max="8" width="17.5703125" bestFit="1" customWidth="1"/>
    <col min="14" max="14" width="24.28515625" bestFit="1" customWidth="1"/>
  </cols>
  <sheetData>
    <row r="5" spans="2:15">
      <c r="B5" s="10" t="s">
        <v>32</v>
      </c>
      <c r="C5" s="10" t="s">
        <v>33</v>
      </c>
      <c r="D5" s="10" t="s">
        <v>34</v>
      </c>
      <c r="E5" s="10" t="s">
        <v>35</v>
      </c>
      <c r="F5" s="10" t="s">
        <v>36</v>
      </c>
    </row>
    <row r="6" spans="2:15">
      <c r="B6" s="10" t="s">
        <v>37</v>
      </c>
      <c r="C6" s="10">
        <v>19</v>
      </c>
      <c r="D6" s="10">
        <v>6</v>
      </c>
      <c r="E6" s="10" t="s">
        <v>38</v>
      </c>
      <c r="F6" s="10">
        <v>10</v>
      </c>
    </row>
    <row r="7" spans="2:15">
      <c r="B7" s="10" t="s">
        <v>39</v>
      </c>
      <c r="C7" s="10">
        <v>7</v>
      </c>
      <c r="D7" s="10">
        <v>1</v>
      </c>
      <c r="E7" s="10" t="s">
        <v>40</v>
      </c>
      <c r="F7" s="10">
        <v>7</v>
      </c>
    </row>
    <row r="8" spans="2:15">
      <c r="B8" s="10" t="s">
        <v>41</v>
      </c>
      <c r="C8" s="10">
        <v>10</v>
      </c>
      <c r="D8" s="10">
        <v>1</v>
      </c>
      <c r="E8" s="10" t="s">
        <v>40</v>
      </c>
      <c r="F8" s="10">
        <v>7</v>
      </c>
    </row>
    <row r="9" spans="2:15">
      <c r="B9" s="10" t="s">
        <v>42</v>
      </c>
      <c r="C9" s="10">
        <v>18</v>
      </c>
      <c r="D9" s="10">
        <v>3</v>
      </c>
      <c r="E9" s="10" t="s">
        <v>40</v>
      </c>
      <c r="F9" s="10">
        <v>7</v>
      </c>
    </row>
    <row r="10" spans="2:15">
      <c r="B10" s="10" t="s">
        <v>43</v>
      </c>
      <c r="C10" s="10">
        <v>15</v>
      </c>
      <c r="D10" s="10">
        <v>3</v>
      </c>
      <c r="E10" s="10" t="s">
        <v>40</v>
      </c>
      <c r="F10" s="10">
        <v>7</v>
      </c>
      <c r="O10" t="s">
        <v>44</v>
      </c>
    </row>
    <row r="11" spans="2:15">
      <c r="B11" s="10" t="s">
        <v>45</v>
      </c>
      <c r="C11" s="10">
        <v>8</v>
      </c>
      <c r="D11" s="10">
        <v>1</v>
      </c>
      <c r="E11" s="10" t="s">
        <v>40</v>
      </c>
      <c r="F11" s="10">
        <v>7</v>
      </c>
      <c r="O11" t="s">
        <v>46</v>
      </c>
    </row>
    <row r="12" spans="2:15">
      <c r="B12" s="10" t="s">
        <v>47</v>
      </c>
      <c r="C12" s="10">
        <v>4</v>
      </c>
      <c r="D12" s="10">
        <v>1</v>
      </c>
      <c r="E12" s="10" t="s">
        <v>40</v>
      </c>
      <c r="F12" s="10">
        <v>7</v>
      </c>
      <c r="O12" t="s">
        <v>48</v>
      </c>
    </row>
    <row r="13" spans="2:15">
      <c r="B13" s="10" t="s">
        <v>49</v>
      </c>
      <c r="C13" s="10">
        <v>4</v>
      </c>
      <c r="D13" s="10">
        <v>1</v>
      </c>
      <c r="E13" s="10" t="s">
        <v>40</v>
      </c>
      <c r="F13" s="10">
        <v>7</v>
      </c>
      <c r="O13" t="s">
        <v>50</v>
      </c>
    </row>
    <row r="14" spans="2:15">
      <c r="B14" s="10" t="s">
        <v>51</v>
      </c>
      <c r="C14" s="10">
        <v>11</v>
      </c>
      <c r="D14" s="10">
        <v>4</v>
      </c>
      <c r="E14" s="10" t="s">
        <v>40</v>
      </c>
      <c r="F14" s="10">
        <v>7</v>
      </c>
      <c r="O14" t="s">
        <v>52</v>
      </c>
    </row>
    <row r="15" spans="2:15">
      <c r="B15" s="10"/>
      <c r="C15" s="10"/>
      <c r="D15" s="10"/>
      <c r="E15" s="10" t="s">
        <v>19</v>
      </c>
      <c r="F15" s="10">
        <f>SUM(F6:F14)</f>
        <v>66</v>
      </c>
      <c r="O15" t="s">
        <v>53</v>
      </c>
    </row>
    <row r="16" spans="2:15">
      <c r="B16" s="11"/>
    </row>
    <row r="17" spans="2:14">
      <c r="B17" s="10" t="s">
        <v>54</v>
      </c>
      <c r="C17" s="10" t="s">
        <v>55</v>
      </c>
      <c r="D17" s="10" t="s">
        <v>33</v>
      </c>
      <c r="E17" s="10" t="s">
        <v>56</v>
      </c>
      <c r="F17" s="10" t="s">
        <v>35</v>
      </c>
      <c r="G17" s="10" t="s">
        <v>36</v>
      </c>
    </row>
    <row r="18" spans="2:14">
      <c r="B18" s="10" t="s">
        <v>57</v>
      </c>
      <c r="C18" s="10" t="s">
        <v>58</v>
      </c>
      <c r="D18" s="10">
        <v>2</v>
      </c>
      <c r="E18" s="10">
        <v>1</v>
      </c>
      <c r="F18" s="10" t="s">
        <v>40</v>
      </c>
      <c r="G18" s="10">
        <v>3</v>
      </c>
    </row>
    <row r="19" spans="2:14">
      <c r="B19" s="10" t="s">
        <v>59</v>
      </c>
      <c r="C19" s="10" t="s">
        <v>58</v>
      </c>
      <c r="D19" s="10">
        <v>3</v>
      </c>
      <c r="E19" s="10">
        <v>1</v>
      </c>
      <c r="F19" s="10" t="s">
        <v>40</v>
      </c>
      <c r="G19" s="10">
        <v>3</v>
      </c>
    </row>
    <row r="20" spans="2:14">
      <c r="B20" s="10" t="s">
        <v>60</v>
      </c>
      <c r="C20" s="10" t="s">
        <v>58</v>
      </c>
      <c r="D20" s="10">
        <v>2</v>
      </c>
      <c r="E20" s="10">
        <v>1</v>
      </c>
      <c r="F20" s="10" t="s">
        <v>40</v>
      </c>
      <c r="G20" s="10">
        <v>3</v>
      </c>
    </row>
    <row r="21" spans="2:14">
      <c r="B21" s="10" t="s">
        <v>61</v>
      </c>
      <c r="C21" s="10" t="s">
        <v>58</v>
      </c>
      <c r="D21" s="10">
        <v>1</v>
      </c>
      <c r="E21" s="10">
        <v>1</v>
      </c>
      <c r="F21" s="10" t="s">
        <v>40</v>
      </c>
      <c r="G21" s="10">
        <v>3</v>
      </c>
      <c r="M21" s="4" t="s">
        <v>37</v>
      </c>
      <c r="N21" s="5" t="s">
        <v>62</v>
      </c>
    </row>
    <row r="22" spans="2:14">
      <c r="B22" s="10" t="s">
        <v>63</v>
      </c>
      <c r="C22" s="10" t="s">
        <v>58</v>
      </c>
      <c r="D22" s="10">
        <v>1</v>
      </c>
      <c r="E22" s="10">
        <v>1</v>
      </c>
      <c r="F22" s="10" t="s">
        <v>40</v>
      </c>
      <c r="G22" s="10">
        <v>3</v>
      </c>
      <c r="M22" s="6"/>
      <c r="N22" s="7" t="s">
        <v>64</v>
      </c>
    </row>
    <row r="23" spans="2:14">
      <c r="B23" s="10" t="s">
        <v>65</v>
      </c>
      <c r="C23" s="10" t="s">
        <v>58</v>
      </c>
      <c r="D23" s="10">
        <v>8</v>
      </c>
      <c r="E23" s="10">
        <v>1</v>
      </c>
      <c r="F23" s="10" t="s">
        <v>40</v>
      </c>
      <c r="G23" s="10">
        <v>3</v>
      </c>
      <c r="M23" s="6"/>
      <c r="N23" s="7" t="s">
        <v>66</v>
      </c>
    </row>
    <row r="24" spans="2:14">
      <c r="B24" s="10" t="s">
        <v>67</v>
      </c>
      <c r="C24" s="10" t="s">
        <v>58</v>
      </c>
      <c r="D24" s="10">
        <v>6</v>
      </c>
      <c r="E24" s="10">
        <v>1</v>
      </c>
      <c r="F24" s="10" t="s">
        <v>40</v>
      </c>
      <c r="G24" s="10">
        <v>3</v>
      </c>
      <c r="M24" s="6" t="s">
        <v>68</v>
      </c>
      <c r="N24" s="7" t="s">
        <v>69</v>
      </c>
    </row>
    <row r="25" spans="2:14">
      <c r="B25" s="10" t="s">
        <v>70</v>
      </c>
      <c r="C25" s="10" t="s">
        <v>58</v>
      </c>
      <c r="D25" s="10">
        <v>1</v>
      </c>
      <c r="E25" s="10">
        <v>1</v>
      </c>
      <c r="F25" s="10" t="s">
        <v>40</v>
      </c>
      <c r="G25" s="10">
        <v>3</v>
      </c>
      <c r="M25" s="6"/>
      <c r="N25" s="7" t="s">
        <v>71</v>
      </c>
    </row>
    <row r="26" spans="2:14">
      <c r="B26" s="10" t="s">
        <v>72</v>
      </c>
      <c r="C26" s="10" t="s">
        <v>58</v>
      </c>
      <c r="D26" s="10">
        <v>2</v>
      </c>
      <c r="E26" s="10">
        <v>1</v>
      </c>
      <c r="F26" s="10" t="s">
        <v>40</v>
      </c>
      <c r="G26" s="10">
        <v>3</v>
      </c>
      <c r="M26" s="6"/>
      <c r="N26" s="7" t="s">
        <v>73</v>
      </c>
    </row>
    <row r="27" spans="2:14">
      <c r="B27" s="10" t="s">
        <v>74</v>
      </c>
      <c r="C27" s="10" t="s">
        <v>58</v>
      </c>
      <c r="D27" s="10">
        <v>4</v>
      </c>
      <c r="E27" s="10">
        <v>1</v>
      </c>
      <c r="F27" s="10" t="s">
        <v>40</v>
      </c>
      <c r="G27" s="10">
        <v>3</v>
      </c>
      <c r="M27" s="6"/>
      <c r="N27" s="7" t="s">
        <v>75</v>
      </c>
    </row>
    <row r="28" spans="2:14">
      <c r="B28" s="10" t="s">
        <v>76</v>
      </c>
      <c r="C28" s="10" t="s">
        <v>58</v>
      </c>
      <c r="D28" s="10">
        <v>6</v>
      </c>
      <c r="E28" s="10">
        <v>1</v>
      </c>
      <c r="F28" s="10" t="s">
        <v>40</v>
      </c>
      <c r="G28" s="10">
        <v>3</v>
      </c>
      <c r="M28" s="6"/>
      <c r="N28" s="7" t="s">
        <v>77</v>
      </c>
    </row>
    <row r="29" spans="2:14">
      <c r="B29" s="10" t="s">
        <v>78</v>
      </c>
      <c r="C29" s="10" t="s">
        <v>58</v>
      </c>
      <c r="D29" s="10">
        <v>1</v>
      </c>
      <c r="E29" s="10">
        <v>1</v>
      </c>
      <c r="F29" s="10" t="s">
        <v>40</v>
      </c>
      <c r="G29" s="10">
        <v>3</v>
      </c>
      <c r="M29" s="6" t="s">
        <v>79</v>
      </c>
      <c r="N29" s="7" t="s">
        <v>80</v>
      </c>
    </row>
    <row r="30" spans="2:14">
      <c r="B30" s="10" t="s">
        <v>81</v>
      </c>
      <c r="C30" s="10" t="s">
        <v>82</v>
      </c>
      <c r="D30" s="10">
        <v>7</v>
      </c>
      <c r="E30" s="10">
        <v>1</v>
      </c>
      <c r="F30" s="10" t="s">
        <v>40</v>
      </c>
      <c r="G30" s="10">
        <v>3</v>
      </c>
      <c r="M30" s="6"/>
      <c r="N30" s="7" t="s">
        <v>83</v>
      </c>
    </row>
    <row r="31" spans="2:14">
      <c r="B31" s="10" t="s">
        <v>84</v>
      </c>
      <c r="C31" s="10" t="s">
        <v>82</v>
      </c>
      <c r="D31" s="10">
        <v>7</v>
      </c>
      <c r="E31" s="10">
        <v>1</v>
      </c>
      <c r="F31" s="10" t="s">
        <v>40</v>
      </c>
      <c r="G31" s="10">
        <v>3</v>
      </c>
      <c r="M31" s="6"/>
      <c r="N31" s="7" t="s">
        <v>85</v>
      </c>
    </row>
    <row r="32" spans="2:14">
      <c r="B32" s="10" t="s">
        <v>86</v>
      </c>
      <c r="C32" s="10" t="s">
        <v>82</v>
      </c>
      <c r="D32" s="10">
        <v>1</v>
      </c>
      <c r="E32" s="10">
        <v>1</v>
      </c>
      <c r="F32" s="10" t="s">
        <v>40</v>
      </c>
      <c r="G32" s="10">
        <v>3</v>
      </c>
      <c r="M32" s="6"/>
      <c r="N32" s="7" t="s">
        <v>87</v>
      </c>
    </row>
    <row r="33" spans="2:14">
      <c r="B33" s="10" t="s">
        <v>88</v>
      </c>
      <c r="C33" s="10" t="s">
        <v>82</v>
      </c>
      <c r="D33" s="10">
        <v>1</v>
      </c>
      <c r="E33" s="10">
        <v>1</v>
      </c>
      <c r="F33" s="10" t="s">
        <v>40</v>
      </c>
      <c r="G33" s="10">
        <v>3</v>
      </c>
      <c r="M33" s="6"/>
      <c r="N33" s="7" t="s">
        <v>89</v>
      </c>
    </row>
    <row r="34" spans="2:14">
      <c r="B34" s="10" t="s">
        <v>90</v>
      </c>
      <c r="C34" s="10" t="s">
        <v>82</v>
      </c>
      <c r="D34" s="10">
        <v>1</v>
      </c>
      <c r="E34" s="10">
        <v>1</v>
      </c>
      <c r="F34" s="10" t="s">
        <v>40</v>
      </c>
      <c r="G34" s="10">
        <v>3</v>
      </c>
      <c r="M34" s="6" t="s">
        <v>91</v>
      </c>
      <c r="N34" s="7" t="s">
        <v>91</v>
      </c>
    </row>
    <row r="35" spans="2:14">
      <c r="B35" s="10" t="s">
        <v>92</v>
      </c>
      <c r="C35" s="10" t="s">
        <v>58</v>
      </c>
      <c r="D35" s="10" t="s">
        <v>93</v>
      </c>
      <c r="E35" s="10">
        <v>1</v>
      </c>
      <c r="F35" s="10" t="s">
        <v>38</v>
      </c>
      <c r="G35" s="10">
        <v>4</v>
      </c>
      <c r="M35" s="6"/>
      <c r="N35" s="7" t="s">
        <v>46</v>
      </c>
    </row>
    <row r="36" spans="2:14">
      <c r="B36" s="10" t="s">
        <v>94</v>
      </c>
      <c r="C36" s="10" t="s">
        <v>58</v>
      </c>
      <c r="D36" s="10">
        <v>3</v>
      </c>
      <c r="E36" s="10">
        <v>1</v>
      </c>
      <c r="F36" s="10" t="s">
        <v>40</v>
      </c>
      <c r="G36" s="10">
        <v>3</v>
      </c>
      <c r="M36" s="6" t="s">
        <v>95</v>
      </c>
      <c r="N36" s="7" t="s">
        <v>73</v>
      </c>
    </row>
    <row r="37" spans="2:14">
      <c r="B37" s="10" t="s">
        <v>96</v>
      </c>
      <c r="C37" s="10" t="s">
        <v>58</v>
      </c>
      <c r="D37" s="10">
        <v>3</v>
      </c>
      <c r="E37" s="10">
        <v>1</v>
      </c>
      <c r="F37" s="10" t="s">
        <v>40</v>
      </c>
      <c r="G37" s="10">
        <v>3</v>
      </c>
      <c r="M37" s="6"/>
      <c r="N37" s="7" t="s">
        <v>46</v>
      </c>
    </row>
    <row r="38" spans="2:14">
      <c r="B38" s="10" t="s">
        <v>97</v>
      </c>
      <c r="C38" s="10" t="s">
        <v>58</v>
      </c>
      <c r="D38" s="10">
        <v>1</v>
      </c>
      <c r="E38" s="10">
        <v>1</v>
      </c>
      <c r="F38" s="10" t="s">
        <v>40</v>
      </c>
      <c r="G38" s="10">
        <v>3</v>
      </c>
      <c r="M38" s="6" t="s">
        <v>98</v>
      </c>
      <c r="N38" s="7" t="s">
        <v>73</v>
      </c>
    </row>
    <row r="39" spans="2:14">
      <c r="B39" s="10" t="s">
        <v>99</v>
      </c>
      <c r="C39" s="10" t="s">
        <v>58</v>
      </c>
      <c r="D39" s="10">
        <v>3</v>
      </c>
      <c r="E39" s="10">
        <v>1</v>
      </c>
      <c r="F39" s="10" t="s">
        <v>40</v>
      </c>
      <c r="G39" s="10">
        <v>3</v>
      </c>
    </row>
    <row r="40" spans="2:14">
      <c r="B40" s="10" t="s">
        <v>100</v>
      </c>
      <c r="C40" s="10" t="s">
        <v>58</v>
      </c>
      <c r="D40" s="10">
        <v>5</v>
      </c>
      <c r="E40" s="10">
        <v>1</v>
      </c>
      <c r="F40" s="10" t="s">
        <v>40</v>
      </c>
      <c r="G40" s="10">
        <v>3</v>
      </c>
    </row>
    <row r="41" spans="2:14">
      <c r="B41" s="10" t="s">
        <v>101</v>
      </c>
      <c r="C41" s="10" t="s">
        <v>58</v>
      </c>
      <c r="D41" s="10">
        <v>4</v>
      </c>
      <c r="E41" s="10">
        <v>1</v>
      </c>
      <c r="F41" s="10" t="s">
        <v>40</v>
      </c>
      <c r="G41" s="10">
        <v>3</v>
      </c>
      <c r="M41" s="4" t="s">
        <v>102</v>
      </c>
      <c r="N41" s="5" t="s">
        <v>103</v>
      </c>
    </row>
    <row r="42" spans="2:14">
      <c r="B42" s="16" t="s">
        <v>104</v>
      </c>
      <c r="C42" s="16" t="s">
        <v>58</v>
      </c>
      <c r="D42" s="16">
        <v>4</v>
      </c>
      <c r="E42" s="16">
        <v>2</v>
      </c>
      <c r="F42" s="10" t="s">
        <v>40</v>
      </c>
      <c r="G42" s="10">
        <v>3</v>
      </c>
      <c r="M42" s="6"/>
      <c r="N42" s="7" t="s">
        <v>105</v>
      </c>
    </row>
    <row r="43" spans="2:14">
      <c r="B43" s="10" t="s">
        <v>106</v>
      </c>
      <c r="C43" s="10" t="s">
        <v>58</v>
      </c>
      <c r="D43" s="10">
        <v>11</v>
      </c>
      <c r="E43" s="10">
        <v>1</v>
      </c>
      <c r="F43" s="10" t="s">
        <v>40</v>
      </c>
      <c r="G43" s="10">
        <v>3</v>
      </c>
      <c r="M43" s="6"/>
      <c r="N43" s="7" t="s">
        <v>107</v>
      </c>
    </row>
    <row r="44" spans="2:14">
      <c r="B44" s="10" t="s">
        <v>108</v>
      </c>
      <c r="C44" s="10" t="s">
        <v>58</v>
      </c>
      <c r="D44" s="10">
        <v>16</v>
      </c>
      <c r="E44" s="10">
        <v>1</v>
      </c>
      <c r="F44" s="10" t="s">
        <v>38</v>
      </c>
      <c r="G44" s="10">
        <v>4</v>
      </c>
      <c r="M44" s="6"/>
      <c r="N44" s="7" t="s">
        <v>109</v>
      </c>
    </row>
    <row r="45" spans="2:14">
      <c r="B45" s="10" t="s">
        <v>110</v>
      </c>
      <c r="C45" s="10" t="s">
        <v>58</v>
      </c>
      <c r="D45" s="10">
        <v>5</v>
      </c>
      <c r="E45" s="10">
        <v>1</v>
      </c>
      <c r="F45" s="10" t="s">
        <v>40</v>
      </c>
      <c r="G45" s="10">
        <v>3</v>
      </c>
      <c r="M45" s="6"/>
      <c r="N45" s="7" t="s">
        <v>111</v>
      </c>
    </row>
    <row r="46" spans="2:14">
      <c r="B46" s="10"/>
      <c r="C46" s="10"/>
      <c r="D46" s="10"/>
      <c r="E46" s="10"/>
      <c r="F46" s="12" t="s">
        <v>19</v>
      </c>
      <c r="G46" s="10">
        <f>SUM(G18:G45)</f>
        <v>86</v>
      </c>
      <c r="M46" s="6"/>
      <c r="N46" s="7" t="s">
        <v>112</v>
      </c>
    </row>
    <row r="47" spans="2:14">
      <c r="B47" s="10" t="s">
        <v>21</v>
      </c>
      <c r="C47" s="10" t="s">
        <v>22</v>
      </c>
      <c r="M47" s="8"/>
      <c r="N47" s="9" t="s">
        <v>113</v>
      </c>
    </row>
    <row r="48" spans="2:14">
      <c r="B48" s="17" t="s">
        <v>114</v>
      </c>
      <c r="C48" s="10">
        <v>5</v>
      </c>
      <c r="M48" s="4" t="s">
        <v>103</v>
      </c>
      <c r="N48" s="5"/>
    </row>
    <row r="49" spans="2:14" ht="30">
      <c r="B49" s="17" t="s">
        <v>115</v>
      </c>
      <c r="C49" s="10">
        <v>5</v>
      </c>
      <c r="M49" s="6"/>
      <c r="N49" s="7" t="s">
        <v>19</v>
      </c>
    </row>
    <row r="50" spans="2:14">
      <c r="B50" s="17" t="s">
        <v>116</v>
      </c>
      <c r="C50" s="10">
        <v>2</v>
      </c>
      <c r="M50" s="6"/>
      <c r="N50" s="7" t="s">
        <v>117</v>
      </c>
    </row>
    <row r="51" spans="2:14" ht="30">
      <c r="B51" s="17" t="s">
        <v>118</v>
      </c>
      <c r="C51" s="10">
        <v>3</v>
      </c>
      <c r="M51" s="6"/>
      <c r="N51" s="7" t="s">
        <v>119</v>
      </c>
    </row>
    <row r="52" spans="2:14">
      <c r="B52" s="17" t="s">
        <v>120</v>
      </c>
      <c r="C52" s="10">
        <v>3</v>
      </c>
      <c r="M52" s="6"/>
      <c r="N52" s="7" t="s">
        <v>121</v>
      </c>
    </row>
    <row r="53" spans="2:14" ht="30">
      <c r="B53" s="17" t="s">
        <v>122</v>
      </c>
      <c r="C53" s="10">
        <v>4</v>
      </c>
      <c r="M53" s="6"/>
      <c r="N53" s="7" t="s">
        <v>123</v>
      </c>
    </row>
    <row r="54" spans="2:14">
      <c r="B54" s="17" t="s">
        <v>124</v>
      </c>
      <c r="C54" s="10">
        <v>1</v>
      </c>
      <c r="M54" s="6"/>
      <c r="N54" s="7" t="s">
        <v>125</v>
      </c>
    </row>
    <row r="55" spans="2:14" ht="30">
      <c r="B55" s="17" t="s">
        <v>126</v>
      </c>
      <c r="C55" s="10">
        <v>1</v>
      </c>
      <c r="M55" s="6"/>
      <c r="N55" s="7" t="s">
        <v>127</v>
      </c>
    </row>
    <row r="56" spans="2:14">
      <c r="B56" s="17" t="s">
        <v>128</v>
      </c>
      <c r="C56" s="10">
        <v>5</v>
      </c>
      <c r="M56" s="6"/>
      <c r="N56" s="7" t="s">
        <v>129</v>
      </c>
    </row>
    <row r="57" spans="2:14">
      <c r="B57" s="17" t="s">
        <v>130</v>
      </c>
      <c r="C57" s="10">
        <v>0</v>
      </c>
      <c r="M57" s="6"/>
      <c r="N57" s="7" t="s">
        <v>91</v>
      </c>
    </row>
    <row r="58" spans="2:14">
      <c r="B58" s="17" t="s">
        <v>131</v>
      </c>
      <c r="C58" s="10">
        <v>0</v>
      </c>
      <c r="M58" s="8"/>
      <c r="N58" s="9" t="s">
        <v>132</v>
      </c>
    </row>
    <row r="59" spans="2:14">
      <c r="B59" s="17" t="s">
        <v>133</v>
      </c>
      <c r="C59" s="10">
        <v>5</v>
      </c>
    </row>
    <row r="60" spans="2:14">
      <c r="B60" s="17" t="s">
        <v>134</v>
      </c>
      <c r="C60" s="10">
        <v>5</v>
      </c>
      <c r="M60" s="4" t="s">
        <v>11</v>
      </c>
      <c r="N60" s="5" t="s">
        <v>135</v>
      </c>
    </row>
    <row r="61" spans="2:14">
      <c r="B61" s="17" t="s">
        <v>136</v>
      </c>
      <c r="C61" s="10">
        <v>3</v>
      </c>
      <c r="M61" s="6"/>
      <c r="N61" s="7" t="s">
        <v>137</v>
      </c>
    </row>
    <row r="62" spans="2:14">
      <c r="B62" s="12" t="s">
        <v>19</v>
      </c>
      <c r="C62">
        <f>SUM(C48:C61)</f>
        <v>42</v>
      </c>
      <c r="M62" s="6"/>
      <c r="N62" s="7" t="s">
        <v>50</v>
      </c>
    </row>
    <row r="63" spans="2:14">
      <c r="B63" s="12" t="s">
        <v>138</v>
      </c>
      <c r="C63">
        <f>C62/100+0.65</f>
        <v>1.07</v>
      </c>
      <c r="M63" s="6"/>
      <c r="N63" s="7"/>
    </row>
    <row r="64" spans="2:14">
      <c r="M64" s="6" t="s">
        <v>139</v>
      </c>
      <c r="N64" s="7" t="s">
        <v>140</v>
      </c>
    </row>
    <row r="65" spans="2:14">
      <c r="B65" t="s">
        <v>141</v>
      </c>
      <c r="C65">
        <f>(G46+F15)*C63</f>
        <v>162.64000000000001</v>
      </c>
      <c r="M65" s="6"/>
      <c r="N65" s="7"/>
    </row>
    <row r="66" spans="2:14">
      <c r="M66" s="6" t="s">
        <v>142</v>
      </c>
      <c r="N66" s="7" t="s">
        <v>143</v>
      </c>
    </row>
    <row r="67" spans="2:14">
      <c r="M67" s="6"/>
      <c r="N67" s="7" t="s">
        <v>19</v>
      </c>
    </row>
    <row r="68" spans="2:14">
      <c r="M68" s="6"/>
      <c r="N68" s="7" t="s">
        <v>144</v>
      </c>
    </row>
    <row r="69" spans="2:14">
      <c r="M69" s="6"/>
      <c r="N69" s="7" t="s">
        <v>145</v>
      </c>
    </row>
    <row r="70" spans="2:14">
      <c r="M70" s="6"/>
      <c r="N70" s="7" t="s">
        <v>146</v>
      </c>
    </row>
    <row r="71" spans="2:14">
      <c r="M71" s="6"/>
      <c r="N71" s="7" t="s">
        <v>147</v>
      </c>
    </row>
    <row r="72" spans="2:14">
      <c r="M72" s="8"/>
      <c r="N72" s="9" t="s">
        <v>148</v>
      </c>
    </row>
    <row r="73" spans="2:14">
      <c r="M73" s="4" t="s">
        <v>149</v>
      </c>
      <c r="N73" s="5" t="s">
        <v>150</v>
      </c>
    </row>
    <row r="74" spans="2:14">
      <c r="M74" s="6"/>
      <c r="N74" s="7" t="s">
        <v>151</v>
      </c>
    </row>
    <row r="75" spans="2:14">
      <c r="M75" s="6"/>
      <c r="N75" s="7" t="s">
        <v>152</v>
      </c>
    </row>
    <row r="76" spans="2:14">
      <c r="M76" s="6"/>
      <c r="N76" s="7" t="s">
        <v>153</v>
      </c>
    </row>
    <row r="77" spans="2:14">
      <c r="M77" s="6"/>
      <c r="N77" s="7" t="s">
        <v>154</v>
      </c>
    </row>
    <row r="78" spans="2:14">
      <c r="M78" s="6"/>
      <c r="N78" s="7" t="s">
        <v>155</v>
      </c>
    </row>
    <row r="79" spans="2:14">
      <c r="M79" s="6"/>
      <c r="N79" s="7" t="s">
        <v>156</v>
      </c>
    </row>
    <row r="80" spans="2:14">
      <c r="M80" s="6" t="s">
        <v>157</v>
      </c>
      <c r="N80" s="7" t="s">
        <v>158</v>
      </c>
    </row>
    <row r="81" spans="13:14">
      <c r="M81" s="6"/>
      <c r="N81" s="7" t="s">
        <v>159</v>
      </c>
    </row>
    <row r="82" spans="13:14">
      <c r="M82" s="6"/>
      <c r="N82" s="7" t="s">
        <v>160</v>
      </c>
    </row>
    <row r="83" spans="13:14">
      <c r="M83" s="6"/>
      <c r="N83" s="7" t="s">
        <v>161</v>
      </c>
    </row>
    <row r="84" spans="13:14">
      <c r="M84" s="6"/>
      <c r="N84" s="7" t="s">
        <v>162</v>
      </c>
    </row>
    <row r="85" spans="13:14">
      <c r="M85" s="6" t="s">
        <v>148</v>
      </c>
      <c r="N85" s="7" t="s">
        <v>159</v>
      </c>
    </row>
    <row r="86" spans="13:14">
      <c r="M86" s="6"/>
      <c r="N86" s="7" t="s">
        <v>160</v>
      </c>
    </row>
    <row r="87" spans="13:14">
      <c r="M87" s="8"/>
      <c r="N87" s="9" t="s">
        <v>123</v>
      </c>
    </row>
    <row r="88" spans="13:14">
      <c r="M88" s="4" t="s">
        <v>163</v>
      </c>
      <c r="N88" s="5" t="s">
        <v>164</v>
      </c>
    </row>
    <row r="89" spans="13:14">
      <c r="M89" s="6"/>
      <c r="N89" s="7" t="s">
        <v>165</v>
      </c>
    </row>
    <row r="90" spans="13:14">
      <c r="M90" s="6"/>
      <c r="N90" s="7" t="s">
        <v>166</v>
      </c>
    </row>
    <row r="91" spans="13:14">
      <c r="M91" s="6"/>
      <c r="N91" s="7" t="s">
        <v>161</v>
      </c>
    </row>
    <row r="92" spans="13:14">
      <c r="M92" s="6"/>
      <c r="N92" s="7" t="s">
        <v>167</v>
      </c>
    </row>
    <row r="93" spans="13:14">
      <c r="M93" s="6"/>
      <c r="N93" s="7" t="s">
        <v>168</v>
      </c>
    </row>
    <row r="94" spans="13:14">
      <c r="M94" s="6"/>
      <c r="N94" s="7" t="s">
        <v>169</v>
      </c>
    </row>
    <row r="95" spans="13:14">
      <c r="M95" s="8"/>
      <c r="N95" s="9" t="s">
        <v>170</v>
      </c>
    </row>
    <row r="96" spans="13:14">
      <c r="M96" s="4" t="s">
        <v>171</v>
      </c>
      <c r="N96" s="5" t="s">
        <v>172</v>
      </c>
    </row>
    <row r="97" spans="13:14">
      <c r="M97" s="6"/>
      <c r="N97" s="7" t="s">
        <v>149</v>
      </c>
    </row>
    <row r="98" spans="13:14">
      <c r="M98" s="6"/>
      <c r="N98" s="7" t="s">
        <v>173</v>
      </c>
    </row>
    <row r="99" spans="13:14">
      <c r="M99" s="8"/>
      <c r="N99" s="9" t="s">
        <v>174</v>
      </c>
    </row>
    <row r="100" spans="13:14">
      <c r="M100" s="4" t="s">
        <v>17</v>
      </c>
      <c r="N100" s="5" t="s">
        <v>175</v>
      </c>
    </row>
    <row r="101" spans="13:14">
      <c r="M101" s="6"/>
      <c r="N101" s="7" t="s">
        <v>176</v>
      </c>
    </row>
    <row r="102" spans="13:14">
      <c r="M102" s="6"/>
      <c r="N102" s="7" t="s">
        <v>177</v>
      </c>
    </row>
    <row r="103" spans="13:14">
      <c r="M103" s="8"/>
      <c r="N103" s="9" t="s">
        <v>178</v>
      </c>
    </row>
    <row r="104" spans="13:14">
      <c r="M104" s="4" t="s">
        <v>18</v>
      </c>
      <c r="N104" s="5" t="s">
        <v>179</v>
      </c>
    </row>
    <row r="105" spans="13:14">
      <c r="M105" s="6"/>
      <c r="N105" s="7" t="s">
        <v>180</v>
      </c>
    </row>
    <row r="106" spans="13:14">
      <c r="M106" s="6"/>
      <c r="N106" s="7" t="s">
        <v>181</v>
      </c>
    </row>
    <row r="107" spans="13:14">
      <c r="M107" s="8"/>
      <c r="N107" s="9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35B5B-7E54-4009-A31A-ED0811E845CB}">
  <dimension ref="C3:P36"/>
  <sheetViews>
    <sheetView topLeftCell="A19" workbookViewId="0">
      <selection activeCell="C27" sqref="C27:G36"/>
    </sheetView>
  </sheetViews>
  <sheetFormatPr defaultRowHeight="15"/>
  <cols>
    <col min="3" max="3" width="4" bestFit="1" customWidth="1"/>
    <col min="4" max="4" width="39.140625" bestFit="1" customWidth="1"/>
  </cols>
  <sheetData>
    <row r="3" spans="3:16">
      <c r="D3" t="s">
        <v>183</v>
      </c>
      <c r="E3" t="s">
        <v>184</v>
      </c>
      <c r="F3" t="s">
        <v>185</v>
      </c>
      <c r="G3" t="s">
        <v>186</v>
      </c>
      <c r="I3" t="s">
        <v>187</v>
      </c>
      <c r="J3" t="s">
        <v>184</v>
      </c>
      <c r="K3" t="s">
        <v>185</v>
      </c>
      <c r="L3" t="s">
        <v>186</v>
      </c>
      <c r="P3" t="s">
        <v>188</v>
      </c>
    </row>
    <row r="4" spans="3:16">
      <c r="D4" t="s">
        <v>40</v>
      </c>
      <c r="E4">
        <f>COUNTIF('FPA IFPUG'!F19:F46,"Low")</f>
        <v>25</v>
      </c>
      <c r="F4">
        <v>5</v>
      </c>
      <c r="G4">
        <f>F4*E4</f>
        <v>125</v>
      </c>
      <c r="I4" t="s">
        <v>40</v>
      </c>
      <c r="J4">
        <v>1</v>
      </c>
      <c r="K4">
        <v>1</v>
      </c>
      <c r="L4">
        <f>K4*J4</f>
        <v>1</v>
      </c>
      <c r="P4" t="s">
        <v>189</v>
      </c>
    </row>
    <row r="5" spans="3:16">
      <c r="D5" t="s">
        <v>38</v>
      </c>
      <c r="E5">
        <f>COUNTIF('FPA IFPUG'!F18:F45,"Average")</f>
        <v>2</v>
      </c>
      <c r="F5">
        <v>10</v>
      </c>
      <c r="G5">
        <f t="shared" ref="G5" si="0">F5*E5</f>
        <v>20</v>
      </c>
      <c r="I5" t="s">
        <v>38</v>
      </c>
      <c r="J5">
        <v>1</v>
      </c>
      <c r="K5">
        <v>2</v>
      </c>
      <c r="L5">
        <f t="shared" ref="L5:L6" si="1">K5*J5</f>
        <v>2</v>
      </c>
      <c r="P5" t="s">
        <v>190</v>
      </c>
    </row>
    <row r="6" spans="3:16">
      <c r="D6" t="s">
        <v>191</v>
      </c>
      <c r="E6" cm="1">
        <f t="array" aca="1" ref="E6" ca="1">COUNTIF('FPA IFPUG'!F17:F44,High)</f>
        <v>0</v>
      </c>
      <c r="F6">
        <v>15</v>
      </c>
      <c r="G6">
        <f ca="1">F6*E6</f>
        <v>0</v>
      </c>
      <c r="I6" t="s">
        <v>191</v>
      </c>
      <c r="J6">
        <v>2</v>
      </c>
      <c r="K6">
        <v>3</v>
      </c>
      <c r="L6">
        <f t="shared" si="1"/>
        <v>6</v>
      </c>
      <c r="P6" t="s">
        <v>192</v>
      </c>
    </row>
    <row r="7" spans="3:16">
      <c r="F7" t="s">
        <v>19</v>
      </c>
      <c r="G7">
        <f ca="1">SUM(G4:G6)</f>
        <v>145</v>
      </c>
      <c r="K7" t="s">
        <v>19</v>
      </c>
      <c r="L7">
        <f>SUM(L4:L6)</f>
        <v>9</v>
      </c>
    </row>
    <row r="11" spans="3:16">
      <c r="C11" t="s">
        <v>193</v>
      </c>
      <c r="D11" t="s">
        <v>4</v>
      </c>
      <c r="E11" t="s">
        <v>194</v>
      </c>
      <c r="F11" t="s">
        <v>22</v>
      </c>
      <c r="G11" t="s">
        <v>186</v>
      </c>
      <c r="I11" t="s">
        <v>195</v>
      </c>
      <c r="J11">
        <f ca="1">(G7+L7)*G25*G36</f>
        <v>194.86774999999997</v>
      </c>
    </row>
    <row r="12" spans="3:16">
      <c r="C12" s="10" t="s">
        <v>196</v>
      </c>
      <c r="D12" s="13" t="s">
        <v>197</v>
      </c>
      <c r="E12" s="14">
        <v>2</v>
      </c>
      <c r="F12">
        <v>5</v>
      </c>
      <c r="G12">
        <f t="shared" ref="G12:G26" si="2">E12*F12</f>
        <v>10</v>
      </c>
    </row>
    <row r="13" spans="3:16" ht="25.15">
      <c r="C13" s="10" t="s">
        <v>198</v>
      </c>
      <c r="D13" s="13" t="s">
        <v>199</v>
      </c>
      <c r="E13" s="14">
        <v>1</v>
      </c>
      <c r="F13">
        <v>2</v>
      </c>
      <c r="G13">
        <f t="shared" si="2"/>
        <v>2</v>
      </c>
    </row>
    <row r="14" spans="3:16">
      <c r="C14" s="10" t="s">
        <v>200</v>
      </c>
      <c r="D14" s="13" t="s">
        <v>201</v>
      </c>
      <c r="E14" s="14">
        <v>1</v>
      </c>
      <c r="F14">
        <v>5</v>
      </c>
      <c r="G14">
        <f t="shared" si="2"/>
        <v>5</v>
      </c>
    </row>
    <row r="15" spans="3:16">
      <c r="C15" s="10" t="s">
        <v>202</v>
      </c>
      <c r="D15" s="13" t="s">
        <v>203</v>
      </c>
      <c r="E15" s="14">
        <v>1</v>
      </c>
      <c r="F15">
        <v>3</v>
      </c>
      <c r="G15">
        <f t="shared" si="2"/>
        <v>3</v>
      </c>
    </row>
    <row r="16" spans="3:16">
      <c r="C16" s="10" t="s">
        <v>204</v>
      </c>
      <c r="D16" s="13" t="s">
        <v>205</v>
      </c>
      <c r="E16" s="14">
        <v>1</v>
      </c>
      <c r="F16">
        <v>0</v>
      </c>
      <c r="G16">
        <f t="shared" si="2"/>
        <v>0</v>
      </c>
    </row>
    <row r="17" spans="3:7">
      <c r="C17" s="10" t="s">
        <v>206</v>
      </c>
      <c r="D17" s="13" t="s">
        <v>207</v>
      </c>
      <c r="E17" s="14">
        <v>0.5</v>
      </c>
      <c r="F17">
        <v>0</v>
      </c>
      <c r="G17">
        <f t="shared" si="2"/>
        <v>0</v>
      </c>
    </row>
    <row r="18" spans="3:7">
      <c r="C18" s="10" t="s">
        <v>208</v>
      </c>
      <c r="D18" s="13" t="s">
        <v>209</v>
      </c>
      <c r="E18" s="14">
        <v>0.5</v>
      </c>
      <c r="F18">
        <v>5</v>
      </c>
      <c r="G18">
        <f t="shared" si="2"/>
        <v>2.5</v>
      </c>
    </row>
    <row r="19" spans="3:7">
      <c r="C19" s="10" t="s">
        <v>210</v>
      </c>
      <c r="D19" s="13" t="s">
        <v>211</v>
      </c>
      <c r="E19" s="14">
        <v>2</v>
      </c>
      <c r="F19">
        <v>0</v>
      </c>
      <c r="G19">
        <f t="shared" si="2"/>
        <v>0</v>
      </c>
    </row>
    <row r="20" spans="3:7">
      <c r="C20" s="10" t="s">
        <v>212</v>
      </c>
      <c r="D20" s="13" t="s">
        <v>213</v>
      </c>
      <c r="E20" s="14">
        <v>1</v>
      </c>
      <c r="F20">
        <v>4</v>
      </c>
      <c r="G20">
        <f t="shared" si="2"/>
        <v>4</v>
      </c>
    </row>
    <row r="21" spans="3:7">
      <c r="C21" s="10" t="s">
        <v>214</v>
      </c>
      <c r="D21" s="13" t="s">
        <v>215</v>
      </c>
      <c r="E21" s="14">
        <v>1</v>
      </c>
      <c r="F21">
        <v>4</v>
      </c>
      <c r="G21">
        <f t="shared" si="2"/>
        <v>4</v>
      </c>
    </row>
    <row r="22" spans="3:7">
      <c r="C22" s="10" t="s">
        <v>216</v>
      </c>
      <c r="D22" s="13" t="s">
        <v>217</v>
      </c>
      <c r="E22" s="14">
        <v>1</v>
      </c>
      <c r="F22">
        <v>5</v>
      </c>
      <c r="G22">
        <f t="shared" si="2"/>
        <v>5</v>
      </c>
    </row>
    <row r="23" spans="3:7">
      <c r="C23" s="10" t="s">
        <v>218</v>
      </c>
      <c r="D23" s="13" t="s">
        <v>219</v>
      </c>
      <c r="E23" s="14">
        <v>1</v>
      </c>
      <c r="F23">
        <v>0</v>
      </c>
      <c r="G23">
        <f t="shared" si="2"/>
        <v>0</v>
      </c>
    </row>
    <row r="24" spans="3:7">
      <c r="C24" s="10" t="s">
        <v>220</v>
      </c>
      <c r="D24" s="13" t="s">
        <v>221</v>
      </c>
      <c r="E24" s="14">
        <v>1</v>
      </c>
      <c r="F24">
        <v>0</v>
      </c>
      <c r="G24">
        <f t="shared" si="2"/>
        <v>0</v>
      </c>
    </row>
    <row r="25" spans="3:7">
      <c r="C25" s="10"/>
      <c r="D25" s="10"/>
      <c r="F25" t="s">
        <v>19</v>
      </c>
      <c r="G25">
        <f>0.6+(SUM(G12:G24)/100)</f>
        <v>0.95499999999999996</v>
      </c>
    </row>
    <row r="27" spans="3:7">
      <c r="C27" t="s">
        <v>222</v>
      </c>
      <c r="D27" t="s">
        <v>4</v>
      </c>
      <c r="E27" t="s">
        <v>194</v>
      </c>
      <c r="F27" t="s">
        <v>22</v>
      </c>
    </row>
    <row r="28" spans="3:7" ht="25.15">
      <c r="C28" s="10" t="s">
        <v>223</v>
      </c>
      <c r="D28" s="13" t="s">
        <v>224</v>
      </c>
      <c r="E28" s="14">
        <v>1.5</v>
      </c>
      <c r="F28">
        <v>4</v>
      </c>
      <c r="G28">
        <f>E28*F28</f>
        <v>6</v>
      </c>
    </row>
    <row r="29" spans="3:7">
      <c r="C29" s="10" t="s">
        <v>225</v>
      </c>
      <c r="D29" s="13" t="s">
        <v>226</v>
      </c>
      <c r="E29" s="14">
        <v>0.5</v>
      </c>
      <c r="F29">
        <v>5</v>
      </c>
      <c r="G29">
        <f t="shared" ref="G29:G35" si="3">E29*F29</f>
        <v>2.5</v>
      </c>
    </row>
    <row r="30" spans="3:7">
      <c r="C30" s="10" t="s">
        <v>227</v>
      </c>
      <c r="D30" s="13" t="s">
        <v>228</v>
      </c>
      <c r="E30" s="14">
        <v>1</v>
      </c>
      <c r="F30">
        <v>5</v>
      </c>
      <c r="G30">
        <f t="shared" si="3"/>
        <v>5</v>
      </c>
    </row>
    <row r="31" spans="3:7">
      <c r="C31" s="10" t="s">
        <v>229</v>
      </c>
      <c r="D31" s="13" t="s">
        <v>230</v>
      </c>
      <c r="E31" s="14">
        <v>0.5</v>
      </c>
      <c r="F31">
        <v>3</v>
      </c>
      <c r="G31">
        <f t="shared" si="3"/>
        <v>1.5</v>
      </c>
    </row>
    <row r="32" spans="3:7">
      <c r="C32" s="10" t="s">
        <v>231</v>
      </c>
      <c r="D32" s="13" t="s">
        <v>232</v>
      </c>
      <c r="E32" s="14">
        <v>1</v>
      </c>
      <c r="F32">
        <v>2</v>
      </c>
      <c r="G32">
        <f t="shared" si="3"/>
        <v>2</v>
      </c>
    </row>
    <row r="33" spans="3:7">
      <c r="C33" s="10" t="s">
        <v>233</v>
      </c>
      <c r="D33" s="13" t="s">
        <v>234</v>
      </c>
      <c r="E33" s="14">
        <v>2</v>
      </c>
      <c r="F33">
        <v>5</v>
      </c>
      <c r="G33">
        <f t="shared" si="3"/>
        <v>10</v>
      </c>
    </row>
    <row r="34" spans="3:7">
      <c r="C34" s="10" t="s">
        <v>235</v>
      </c>
      <c r="D34" s="13" t="s">
        <v>236</v>
      </c>
      <c r="E34" s="14">
        <v>-1</v>
      </c>
      <c r="F34">
        <v>0</v>
      </c>
      <c r="G34">
        <f t="shared" si="3"/>
        <v>0</v>
      </c>
    </row>
    <row r="35" spans="3:7">
      <c r="C35" s="10" t="s">
        <v>237</v>
      </c>
      <c r="D35" s="13" t="s">
        <v>238</v>
      </c>
      <c r="E35" s="14">
        <v>-1</v>
      </c>
      <c r="F35">
        <v>2</v>
      </c>
      <c r="G35">
        <f t="shared" si="3"/>
        <v>-2</v>
      </c>
    </row>
    <row r="36" spans="3:7">
      <c r="F36" t="s">
        <v>19</v>
      </c>
      <c r="G36">
        <f>1.4-0.3*(SUM(G28:G35)/100)</f>
        <v>1.325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1C96-5550-429B-9704-A4EEF83776FB}">
  <dimension ref="C3:K28"/>
  <sheetViews>
    <sheetView tabSelected="1" workbookViewId="0">
      <selection activeCell="K6" sqref="K6"/>
    </sheetView>
  </sheetViews>
  <sheetFormatPr defaultRowHeight="15"/>
  <cols>
    <col min="3" max="3" width="19.5703125" bestFit="1" customWidth="1"/>
    <col min="5" max="5" width="3.28515625" bestFit="1" customWidth="1"/>
    <col min="7" max="7" width="54.7109375" bestFit="1" customWidth="1"/>
    <col min="9" max="9" width="9.140625" style="2"/>
  </cols>
  <sheetData>
    <row r="3" spans="3:11">
      <c r="C3" t="s">
        <v>239</v>
      </c>
      <c r="D3">
        <f>'FPA IFPUG'!G46+'FPA IFPUG'!F15</f>
        <v>152</v>
      </c>
      <c r="E3" t="s">
        <v>3</v>
      </c>
      <c r="F3" t="s">
        <v>240</v>
      </c>
      <c r="G3" t="s">
        <v>241</v>
      </c>
      <c r="H3" t="s">
        <v>242</v>
      </c>
      <c r="I3" s="2" t="s">
        <v>22</v>
      </c>
    </row>
    <row r="4" spans="3:11">
      <c r="C4" t="s">
        <v>243</v>
      </c>
      <c r="D4">
        <v>61</v>
      </c>
      <c r="E4">
        <v>1</v>
      </c>
      <c r="F4" t="s">
        <v>244</v>
      </c>
      <c r="G4" t="s">
        <v>245</v>
      </c>
      <c r="H4" t="s">
        <v>191</v>
      </c>
      <c r="I4" s="2">
        <v>2.48</v>
      </c>
    </row>
    <row r="5" spans="3:11">
      <c r="C5" t="s">
        <v>246</v>
      </c>
      <c r="D5">
        <f>D3*D4/1000</f>
        <v>9.2720000000000002</v>
      </c>
      <c r="E5">
        <v>2</v>
      </c>
      <c r="F5" t="s">
        <v>247</v>
      </c>
      <c r="G5" t="s">
        <v>248</v>
      </c>
      <c r="H5" t="s">
        <v>191</v>
      </c>
      <c r="I5" s="2">
        <v>2.0299999999999998</v>
      </c>
      <c r="K5">
        <f>6*(160)*1875</f>
        <v>1800000</v>
      </c>
    </row>
    <row r="6" spans="3:11">
      <c r="C6" t="s">
        <v>249</v>
      </c>
      <c r="D6">
        <v>2.94</v>
      </c>
      <c r="E6">
        <v>3</v>
      </c>
      <c r="F6" t="s">
        <v>250</v>
      </c>
      <c r="G6" t="s">
        <v>251</v>
      </c>
      <c r="H6" t="s">
        <v>191</v>
      </c>
      <c r="I6" s="2">
        <v>2.83</v>
      </c>
    </row>
    <row r="7" spans="3:11">
      <c r="C7" t="s">
        <v>252</v>
      </c>
      <c r="D7">
        <v>0.91</v>
      </c>
      <c r="E7">
        <v>4</v>
      </c>
      <c r="F7" t="s">
        <v>253</v>
      </c>
      <c r="G7" t="s">
        <v>254</v>
      </c>
      <c r="H7" t="s">
        <v>191</v>
      </c>
      <c r="I7" s="2">
        <v>2.19</v>
      </c>
    </row>
    <row r="8" spans="3:11">
      <c r="E8">
        <v>5</v>
      </c>
      <c r="F8" t="s">
        <v>255</v>
      </c>
      <c r="G8" t="s">
        <v>256</v>
      </c>
      <c r="H8" t="s">
        <v>257</v>
      </c>
      <c r="I8" s="2">
        <v>3.12</v>
      </c>
    </row>
    <row r="9" spans="3:11">
      <c r="C9" t="s">
        <v>258</v>
      </c>
      <c r="D9">
        <f>PRODUCT(I11:I17)</f>
        <v>0.40559400000000001</v>
      </c>
    </row>
    <row r="10" spans="3:11">
      <c r="C10" t="s">
        <v>259</v>
      </c>
      <c r="D10" s="2">
        <f>SUM(I4:I8)</f>
        <v>12.649999999999999</v>
      </c>
      <c r="E10" t="s">
        <v>3</v>
      </c>
      <c r="F10" t="s">
        <v>260</v>
      </c>
      <c r="G10" t="s">
        <v>241</v>
      </c>
      <c r="H10" t="s">
        <v>242</v>
      </c>
      <c r="I10" s="2" t="s">
        <v>22</v>
      </c>
    </row>
    <row r="11" spans="3:11">
      <c r="C11" t="s">
        <v>29</v>
      </c>
      <c r="D11">
        <f>0.91+0.01*D10</f>
        <v>1.0365</v>
      </c>
      <c r="E11">
        <v>1</v>
      </c>
      <c r="F11" t="s">
        <v>261</v>
      </c>
      <c r="G11" t="s">
        <v>262</v>
      </c>
      <c r="H11" t="s">
        <v>263</v>
      </c>
      <c r="I11" s="2">
        <v>0.63</v>
      </c>
    </row>
    <row r="12" spans="3:11">
      <c r="C12" t="s">
        <v>264</v>
      </c>
      <c r="D12">
        <f>POWER(D5,D11)</f>
        <v>10.057157533533426</v>
      </c>
      <c r="E12">
        <v>2</v>
      </c>
      <c r="F12" t="s">
        <v>265</v>
      </c>
      <c r="G12" t="s">
        <v>266</v>
      </c>
      <c r="H12" t="s">
        <v>267</v>
      </c>
      <c r="I12" s="2">
        <v>1</v>
      </c>
    </row>
    <row r="13" spans="3:11">
      <c r="E13">
        <v>3</v>
      </c>
      <c r="F13" t="s">
        <v>268</v>
      </c>
      <c r="G13" t="s">
        <v>269</v>
      </c>
      <c r="H13" t="s">
        <v>270</v>
      </c>
      <c r="I13" s="2" t="s">
        <v>271</v>
      </c>
    </row>
    <row r="14" spans="3:11">
      <c r="C14" t="s">
        <v>272</v>
      </c>
      <c r="D14">
        <f>D6*D12*D9</f>
        <v>11.99262089280851</v>
      </c>
      <c r="E14">
        <v>4</v>
      </c>
      <c r="F14" t="s">
        <v>273</v>
      </c>
      <c r="G14" t="s">
        <v>274</v>
      </c>
      <c r="H14" t="s">
        <v>267</v>
      </c>
      <c r="I14" s="2">
        <v>1</v>
      </c>
    </row>
    <row r="15" spans="3:11">
      <c r="E15">
        <v>5</v>
      </c>
      <c r="F15" t="s">
        <v>275</v>
      </c>
      <c r="G15" t="s">
        <v>276</v>
      </c>
      <c r="H15" t="s">
        <v>263</v>
      </c>
      <c r="I15" s="2">
        <v>0.74</v>
      </c>
    </row>
    <row r="16" spans="3:11">
      <c r="E16">
        <v>6</v>
      </c>
      <c r="F16" t="s">
        <v>277</v>
      </c>
      <c r="G16" t="s">
        <v>278</v>
      </c>
      <c r="H16" t="s">
        <v>191</v>
      </c>
      <c r="I16" s="2">
        <v>0.87</v>
      </c>
    </row>
    <row r="17" spans="3:9">
      <c r="E17">
        <v>7</v>
      </c>
      <c r="F17" t="s">
        <v>279</v>
      </c>
      <c r="G17" t="s">
        <v>280</v>
      </c>
      <c r="H17" t="s">
        <v>267</v>
      </c>
      <c r="I17" s="2">
        <v>1</v>
      </c>
    </row>
    <row r="24" spans="3:9">
      <c r="C24" t="s">
        <v>281</v>
      </c>
      <c r="D24">
        <v>3.67</v>
      </c>
    </row>
    <row r="25" spans="3:9">
      <c r="C25" t="s">
        <v>282</v>
      </c>
      <c r="D25">
        <v>0.28000000000000003</v>
      </c>
    </row>
    <row r="26" spans="3:9">
      <c r="C26" t="s">
        <v>283</v>
      </c>
      <c r="D26">
        <f>D25+0.2*0.01*D10</f>
        <v>0.30530000000000002</v>
      </c>
    </row>
    <row r="27" spans="3:9">
      <c r="C27" t="s">
        <v>284</v>
      </c>
      <c r="D27">
        <f>POWER(D14,D26)</f>
        <v>2.1349734385629167</v>
      </c>
    </row>
    <row r="28" spans="3:9">
      <c r="C28" t="s">
        <v>285</v>
      </c>
      <c r="D28">
        <f>D24*D27*1/100</f>
        <v>7.8353525195259038E-2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Mirat Rafikov</dc:creator>
  <cp:keywords/>
  <dc:description/>
  <cp:lastModifiedBy>Гость</cp:lastModifiedBy>
  <cp:revision/>
  <dcterms:created xsi:type="dcterms:W3CDTF">2015-06-05T18:17:20Z</dcterms:created>
  <dcterms:modified xsi:type="dcterms:W3CDTF">2021-05-05T01:59:39Z</dcterms:modified>
  <cp:category/>
  <cp:contentStatus/>
</cp:coreProperties>
</file>