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esat-thermal\calculations\"/>
    </mc:Choice>
  </mc:AlternateContent>
  <xr:revisionPtr revIDLastSave="0" documentId="13_ncr:1_{7DA6E3AD-5AB6-4AED-A523-E19B5F61B482}" xr6:coauthVersionLast="47" xr6:coauthVersionMax="47" xr10:uidLastSave="{00000000-0000-0000-0000-000000000000}"/>
  <bookViews>
    <workbookView xWindow="3465" yWindow="3465" windowWidth="21600" windowHeight="11265" activeTab="2" xr2:uid="{AE2C8D3C-2AC9-4394-8938-0DE548FC92D9}"/>
  </bookViews>
  <sheets>
    <sheet name="Sheet1" sheetId="1" r:id="rId1"/>
    <sheet name="Radiator Size Study" sheetId="5" r:id="rId2"/>
    <sheet name="Incident Angle Study" sheetId="6" r:id="rId3"/>
    <sheet name="Sheet2" sheetId="7" r:id="rId4"/>
  </sheets>
  <definedNames>
    <definedName name="A_1U">'Radiator Size Study'!$B$21</definedName>
    <definedName name="A_2U">'Radiator Size Study'!$B$22</definedName>
    <definedName name="A_3U">'Radiator Size Study'!$B$23</definedName>
    <definedName name="absorp">'Radiator Size Study'!$B$29</definedName>
    <definedName name="albedo">'Radiator Size Study'!$B$27</definedName>
    <definedName name="emiss_out">'Radiator Size Study'!$B$20</definedName>
    <definedName name="F_earth">'Radiator Size Study'!$B$25</definedName>
    <definedName name="F_space">'Radiator Size Study'!$B$26</definedName>
    <definedName name="q_D">'Radiator Size Study'!$B$16</definedName>
    <definedName name="R_bus">'Radiator Size Study'!$B$13</definedName>
    <definedName name="R_earth_1U">'Radiator Size Study'!$B$33</definedName>
    <definedName name="R_earth_2U">'Radiator Size Study'!$C$33</definedName>
    <definedName name="R_earth_3U">'Radiator Size Study'!$D$33</definedName>
    <definedName name="R_SO">'Radiator Size Study'!$B$14</definedName>
    <definedName name="R_space_1U">'Radiator Size Study'!$B$34</definedName>
    <definedName name="R_space_2U">'Radiator Size Study'!$C$34</definedName>
    <definedName name="R_space_3U">'Radiator Size Study'!$D$34</definedName>
    <definedName name="R_surf_1U">'Radiator Size Study'!$B$32</definedName>
    <definedName name="R_surf_2U">'Radiator Size Study'!$C$32</definedName>
    <definedName name="R_surf_3U">'Radiator Size Study'!$D$32</definedName>
    <definedName name="sigma">'Radiator Size Study'!$B$17</definedName>
    <definedName name="solar">'Radiator Size Study'!$B$28</definedName>
    <definedName name="T_B">'Radiator Size Study'!$B$15</definedName>
    <definedName name="T_earth">'Radiator Size Study'!$B$18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7" i="6" l="1"/>
  <c r="I37" i="6" s="1"/>
  <c r="G36" i="6"/>
  <c r="Q36" i="6" s="1"/>
  <c r="G35" i="6"/>
  <c r="G34" i="6"/>
  <c r="J34" i="6" s="1"/>
  <c r="G33" i="6"/>
  <c r="I33" i="6" s="1"/>
  <c r="G32" i="6"/>
  <c r="M32" i="6" s="1"/>
  <c r="G31" i="6"/>
  <c r="G30" i="6"/>
  <c r="J30" i="6" s="1"/>
  <c r="G29" i="6"/>
  <c r="I29" i="6" s="1"/>
  <c r="G28" i="6"/>
  <c r="M28" i="6" s="1"/>
  <c r="G27" i="6"/>
  <c r="G26" i="6"/>
  <c r="O26" i="6" s="1"/>
  <c r="G25" i="6"/>
  <c r="I25" i="6" s="1"/>
  <c r="G24" i="6"/>
  <c r="M24" i="6" s="1"/>
  <c r="G23" i="6"/>
  <c r="G22" i="6"/>
  <c r="J22" i="6" s="1"/>
  <c r="G21" i="6"/>
  <c r="I21" i="6" s="1"/>
  <c r="G20" i="6"/>
  <c r="Q20" i="6" s="1"/>
  <c r="G19" i="6"/>
  <c r="G18" i="6"/>
  <c r="J18" i="6" s="1"/>
  <c r="G17" i="6"/>
  <c r="H17" i="6" s="1"/>
  <c r="G16" i="6"/>
  <c r="M16" i="6" s="1"/>
  <c r="G15" i="6"/>
  <c r="G14" i="6"/>
  <c r="J14" i="6" s="1"/>
  <c r="G13" i="6"/>
  <c r="H13" i="6" s="1"/>
  <c r="G12" i="6"/>
  <c r="M12" i="6" s="1"/>
  <c r="G11" i="6"/>
  <c r="G10" i="6"/>
  <c r="O10" i="6" s="1"/>
  <c r="G9" i="6"/>
  <c r="H9" i="6" s="1"/>
  <c r="G8" i="6"/>
  <c r="M8" i="6" s="1"/>
  <c r="G7" i="6"/>
  <c r="G6" i="6"/>
  <c r="O6" i="6" s="1"/>
  <c r="G5" i="6"/>
  <c r="B5" i="6"/>
  <c r="C5" i="6" s="1"/>
  <c r="B6" i="6"/>
  <c r="C6" i="6" s="1"/>
  <c r="B7" i="6"/>
  <c r="C7" i="6" s="1"/>
  <c r="B8" i="6"/>
  <c r="C8" i="6" s="1"/>
  <c r="B9" i="6"/>
  <c r="C9" i="6" s="1"/>
  <c r="B10" i="6"/>
  <c r="C10" i="6" s="1"/>
  <c r="B11" i="6"/>
  <c r="C11" i="6" s="1"/>
  <c r="B12" i="6"/>
  <c r="C12" i="6" s="1"/>
  <c r="B13" i="6"/>
  <c r="C13" i="6" s="1"/>
  <c r="B4" i="6"/>
  <c r="C4" i="6" s="1"/>
  <c r="B13" i="5"/>
  <c r="H15" i="5"/>
  <c r="K15" i="5" s="1"/>
  <c r="H16" i="5"/>
  <c r="J16" i="5" s="1"/>
  <c r="H18" i="5"/>
  <c r="J18" i="5" s="1"/>
  <c r="H20" i="5"/>
  <c r="J20" i="5" s="1"/>
  <c r="H22" i="5"/>
  <c r="J22" i="5" s="1"/>
  <c r="H24" i="5"/>
  <c r="J24" i="5" s="1"/>
  <c r="H26" i="5"/>
  <c r="J26" i="5" s="1"/>
  <c r="H28" i="5"/>
  <c r="J28" i="5" s="1"/>
  <c r="H30" i="5"/>
  <c r="J30" i="5" s="1"/>
  <c r="H32" i="5"/>
  <c r="J32" i="5" s="1"/>
  <c r="H34" i="5"/>
  <c r="J34" i="5" s="1"/>
  <c r="H36" i="5"/>
  <c r="J36" i="5" s="1"/>
  <c r="H38" i="5"/>
  <c r="J38" i="5" s="1"/>
  <c r="H40" i="5"/>
  <c r="J40" i="5" s="1"/>
  <c r="H42" i="5"/>
  <c r="J42" i="5" s="1"/>
  <c r="H44" i="5"/>
  <c r="J44" i="5" s="1"/>
  <c r="H46" i="5"/>
  <c r="J46" i="5" s="1"/>
  <c r="D34" i="5"/>
  <c r="C34" i="5"/>
  <c r="B34" i="5"/>
  <c r="D33" i="5"/>
  <c r="C33" i="5"/>
  <c r="B33" i="5"/>
  <c r="B27" i="5"/>
  <c r="B26" i="5"/>
  <c r="C32" i="5"/>
  <c r="B21" i="5"/>
  <c r="B32" i="5" s="1"/>
  <c r="B14" i="5"/>
  <c r="H33" i="6" l="1"/>
  <c r="L36" i="6"/>
  <c r="L32" i="6"/>
  <c r="L28" i="6"/>
  <c r="L24" i="6"/>
  <c r="L20" i="6"/>
  <c r="L16" i="6"/>
  <c r="L12" i="6"/>
  <c r="L8" i="6"/>
  <c r="M36" i="6"/>
  <c r="O30" i="6"/>
  <c r="Q24" i="6"/>
  <c r="M20" i="6"/>
  <c r="O14" i="6"/>
  <c r="Q8" i="6"/>
  <c r="H29" i="6"/>
  <c r="J36" i="6"/>
  <c r="J32" i="6"/>
  <c r="J28" i="6"/>
  <c r="J24" i="6"/>
  <c r="J20" i="6"/>
  <c r="J16" i="6"/>
  <c r="J12" i="6"/>
  <c r="J8" i="6"/>
  <c r="O34" i="6"/>
  <c r="Q28" i="6"/>
  <c r="O18" i="6"/>
  <c r="Q12" i="6"/>
  <c r="H25" i="6"/>
  <c r="L34" i="6"/>
  <c r="L30" i="6"/>
  <c r="L26" i="6"/>
  <c r="L22" i="6"/>
  <c r="L18" i="6"/>
  <c r="L14" i="6"/>
  <c r="L10" i="6"/>
  <c r="L6" i="6"/>
  <c r="Q32" i="6"/>
  <c r="O22" i="6"/>
  <c r="Q16" i="6"/>
  <c r="H37" i="6"/>
  <c r="H21" i="6"/>
  <c r="J26" i="6"/>
  <c r="J10" i="6"/>
  <c r="M5" i="6"/>
  <c r="O5" i="6"/>
  <c r="Q5" i="6"/>
  <c r="K5" i="6"/>
  <c r="N5" i="6"/>
  <c r="J5" i="6"/>
  <c r="H5" i="6"/>
  <c r="P5" i="6"/>
  <c r="L5" i="6"/>
  <c r="I5" i="6"/>
  <c r="M7" i="6"/>
  <c r="O7" i="6"/>
  <c r="Q7" i="6"/>
  <c r="P7" i="6"/>
  <c r="J7" i="6"/>
  <c r="L7" i="6"/>
  <c r="N7" i="6"/>
  <c r="K7" i="6"/>
  <c r="I7" i="6"/>
  <c r="M9" i="6"/>
  <c r="O9" i="6"/>
  <c r="Q9" i="6"/>
  <c r="N9" i="6"/>
  <c r="J9" i="6"/>
  <c r="L9" i="6"/>
  <c r="P9" i="6"/>
  <c r="K9" i="6"/>
  <c r="I9" i="6"/>
  <c r="M11" i="6"/>
  <c r="O11" i="6"/>
  <c r="Q11" i="6"/>
  <c r="P11" i="6"/>
  <c r="J11" i="6"/>
  <c r="L11" i="6"/>
  <c r="N11" i="6"/>
  <c r="K11" i="6"/>
  <c r="I11" i="6"/>
  <c r="M13" i="6"/>
  <c r="O13" i="6"/>
  <c r="Q13" i="6"/>
  <c r="N13" i="6"/>
  <c r="J13" i="6"/>
  <c r="L13" i="6"/>
  <c r="P13" i="6"/>
  <c r="K13" i="6"/>
  <c r="I13" i="6"/>
  <c r="M15" i="6"/>
  <c r="O15" i="6"/>
  <c r="Q15" i="6"/>
  <c r="P15" i="6"/>
  <c r="J15" i="6"/>
  <c r="L15" i="6"/>
  <c r="N15" i="6"/>
  <c r="K15" i="6"/>
  <c r="I15" i="6"/>
  <c r="M17" i="6"/>
  <c r="O17" i="6"/>
  <c r="Q17" i="6"/>
  <c r="N17" i="6"/>
  <c r="J17" i="6"/>
  <c r="L17" i="6"/>
  <c r="P17" i="6"/>
  <c r="K17" i="6"/>
  <c r="I17" i="6"/>
  <c r="M19" i="6"/>
  <c r="O19" i="6"/>
  <c r="Q19" i="6"/>
  <c r="P19" i="6"/>
  <c r="J19" i="6"/>
  <c r="D6" i="6" s="1" a="1"/>
  <c r="D6" i="6" s="1"/>
  <c r="L19" i="6"/>
  <c r="D8" i="6" s="1" a="1"/>
  <c r="D8" i="6" s="1"/>
  <c r="N19" i="6"/>
  <c r="K19" i="6"/>
  <c r="I19" i="6"/>
  <c r="M21" i="6"/>
  <c r="O21" i="6"/>
  <c r="Q21" i="6"/>
  <c r="D13" i="6" s="1" a="1"/>
  <c r="D13" i="6" s="1"/>
  <c r="N21" i="6"/>
  <c r="J21" i="6"/>
  <c r="L21" i="6"/>
  <c r="P21" i="6"/>
  <c r="K21" i="6"/>
  <c r="M23" i="6"/>
  <c r="O23" i="6"/>
  <c r="Q23" i="6"/>
  <c r="P23" i="6"/>
  <c r="J23" i="6"/>
  <c r="L23" i="6"/>
  <c r="N23" i="6"/>
  <c r="K23" i="6"/>
  <c r="M25" i="6"/>
  <c r="O25" i="6"/>
  <c r="Q25" i="6"/>
  <c r="N25" i="6"/>
  <c r="J25" i="6"/>
  <c r="L25" i="6"/>
  <c r="P25" i="6"/>
  <c r="K25" i="6"/>
  <c r="M27" i="6"/>
  <c r="O27" i="6"/>
  <c r="Q27" i="6"/>
  <c r="P27" i="6"/>
  <c r="J27" i="6"/>
  <c r="L27" i="6"/>
  <c r="N27" i="6"/>
  <c r="K27" i="6"/>
  <c r="M29" i="6"/>
  <c r="O29" i="6"/>
  <c r="Q29" i="6"/>
  <c r="N29" i="6"/>
  <c r="J29" i="6"/>
  <c r="L29" i="6"/>
  <c r="P29" i="6"/>
  <c r="K29" i="6"/>
  <c r="M31" i="6"/>
  <c r="O31" i="6"/>
  <c r="Q31" i="6"/>
  <c r="P31" i="6"/>
  <c r="J31" i="6"/>
  <c r="L31" i="6"/>
  <c r="N31" i="6"/>
  <c r="K31" i="6"/>
  <c r="M33" i="6"/>
  <c r="O33" i="6"/>
  <c r="Q33" i="6"/>
  <c r="N33" i="6"/>
  <c r="J33" i="6"/>
  <c r="L33" i="6"/>
  <c r="P33" i="6"/>
  <c r="K33" i="6"/>
  <c r="M35" i="6"/>
  <c r="O35" i="6"/>
  <c r="Q35" i="6"/>
  <c r="P35" i="6"/>
  <c r="J35" i="6"/>
  <c r="L35" i="6"/>
  <c r="N35" i="6"/>
  <c r="K35" i="6"/>
  <c r="M37" i="6"/>
  <c r="O37" i="6"/>
  <c r="Q37" i="6"/>
  <c r="N37" i="6"/>
  <c r="J37" i="6"/>
  <c r="L37" i="6"/>
  <c r="P37" i="6"/>
  <c r="K37" i="6"/>
  <c r="H35" i="6"/>
  <c r="H31" i="6"/>
  <c r="H27" i="6"/>
  <c r="H23" i="6"/>
  <c r="H19" i="6"/>
  <c r="H15" i="6"/>
  <c r="H11" i="6"/>
  <c r="H7" i="6"/>
  <c r="I35" i="6"/>
  <c r="I31" i="6"/>
  <c r="I27" i="6"/>
  <c r="I23" i="6"/>
  <c r="N6" i="6"/>
  <c r="P6" i="6"/>
  <c r="J6" i="6"/>
  <c r="N8" i="6"/>
  <c r="P8" i="6"/>
  <c r="N10" i="6"/>
  <c r="P10" i="6"/>
  <c r="N12" i="6"/>
  <c r="P12" i="6"/>
  <c r="N14" i="6"/>
  <c r="P14" i="6"/>
  <c r="N16" i="6"/>
  <c r="P16" i="6"/>
  <c r="N18" i="6"/>
  <c r="P18" i="6"/>
  <c r="N20" i="6"/>
  <c r="D10" i="6" s="1" a="1"/>
  <c r="D10" i="6" s="1"/>
  <c r="P20" i="6"/>
  <c r="D12" i="6" s="1" a="1"/>
  <c r="D12" i="6" s="1"/>
  <c r="N22" i="6"/>
  <c r="P22" i="6"/>
  <c r="N24" i="6"/>
  <c r="P24" i="6"/>
  <c r="N26" i="6"/>
  <c r="P26" i="6"/>
  <c r="N28" i="6"/>
  <c r="P28" i="6"/>
  <c r="N30" i="6"/>
  <c r="P30" i="6"/>
  <c r="N32" i="6"/>
  <c r="P32" i="6"/>
  <c r="N34" i="6"/>
  <c r="P34" i="6"/>
  <c r="N36" i="6"/>
  <c r="P36" i="6"/>
  <c r="H36" i="6"/>
  <c r="H34" i="6"/>
  <c r="H32" i="6"/>
  <c r="H30" i="6"/>
  <c r="H28" i="6"/>
  <c r="H26" i="6"/>
  <c r="H24" i="6"/>
  <c r="H22" i="6"/>
  <c r="H20" i="6"/>
  <c r="H18" i="6"/>
  <c r="D4" i="6" s="1" a="1"/>
  <c r="D4" i="6" s="1"/>
  <c r="H16" i="6"/>
  <c r="H14" i="6"/>
  <c r="H12" i="6"/>
  <c r="H10" i="6"/>
  <c r="H8" i="6"/>
  <c r="H6" i="6"/>
  <c r="I36" i="6"/>
  <c r="I34" i="6"/>
  <c r="I32" i="6"/>
  <c r="I30" i="6"/>
  <c r="I28" i="6"/>
  <c r="I26" i="6"/>
  <c r="I24" i="6"/>
  <c r="I22" i="6"/>
  <c r="I20" i="6"/>
  <c r="I18" i="6"/>
  <c r="I16" i="6"/>
  <c r="I14" i="6"/>
  <c r="I12" i="6"/>
  <c r="I10" i="6"/>
  <c r="I8" i="6"/>
  <c r="I6" i="6"/>
  <c r="K36" i="6"/>
  <c r="K34" i="6"/>
  <c r="K32" i="6"/>
  <c r="K30" i="6"/>
  <c r="K28" i="6"/>
  <c r="K26" i="6"/>
  <c r="K24" i="6"/>
  <c r="K22" i="6"/>
  <c r="K20" i="6"/>
  <c r="K18" i="6"/>
  <c r="K16" i="6"/>
  <c r="K14" i="6"/>
  <c r="K12" i="6"/>
  <c r="K10" i="6"/>
  <c r="K8" i="6"/>
  <c r="K6" i="6"/>
  <c r="O36" i="6"/>
  <c r="Q34" i="6"/>
  <c r="M34" i="6"/>
  <c r="O32" i="6"/>
  <c r="Q30" i="6"/>
  <c r="M30" i="6"/>
  <c r="O28" i="6"/>
  <c r="Q26" i="6"/>
  <c r="M26" i="6"/>
  <c r="O24" i="6"/>
  <c r="Q22" i="6"/>
  <c r="M22" i="6"/>
  <c r="O20" i="6"/>
  <c r="D11" i="6" s="1" a="1"/>
  <c r="D11" i="6" s="1"/>
  <c r="Q18" i="6"/>
  <c r="M18" i="6"/>
  <c r="O16" i="6"/>
  <c r="Q14" i="6"/>
  <c r="M14" i="6"/>
  <c r="O12" i="6"/>
  <c r="Q10" i="6"/>
  <c r="M10" i="6"/>
  <c r="O8" i="6"/>
  <c r="Q6" i="6"/>
  <c r="M6" i="6"/>
  <c r="H14" i="5"/>
  <c r="K14" i="5" s="1"/>
  <c r="H45" i="5"/>
  <c r="K45" i="5" s="1"/>
  <c r="H43" i="5"/>
  <c r="K43" i="5" s="1"/>
  <c r="H41" i="5"/>
  <c r="K41" i="5" s="1"/>
  <c r="H39" i="5"/>
  <c r="K39" i="5" s="1"/>
  <c r="H37" i="5"/>
  <c r="K37" i="5" s="1"/>
  <c r="H35" i="5"/>
  <c r="K35" i="5" s="1"/>
  <c r="H33" i="5"/>
  <c r="K33" i="5" s="1"/>
  <c r="H31" i="5"/>
  <c r="K31" i="5" s="1"/>
  <c r="H29" i="5"/>
  <c r="K29" i="5" s="1"/>
  <c r="H27" i="5"/>
  <c r="K27" i="5" s="1"/>
  <c r="H25" i="5"/>
  <c r="K25" i="5" s="1"/>
  <c r="H23" i="5"/>
  <c r="K23" i="5" s="1"/>
  <c r="H21" i="5"/>
  <c r="K21" i="5" s="1"/>
  <c r="H19" i="5"/>
  <c r="K19" i="5" s="1"/>
  <c r="H17" i="5"/>
  <c r="K17" i="5" s="1"/>
  <c r="I46" i="5"/>
  <c r="I44" i="5"/>
  <c r="I42" i="5"/>
  <c r="I40" i="5"/>
  <c r="I38" i="5"/>
  <c r="I36" i="5"/>
  <c r="I34" i="5"/>
  <c r="I32" i="5"/>
  <c r="I30" i="5"/>
  <c r="I28" i="5"/>
  <c r="I26" i="5"/>
  <c r="I24" i="5"/>
  <c r="I22" i="5"/>
  <c r="I20" i="5"/>
  <c r="I18" i="5"/>
  <c r="I16" i="5"/>
  <c r="J15" i="5"/>
  <c r="K46" i="5"/>
  <c r="K44" i="5"/>
  <c r="K42" i="5"/>
  <c r="K40" i="5"/>
  <c r="K38" i="5"/>
  <c r="K36" i="5"/>
  <c r="K34" i="5"/>
  <c r="K32" i="5"/>
  <c r="K30" i="5"/>
  <c r="K28" i="5"/>
  <c r="K26" i="5"/>
  <c r="K24" i="5"/>
  <c r="K22" i="5"/>
  <c r="K20" i="5"/>
  <c r="K18" i="5"/>
  <c r="K16" i="5"/>
  <c r="I35" i="5"/>
  <c r="I15" i="5"/>
  <c r="B23" i="5"/>
  <c r="D32" i="5" s="1"/>
  <c r="I43" i="5" l="1"/>
  <c r="D5" i="6" a="1"/>
  <c r="D5" i="6" s="1"/>
  <c r="I19" i="5"/>
  <c r="I27" i="5"/>
  <c r="J17" i="5"/>
  <c r="J25" i="5"/>
  <c r="J33" i="5"/>
  <c r="J41" i="5"/>
  <c r="I23" i="5"/>
  <c r="I39" i="5"/>
  <c r="D9" i="6" a="1"/>
  <c r="D9" i="6" s="1"/>
  <c r="I31" i="5"/>
  <c r="I14" i="5"/>
  <c r="D7" i="6" a="1"/>
  <c r="D7" i="6" s="1"/>
  <c r="I17" i="5"/>
  <c r="I21" i="5"/>
  <c r="I25" i="5"/>
  <c r="I29" i="5"/>
  <c r="I33" i="5"/>
  <c r="I37" i="5"/>
  <c r="I41" i="5"/>
  <c r="I45" i="5"/>
  <c r="J21" i="5"/>
  <c r="J29" i="5"/>
  <c r="J37" i="5"/>
  <c r="J45" i="5"/>
  <c r="J19" i="5"/>
  <c r="J23" i="5"/>
  <c r="J27" i="5"/>
  <c r="L24" i="5" s="1" a="1"/>
  <c r="L24" i="5" s="1"/>
  <c r="J31" i="5"/>
  <c r="J35" i="5"/>
  <c r="J39" i="5"/>
  <c r="J43" i="5"/>
  <c r="J14" i="5"/>
  <c r="B11" i="1" l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10" i="1"/>
  <c r="B4" i="1"/>
  <c r="B6" i="1" l="1"/>
  <c r="E33" i="1" l="1"/>
  <c r="E34" i="1"/>
  <c r="E35" i="1"/>
  <c r="E40" i="1"/>
  <c r="E44" i="1"/>
  <c r="E11" i="1"/>
  <c r="E13" i="1"/>
  <c r="E15" i="1"/>
  <c r="E19" i="1"/>
  <c r="E23" i="1"/>
  <c r="E27" i="1"/>
  <c r="E32" i="1"/>
  <c r="E37" i="1"/>
  <c r="E38" i="1"/>
  <c r="E39" i="1"/>
  <c r="E42" i="1"/>
  <c r="E43" i="1"/>
  <c r="E29" i="1"/>
  <c r="E30" i="1"/>
  <c r="E31" i="1"/>
  <c r="E14" i="1"/>
  <c r="E16" i="1"/>
  <c r="E18" i="1"/>
  <c r="E20" i="1"/>
  <c r="E22" i="1"/>
  <c r="E24" i="1"/>
  <c r="E26" i="1"/>
  <c r="E10" i="1"/>
  <c r="E36" i="1"/>
  <c r="E41" i="1"/>
  <c r="E28" i="1"/>
  <c r="E17" i="1"/>
  <c r="E21" i="1"/>
  <c r="E25" i="1"/>
  <c r="E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<sst xmlns="http://schemas.openxmlformats.org/spreadsheetml/2006/main" count="68" uniqueCount="54">
  <si>
    <t>V_max</t>
  </si>
  <si>
    <t>T_h</t>
  </si>
  <si>
    <t>C</t>
  </si>
  <si>
    <t>I_max</t>
  </si>
  <si>
    <t>R_p</t>
  </si>
  <si>
    <t>ohm</t>
  </si>
  <si>
    <t>A</t>
  </si>
  <si>
    <t>V</t>
  </si>
  <si>
    <t>P</t>
  </si>
  <si>
    <t>Q_max</t>
  </si>
  <si>
    <t>W</t>
  </si>
  <si>
    <t>I</t>
  </si>
  <si>
    <t>T increase</t>
  </si>
  <si>
    <t>G_HS</t>
  </si>
  <si>
    <t>W/K</t>
  </si>
  <si>
    <t>T decrease</t>
  </si>
  <si>
    <t>T amb</t>
  </si>
  <si>
    <t>T load</t>
  </si>
  <si>
    <t>solar</t>
  </si>
  <si>
    <t>albedo</t>
  </si>
  <si>
    <t>F_earth</t>
  </si>
  <si>
    <t>W/m2</t>
  </si>
  <si>
    <t>K</t>
  </si>
  <si>
    <t>where</t>
  </si>
  <si>
    <t>R_bus</t>
  </si>
  <si>
    <t>K/W</t>
  </si>
  <si>
    <t>R_S/O</t>
  </si>
  <si>
    <t>T_B</t>
  </si>
  <si>
    <t>q_D</t>
  </si>
  <si>
    <t>sigma</t>
  </si>
  <si>
    <t>W/m2K4</t>
  </si>
  <si>
    <t>T_earth</t>
  </si>
  <si>
    <t>emiss_out</t>
  </si>
  <si>
    <t>A_1U</t>
  </si>
  <si>
    <t>A_2U</t>
  </si>
  <si>
    <t>A_3U</t>
  </si>
  <si>
    <t>R_surf</t>
  </si>
  <si>
    <t>1U</t>
  </si>
  <si>
    <t>2U</t>
  </si>
  <si>
    <t>3U</t>
  </si>
  <si>
    <t>1/m2</t>
  </si>
  <si>
    <t>R_earth</t>
  </si>
  <si>
    <t>F_space</t>
  </si>
  <si>
    <t>absorp</t>
  </si>
  <si>
    <t>R_space</t>
  </si>
  <si>
    <t>Rad temp</t>
  </si>
  <si>
    <t>T_D</t>
  </si>
  <si>
    <t>280 K, or 7C</t>
  </si>
  <si>
    <t>265 K, or -8C</t>
  </si>
  <si>
    <t>Assume 2U radiator</t>
  </si>
  <si>
    <t>β (degrees)</t>
  </si>
  <si>
    <t>β (rad)</t>
  </si>
  <si>
    <t>Incident solar (W)</t>
  </si>
  <si>
    <t>Interpolated temp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</si>
</sst>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1" fontId="0" fillId="0" borderId="0" xfId="0" applyNumberFormat="1"/>
  </cellXfs>
  <cellStyles count="2">
    <cellStyle name="Normal" xfId="0" builtinId="0"/>
    <cellStyle name="Normal 2" xfId="1" xr:uid="{CBFED7AF-CA8F-4A6A-9DEE-ED82F4F12C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Sheet1!$A$10:$A$44</c:f>
              <c:numCache>
                <c:formatCode>General</c:formatCode>
                <c:ptCount val="35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0.45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1.35</c:v>
                </c:pt>
                <c:pt idx="10">
                  <c:v>1.5</c:v>
                </c:pt>
                <c:pt idx="11">
                  <c:v>1.65</c:v>
                </c:pt>
                <c:pt idx="12">
                  <c:v>1.8</c:v>
                </c:pt>
                <c:pt idx="13">
                  <c:v>1.95</c:v>
                </c:pt>
                <c:pt idx="14">
                  <c:v>2.1</c:v>
                </c:pt>
                <c:pt idx="15">
                  <c:v>2.25</c:v>
                </c:pt>
                <c:pt idx="16">
                  <c:v>2.4</c:v>
                </c:pt>
                <c:pt idx="17">
                  <c:v>2.5499999999999998</c:v>
                </c:pt>
                <c:pt idx="18">
                  <c:v>2.7</c:v>
                </c:pt>
                <c:pt idx="19">
                  <c:v>2.85</c:v>
                </c:pt>
                <c:pt idx="20">
                  <c:v>3</c:v>
                </c:pt>
                <c:pt idx="21">
                  <c:v>3.15</c:v>
                </c:pt>
                <c:pt idx="22">
                  <c:v>3.3</c:v>
                </c:pt>
                <c:pt idx="23">
                  <c:v>3.45</c:v>
                </c:pt>
                <c:pt idx="24">
                  <c:v>3.6</c:v>
                </c:pt>
                <c:pt idx="25">
                  <c:v>3.75</c:v>
                </c:pt>
                <c:pt idx="26">
                  <c:v>3.9</c:v>
                </c:pt>
                <c:pt idx="27">
                  <c:v>4.05</c:v>
                </c:pt>
                <c:pt idx="28">
                  <c:v>4.2</c:v>
                </c:pt>
                <c:pt idx="29">
                  <c:v>4.3499999999999996</c:v>
                </c:pt>
                <c:pt idx="30">
                  <c:v>4.5</c:v>
                </c:pt>
                <c:pt idx="31">
                  <c:v>4.6500000000000004</c:v>
                </c:pt>
                <c:pt idx="32">
                  <c:v>4.8</c:v>
                </c:pt>
                <c:pt idx="33">
                  <c:v>4.95</c:v>
                </c:pt>
                <c:pt idx="34">
                  <c:v>5</c:v>
                </c:pt>
              </c:numCache>
            </c:numRef>
          </c:xVal>
          <c:yVal>
            <c:numRef>
              <c:f>Sheet1!$E$10:$E$44</c:f>
              <c:numCache>
                <c:formatCode>General</c:formatCode>
                <c:ptCount val="35"/>
                <c:pt idx="0">
                  <c:v>28.752702283307471</c:v>
                </c:pt>
                <c:pt idx="1">
                  <c:v>21.8041811578364</c:v>
                </c:pt>
                <c:pt idx="2">
                  <c:v>15.144956730658391</c:v>
                </c:pt>
                <c:pt idx="3">
                  <c:v>8.7750290017734436</c:v>
                </c:pt>
                <c:pt idx="4">
                  <c:v>2.6943979711815587</c:v>
                </c:pt>
                <c:pt idx="5">
                  <c:v>-3.0969363611172724</c:v>
                </c:pt>
                <c:pt idx="6">
                  <c:v>-8.598973995123032</c:v>
                </c:pt>
                <c:pt idx="7">
                  <c:v>-13.811714930835741</c:v>
                </c:pt>
                <c:pt idx="8">
                  <c:v>-18.735159168255379</c:v>
                </c:pt>
                <c:pt idx="9">
                  <c:v>-23.369306707381959</c:v>
                </c:pt>
                <c:pt idx="10">
                  <c:v>-27.714157548215482</c:v>
                </c:pt>
                <c:pt idx="11">
                  <c:v>-31.769711690755926</c:v>
                </c:pt>
                <c:pt idx="12">
                  <c:v>-35.535969135003327</c:v>
                </c:pt>
                <c:pt idx="13">
                  <c:v>-39.012929880957657</c:v>
                </c:pt>
                <c:pt idx="14">
                  <c:v>-42.200593928618929</c:v>
                </c:pt>
                <c:pt idx="15">
                  <c:v>-45.098961277987129</c:v>
                </c:pt>
                <c:pt idx="16">
                  <c:v>-47.708031929062287</c:v>
                </c:pt>
                <c:pt idx="17">
                  <c:v>-50.027805881844372</c:v>
                </c:pt>
                <c:pt idx="18">
                  <c:v>-52.058283136333415</c:v>
                </c:pt>
                <c:pt idx="19">
                  <c:v>-53.799463692529372</c:v>
                </c:pt>
                <c:pt idx="20">
                  <c:v>-55.2513475504323</c:v>
                </c:pt>
                <c:pt idx="21">
                  <c:v>-56.413934710042128</c:v>
                </c:pt>
                <c:pt idx="22">
                  <c:v>-57.287225171358912</c:v>
                </c:pt>
                <c:pt idx="23">
                  <c:v>-57.871218934382625</c:v>
                </c:pt>
                <c:pt idx="24">
                  <c:v>-58.165915999113281</c:v>
                </c:pt>
                <c:pt idx="25">
                  <c:v>-58.171316365550865</c:v>
                </c:pt>
                <c:pt idx="26">
                  <c:v>-57.887420033695435</c:v>
                </c:pt>
                <c:pt idx="27">
                  <c:v>-57.314227003546904</c:v>
                </c:pt>
                <c:pt idx="28">
                  <c:v>-56.451737275105316</c:v>
                </c:pt>
                <c:pt idx="29">
                  <c:v>-55.299950848370656</c:v>
                </c:pt>
                <c:pt idx="30">
                  <c:v>-53.858867723342925</c:v>
                </c:pt>
                <c:pt idx="31">
                  <c:v>-52.128487900022179</c:v>
                </c:pt>
                <c:pt idx="32">
                  <c:v>-50.108811378408362</c:v>
                </c:pt>
                <c:pt idx="33">
                  <c:v>-47.79983815850143</c:v>
                </c:pt>
                <c:pt idx="34">
                  <c:v>-46.965892263356238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83-45C0-B5DE-028FD1A90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563968"/>
        <c:axId val="987570856"/>
      </c:scatterChart>
      <c:valAx>
        <c:axId val="987563968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570856"/>
        <c:crosses val="autoZero"/>
        <c:crossBetween val="midCat"/>
      </c:valAx>
      <c:valAx>
        <c:axId val="98757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563968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4th-order Polynomial</a:t>
            </a:r>
            <a:r>
              <a:rPr lang="en-US" baseline="0"/>
              <a:t> Steady-State Orbital Average Radiator Energy Balance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1U radiator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'Radiator Size Study'!$G$14:$G$46</c:f>
              <c:numCache>
                <c:formatCode>General</c:formatCode>
                <c:ptCount val="33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</c:numCache>
            </c:numRef>
          </c:xVal>
          <c:yVal>
            <c:numRef>
              <c:f>'Radiator Size Study'!$I$14:$I$46</c:f>
              <c:numCache>
                <c:formatCode>General</c:formatCode>
                <c:ptCount val="33"/>
                <c:pt idx="0">
                  <c:v>7.515635677437337</c:v>
                </c:pt>
                <c:pt idx="1">
                  <c:v>7.073107786209011</c:v>
                </c:pt>
                <c:pt idx="2">
                  <c:v>6.625565464606848</c:v>
                </c:pt>
                <c:pt idx="3">
                  <c:v>6.1727611478121522</c:v>
                </c:pt>
                <c:pt idx="4">
                  <c:v>5.7144413055889212</c:v>
                </c:pt>
                <c:pt idx="5">
                  <c:v>5.2503464422838073</c:v>
                </c:pt>
                <c:pt idx="6">
                  <c:v>4.7802110968261706</c:v>
                </c:pt>
                <c:pt idx="7">
                  <c:v>4.3037638427280447</c:v>
                </c:pt>
                <c:pt idx="8">
                  <c:v>3.8207272880841536</c:v>
                </c:pt>
                <c:pt idx="9">
                  <c:v>3.3308180755718797</c:v>
                </c:pt>
                <c:pt idx="10">
                  <c:v>2.8337468824513006</c:v>
                </c:pt>
                <c:pt idx="11">
                  <c:v>2.3292184205652062</c:v>
                </c:pt>
                <c:pt idx="12">
                  <c:v>1.816931436339023</c:v>
                </c:pt>
                <c:pt idx="13">
                  <c:v>1.2965787107808588</c:v>
                </c:pt>
                <c:pt idx="14">
                  <c:v>0.7678470594815574</c:v>
                </c:pt>
                <c:pt idx="15">
                  <c:v>0.23041733261457395</c:v>
                </c:pt>
                <c:pt idx="16">
                  <c:v>-0.31603558506388468</c:v>
                </c:pt>
                <c:pt idx="17">
                  <c:v>-0.87184277421498046</c:v>
                </c:pt>
                <c:pt idx="18">
                  <c:v>-1.4373412809171959</c:v>
                </c:pt>
                <c:pt idx="19">
                  <c:v>-2.0128741166662762</c:v>
                </c:pt>
                <c:pt idx="20">
                  <c:v>-2.5987902583753395</c:v>
                </c:pt>
                <c:pt idx="21">
                  <c:v>-3.1954446483748193</c:v>
                </c:pt>
                <c:pt idx="22">
                  <c:v>-3.803198194412416</c:v>
                </c:pt>
                <c:pt idx="23">
                  <c:v>-4.4224177696532188</c:v>
                </c:pt>
                <c:pt idx="24">
                  <c:v>-5.0534762126795645</c:v>
                </c:pt>
                <c:pt idx="25">
                  <c:v>-5.6967523274911578</c:v>
                </c:pt>
                <c:pt idx="26">
                  <c:v>-6.3526308835050225</c:v>
                </c:pt>
                <c:pt idx="27">
                  <c:v>-7.0215026155554527</c:v>
                </c:pt>
                <c:pt idx="28">
                  <c:v>-7.7037642238941215</c:v>
                </c:pt>
                <c:pt idx="29">
                  <c:v>-8.3998183741899606</c:v>
                </c:pt>
                <c:pt idx="30">
                  <c:v>-9.1100736975292609</c:v>
                </c:pt>
                <c:pt idx="31">
                  <c:v>-9.8349447904156388</c:v>
                </c:pt>
                <c:pt idx="32">
                  <c:v>-10.574852214769972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1E-4B0A-AF62-BAC0414D7991}"/>
            </c:ext>
          </c:extLst>
        </c:ser>
        <c:ser>
          <c:idx val="1"/>
          <c:order val="1"/>
          <c:tx>
            <c:v>2U radiator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'Radiator Size Study'!$G$14:$G$46</c:f>
              <c:numCache>
                <c:formatCode>General</c:formatCode>
                <c:ptCount val="33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</c:numCache>
            </c:numRef>
          </c:xVal>
          <c:yVal>
            <c:numRef>
              <c:f>'Radiator Size Study'!$J$14:$J$46</c:f>
              <c:numCache>
                <c:formatCode>General</c:formatCode>
                <c:ptCount val="33"/>
                <c:pt idx="0">
                  <c:v>7.3695066489923002</c:v>
                </c:pt>
                <c:pt idx="1">
                  <c:v>6.860921454770943</c:v>
                </c:pt>
                <c:pt idx="2">
                  <c:v>6.3423073998019133</c:v>
                </c:pt>
                <c:pt idx="3">
                  <c:v>5.813169354447818</c:v>
                </c:pt>
                <c:pt idx="4">
                  <c:v>5.2730002582366433</c:v>
                </c:pt>
                <c:pt idx="5">
                  <c:v>4.7212811198617111</c:v>
                </c:pt>
                <c:pt idx="6">
                  <c:v>4.1574810171817322</c:v>
                </c:pt>
                <c:pt idx="7">
                  <c:v>3.5810570972207771</c:v>
                </c:pt>
                <c:pt idx="8">
                  <c:v>2.9914545761682825</c:v>
                </c:pt>
                <c:pt idx="9">
                  <c:v>2.3881067393790296</c:v>
                </c:pt>
                <c:pt idx="10">
                  <c:v>1.7704349413731764</c:v>
                </c:pt>
                <c:pt idx="11">
                  <c:v>1.1378486058362747</c:v>
                </c:pt>
                <c:pt idx="12">
                  <c:v>0.48974522561919426</c:v>
                </c:pt>
                <c:pt idx="13">
                  <c:v>-0.17448963726182973</c:v>
                </c:pt>
                <c:pt idx="14">
                  <c:v>-0.85548235162514585</c:v>
                </c:pt>
                <c:pt idx="15">
                  <c:v>-1.5538712171238083</c:v>
                </c:pt>
                <c:pt idx="16">
                  <c:v>-2.2703064642454387</c:v>
                </c:pt>
                <c:pt idx="17">
                  <c:v>-3.0054502543123429</c:v>
                </c:pt>
                <c:pt idx="18">
                  <c:v>-3.7599766794814693</c:v>
                </c:pt>
                <c:pt idx="19">
                  <c:v>-4.5345717627443429</c:v>
                </c:pt>
                <c:pt idx="20">
                  <c:v>-5.3299334579271829</c:v>
                </c:pt>
                <c:pt idx="21">
                  <c:v>-6.1467716496908382</c:v>
                </c:pt>
                <c:pt idx="22">
                  <c:v>-6.985808153530745</c:v>
                </c:pt>
                <c:pt idx="23">
                  <c:v>-7.8477767157770462</c:v>
                </c:pt>
                <c:pt idx="24">
                  <c:v>-8.7334230135944484</c:v>
                </c:pt>
                <c:pt idx="25">
                  <c:v>-9.6435046549823493</c:v>
                </c:pt>
                <c:pt idx="26">
                  <c:v>-10.578791178774775</c:v>
                </c:pt>
                <c:pt idx="27">
                  <c:v>-11.540064054640348</c:v>
                </c:pt>
                <c:pt idx="28">
                  <c:v>-12.528116683082382</c:v>
                </c:pt>
                <c:pt idx="29">
                  <c:v>-13.543754395438773</c:v>
                </c:pt>
                <c:pt idx="30">
                  <c:v>-14.587794453882085</c:v>
                </c:pt>
                <c:pt idx="31">
                  <c:v>-15.661066051419537</c:v>
                </c:pt>
                <c:pt idx="32">
                  <c:v>-16.76441031189292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1E-4B0A-AF62-BAC0414D7991}"/>
            </c:ext>
          </c:extLst>
        </c:ser>
        <c:ser>
          <c:idx val="2"/>
          <c:order val="2"/>
          <c:tx>
            <c:v>3U radiator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'Radiator Size Study'!$G$14:$G$46</c:f>
              <c:numCache>
                <c:formatCode>General</c:formatCode>
                <c:ptCount val="33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</c:numCache>
            </c:numRef>
          </c:xVal>
          <c:yVal>
            <c:numRef>
              <c:f>'Radiator Size Study'!$K$14:$K$46</c:f>
              <c:numCache>
                <c:formatCode>General</c:formatCode>
                <c:ptCount val="33"/>
                <c:pt idx="0">
                  <c:v>7.2233776205472644</c:v>
                </c:pt>
                <c:pt idx="1">
                  <c:v>6.6487351233328766</c:v>
                </c:pt>
                <c:pt idx="2">
                  <c:v>6.0590493349969794</c:v>
                </c:pt>
                <c:pt idx="3">
                  <c:v>5.4535775610834847</c:v>
                </c:pt>
                <c:pt idx="4">
                  <c:v>4.8315592108843655</c:v>
                </c:pt>
                <c:pt idx="5">
                  <c:v>4.1922157974396148</c:v>
                </c:pt>
                <c:pt idx="6">
                  <c:v>3.5347509375372947</c:v>
                </c:pt>
                <c:pt idx="7">
                  <c:v>2.8583503517135087</c:v>
                </c:pt>
                <c:pt idx="8">
                  <c:v>2.1621818642524109</c:v>
                </c:pt>
                <c:pt idx="9">
                  <c:v>1.4453954031861791</c:v>
                </c:pt>
                <c:pt idx="10">
                  <c:v>0.70712300029505204</c:v>
                </c:pt>
                <c:pt idx="11">
                  <c:v>-5.3521208892657442E-2</c:v>
                </c:pt>
                <c:pt idx="12">
                  <c:v>-0.83744098510063447</c:v>
                </c:pt>
                <c:pt idx="13">
                  <c:v>-1.6455579853045188</c:v>
                </c:pt>
                <c:pt idx="14">
                  <c:v>-2.4788117627318496</c:v>
                </c:pt>
                <c:pt idx="15">
                  <c:v>-3.3381597668621916</c:v>
                </c:pt>
                <c:pt idx="16">
                  <c:v>-4.2245773434269935</c:v>
                </c:pt>
                <c:pt idx="17">
                  <c:v>-5.1390577344097084</c:v>
                </c:pt>
                <c:pt idx="18">
                  <c:v>-6.0826120780457433</c:v>
                </c:pt>
                <c:pt idx="19">
                  <c:v>-7.05626940882241</c:v>
                </c:pt>
                <c:pt idx="20">
                  <c:v>-8.0610766574790258</c:v>
                </c:pt>
                <c:pt idx="21">
                  <c:v>-9.0980986510068576</c:v>
                </c:pt>
                <c:pt idx="22">
                  <c:v>-10.168418112649075</c:v>
                </c:pt>
                <c:pt idx="23">
                  <c:v>-11.273135661900874</c:v>
                </c:pt>
                <c:pt idx="24">
                  <c:v>-12.413369814509336</c:v>
                </c:pt>
                <c:pt idx="25">
                  <c:v>-13.590256982473543</c:v>
                </c:pt>
                <c:pt idx="26">
                  <c:v>-14.804951474044532</c:v>
                </c:pt>
                <c:pt idx="27">
                  <c:v>-16.058625493725245</c:v>
                </c:pt>
                <c:pt idx="28">
                  <c:v>-17.35246914227065</c:v>
                </c:pt>
                <c:pt idx="29">
                  <c:v>-18.687690416687587</c:v>
                </c:pt>
                <c:pt idx="30">
                  <c:v>-20.065515210234913</c:v>
                </c:pt>
                <c:pt idx="31">
                  <c:v>-21.487187312423437</c:v>
                </c:pt>
                <c:pt idx="32">
                  <c:v>-22.953968409015864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1E-4B0A-AF62-BAC0414D7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009008"/>
        <c:axId val="619009336"/>
      </c:scatterChart>
      <c:valAx>
        <c:axId val="619009008"/>
        <c:scaling>
          <c:orientation val="minMax"/>
          <c:max val="36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Radiator Temperature Guess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009336"/>
        <c:crosses val="autoZero"/>
        <c:crossBetween val="midCat"/>
      </c:valAx>
      <c:valAx>
        <c:axId val="61900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</a:t>
                </a:r>
                <a:r>
                  <a:rPr lang="en-US" baseline="0"/>
                  <a:t> Heat In/Out (W)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00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4th-order Polynomial Steady-State Orbital Average Radiator Energy Balance for Different Angles of Solar Incidence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90 degrees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'Incident Angle Study'!$F$5:$F$37</c:f>
              <c:numCache>
                <c:formatCode>General</c:formatCode>
                <c:ptCount val="33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</c:numCache>
            </c:numRef>
          </c:xVal>
          <c:yVal>
            <c:numRef>
              <c:f>'Incident Angle Study'!$H$5:$H$37</c:f>
              <c:numCache>
                <c:formatCode>General</c:formatCode>
                <c:ptCount val="33"/>
                <c:pt idx="0">
                  <c:v>7.3695066489923002</c:v>
                </c:pt>
                <c:pt idx="1">
                  <c:v>6.860921454770943</c:v>
                </c:pt>
                <c:pt idx="2">
                  <c:v>6.3423073998019133</c:v>
                </c:pt>
                <c:pt idx="3">
                  <c:v>5.813169354447818</c:v>
                </c:pt>
                <c:pt idx="4">
                  <c:v>5.2730002582366433</c:v>
                </c:pt>
                <c:pt idx="5">
                  <c:v>4.7212811198617111</c:v>
                </c:pt>
                <c:pt idx="6">
                  <c:v>4.1574810171817322</c:v>
                </c:pt>
                <c:pt idx="7">
                  <c:v>3.5810570972207771</c:v>
                </c:pt>
                <c:pt idx="8">
                  <c:v>2.9914545761682825</c:v>
                </c:pt>
                <c:pt idx="9">
                  <c:v>2.3881067393790296</c:v>
                </c:pt>
                <c:pt idx="10">
                  <c:v>1.7704349413731766</c:v>
                </c:pt>
                <c:pt idx="11">
                  <c:v>1.1378486058362749</c:v>
                </c:pt>
                <c:pt idx="12">
                  <c:v>0.48974522561919437</c:v>
                </c:pt>
                <c:pt idx="13">
                  <c:v>-0.17448963726182962</c:v>
                </c:pt>
                <c:pt idx="14">
                  <c:v>-0.85548235162514574</c:v>
                </c:pt>
                <c:pt idx="15">
                  <c:v>-1.553871217123808</c:v>
                </c:pt>
                <c:pt idx="16">
                  <c:v>-2.2703064642454387</c:v>
                </c:pt>
                <c:pt idx="17">
                  <c:v>-3.0054502543123429</c:v>
                </c:pt>
                <c:pt idx="18">
                  <c:v>-3.7599766794814693</c:v>
                </c:pt>
                <c:pt idx="19">
                  <c:v>-4.5345717627443429</c:v>
                </c:pt>
                <c:pt idx="20">
                  <c:v>-5.3299334579271829</c:v>
                </c:pt>
                <c:pt idx="21">
                  <c:v>-6.1467716496908382</c:v>
                </c:pt>
                <c:pt idx="22">
                  <c:v>-6.985808153530745</c:v>
                </c:pt>
                <c:pt idx="23">
                  <c:v>-7.8477767157770462</c:v>
                </c:pt>
                <c:pt idx="24">
                  <c:v>-8.7334230135944484</c:v>
                </c:pt>
                <c:pt idx="25">
                  <c:v>-9.6435046549823493</c:v>
                </c:pt>
                <c:pt idx="26">
                  <c:v>-10.578791178774775</c:v>
                </c:pt>
                <c:pt idx="27">
                  <c:v>-11.540064054640348</c:v>
                </c:pt>
                <c:pt idx="28">
                  <c:v>-12.528116683082382</c:v>
                </c:pt>
                <c:pt idx="29">
                  <c:v>-13.543754395438773</c:v>
                </c:pt>
                <c:pt idx="30">
                  <c:v>-14.587794453882085</c:v>
                </c:pt>
                <c:pt idx="31">
                  <c:v>-15.661066051419537</c:v>
                </c:pt>
                <c:pt idx="32">
                  <c:v>-16.76441031189292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D0-4759-9ECC-C07DD0EE60EF}"/>
            </c:ext>
          </c:extLst>
        </c:ser>
        <c:ser>
          <c:idx val="1"/>
          <c:order val="1"/>
          <c:tx>
            <c:v>100 degrees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'Incident Angle Study'!$F$5:$F$37</c:f>
              <c:numCache>
                <c:formatCode>General</c:formatCode>
                <c:ptCount val="33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</c:numCache>
            </c:numRef>
          </c:xVal>
          <c:yVal>
            <c:numRef>
              <c:f>'Incident Angle Study'!$I$5:$I$37</c:f>
              <c:numCache>
                <c:formatCode>General</c:formatCode>
                <c:ptCount val="33"/>
                <c:pt idx="0">
                  <c:v>7.7096791225670103</c:v>
                </c:pt>
                <c:pt idx="1">
                  <c:v>7.201093928345653</c:v>
                </c:pt>
                <c:pt idx="2">
                  <c:v>6.6824798733766233</c:v>
                </c:pt>
                <c:pt idx="3">
                  <c:v>6.153341828022528</c:v>
                </c:pt>
                <c:pt idx="4">
                  <c:v>5.6131727318113533</c:v>
                </c:pt>
                <c:pt idx="5">
                  <c:v>5.0614535934364211</c:v>
                </c:pt>
                <c:pt idx="6">
                  <c:v>4.4976534907564423</c:v>
                </c:pt>
                <c:pt idx="7">
                  <c:v>3.9212295707954876</c:v>
                </c:pt>
                <c:pt idx="8">
                  <c:v>3.331627049742993</c:v>
                </c:pt>
                <c:pt idx="9">
                  <c:v>2.7282792129537401</c:v>
                </c:pt>
                <c:pt idx="10">
                  <c:v>2.1106074149478866</c:v>
                </c:pt>
                <c:pt idx="11">
                  <c:v>1.4780210794109849</c:v>
                </c:pt>
                <c:pt idx="12">
                  <c:v>0.82991769919390457</c:v>
                </c:pt>
                <c:pt idx="13">
                  <c:v>0.16568283631288058</c:v>
                </c:pt>
                <c:pt idx="14">
                  <c:v>-0.51530987805043549</c:v>
                </c:pt>
                <c:pt idx="15">
                  <c:v>-1.213698743549098</c:v>
                </c:pt>
                <c:pt idx="16">
                  <c:v>-1.9301339906707284</c:v>
                </c:pt>
                <c:pt idx="17">
                  <c:v>-2.6652777807376324</c:v>
                </c:pt>
                <c:pt idx="18">
                  <c:v>-3.4198042059067588</c:v>
                </c:pt>
                <c:pt idx="19">
                  <c:v>-4.1943992891696329</c:v>
                </c:pt>
                <c:pt idx="20">
                  <c:v>-4.9897609843524728</c:v>
                </c:pt>
                <c:pt idx="21">
                  <c:v>-5.8065991761161282</c:v>
                </c:pt>
                <c:pt idx="22">
                  <c:v>-6.645635679956035</c:v>
                </c:pt>
                <c:pt idx="23">
                  <c:v>-7.5076042422023361</c:v>
                </c:pt>
                <c:pt idx="24">
                  <c:v>-8.3932505400197375</c:v>
                </c:pt>
                <c:pt idx="25">
                  <c:v>-9.3033321814076384</c:v>
                </c:pt>
                <c:pt idx="26">
                  <c:v>-10.238618705200064</c:v>
                </c:pt>
                <c:pt idx="27">
                  <c:v>-11.199891581065637</c:v>
                </c:pt>
                <c:pt idx="28">
                  <c:v>-12.187944209507672</c:v>
                </c:pt>
                <c:pt idx="29">
                  <c:v>-13.203581921864062</c:v>
                </c:pt>
                <c:pt idx="30">
                  <c:v>-14.247621980307374</c:v>
                </c:pt>
                <c:pt idx="31">
                  <c:v>-15.320893577844826</c:v>
                </c:pt>
                <c:pt idx="32">
                  <c:v>-16.424237838318209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D0-4759-9ECC-C07DD0EE60EF}"/>
            </c:ext>
          </c:extLst>
        </c:ser>
        <c:ser>
          <c:idx val="2"/>
          <c:order val="2"/>
          <c:tx>
            <c:v>110 degrees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'Incident Angle Study'!$F$5:$F$37</c:f>
              <c:numCache>
                <c:formatCode>General</c:formatCode>
                <c:ptCount val="33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</c:numCache>
            </c:numRef>
          </c:xVal>
          <c:yVal>
            <c:numRef>
              <c:f>'Incident Angle Study'!$J$5:$J$37</c:f>
              <c:numCache>
                <c:formatCode>General</c:formatCode>
                <c:ptCount val="33"/>
                <c:pt idx="0">
                  <c:v>8.0395156276677309</c:v>
                </c:pt>
                <c:pt idx="1">
                  <c:v>7.5309304334463736</c:v>
                </c:pt>
                <c:pt idx="2">
                  <c:v>7.0123163784773439</c:v>
                </c:pt>
                <c:pt idx="3">
                  <c:v>6.4831783331232486</c:v>
                </c:pt>
                <c:pt idx="4">
                  <c:v>5.9430092369120739</c:v>
                </c:pt>
                <c:pt idx="5">
                  <c:v>5.3912900985371417</c:v>
                </c:pt>
                <c:pt idx="6">
                  <c:v>4.8274899958571629</c:v>
                </c:pt>
                <c:pt idx="7">
                  <c:v>4.2510660758962073</c:v>
                </c:pt>
                <c:pt idx="8">
                  <c:v>3.6614635548437131</c:v>
                </c:pt>
                <c:pt idx="9">
                  <c:v>3.0581157180544603</c:v>
                </c:pt>
                <c:pt idx="10">
                  <c:v>2.4404439200486068</c:v>
                </c:pt>
                <c:pt idx="11">
                  <c:v>1.8078575845117051</c:v>
                </c:pt>
                <c:pt idx="12">
                  <c:v>1.1597542042946247</c:v>
                </c:pt>
                <c:pt idx="13">
                  <c:v>0.49551934141360077</c:v>
                </c:pt>
                <c:pt idx="14">
                  <c:v>-0.18547337294971533</c:v>
                </c:pt>
                <c:pt idx="15">
                  <c:v>-0.88386223844837775</c:v>
                </c:pt>
                <c:pt idx="16">
                  <c:v>-1.6002974855700081</c:v>
                </c:pt>
                <c:pt idx="17">
                  <c:v>-2.3354412756369123</c:v>
                </c:pt>
                <c:pt idx="18">
                  <c:v>-3.0899677008060387</c:v>
                </c:pt>
                <c:pt idx="19">
                  <c:v>-3.8645627840689123</c:v>
                </c:pt>
                <c:pt idx="20">
                  <c:v>-4.6599244792517522</c:v>
                </c:pt>
                <c:pt idx="21">
                  <c:v>-5.4767626710154076</c:v>
                </c:pt>
                <c:pt idx="22">
                  <c:v>-6.3157991748553144</c:v>
                </c:pt>
                <c:pt idx="23">
                  <c:v>-7.1777677371016155</c:v>
                </c:pt>
                <c:pt idx="24">
                  <c:v>-8.0634140349190186</c:v>
                </c:pt>
                <c:pt idx="25">
                  <c:v>-8.9734956763069196</c:v>
                </c:pt>
                <c:pt idx="26">
                  <c:v>-9.9087822000993455</c:v>
                </c:pt>
                <c:pt idx="27">
                  <c:v>-10.870055075964919</c:v>
                </c:pt>
                <c:pt idx="28">
                  <c:v>-11.858107704406953</c:v>
                </c:pt>
                <c:pt idx="29">
                  <c:v>-12.873745416763343</c:v>
                </c:pt>
                <c:pt idx="30">
                  <c:v>-13.917785475206655</c:v>
                </c:pt>
                <c:pt idx="31">
                  <c:v>-14.991057072744107</c:v>
                </c:pt>
                <c:pt idx="32">
                  <c:v>-16.09440133321749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D0-4759-9ECC-C07DD0EE60EF}"/>
            </c:ext>
          </c:extLst>
        </c:ser>
        <c:ser>
          <c:idx val="3"/>
          <c:order val="3"/>
          <c:tx>
            <c:v>120 degrees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'Incident Angle Study'!$F$5:$F$37</c:f>
              <c:numCache>
                <c:formatCode>General</c:formatCode>
                <c:ptCount val="33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</c:numCache>
            </c:numRef>
          </c:xVal>
          <c:yVal>
            <c:numRef>
              <c:f>'Incident Angle Study'!$K$5:$K$37</c:f>
              <c:numCache>
                <c:formatCode>General</c:formatCode>
                <c:ptCount val="33"/>
                <c:pt idx="0">
                  <c:v>8.3489942489922999</c:v>
                </c:pt>
                <c:pt idx="1">
                  <c:v>7.8404090547709426</c:v>
                </c:pt>
                <c:pt idx="2">
                  <c:v>7.321794999801913</c:v>
                </c:pt>
                <c:pt idx="3">
                  <c:v>6.7926569544478177</c:v>
                </c:pt>
                <c:pt idx="4">
                  <c:v>6.252487858236643</c:v>
                </c:pt>
                <c:pt idx="5">
                  <c:v>5.7007687198617107</c:v>
                </c:pt>
                <c:pt idx="6">
                  <c:v>5.1369686171817319</c:v>
                </c:pt>
                <c:pt idx="7">
                  <c:v>4.5605446972207764</c:v>
                </c:pt>
                <c:pt idx="8">
                  <c:v>3.9709421761682822</c:v>
                </c:pt>
                <c:pt idx="9">
                  <c:v>3.3675943393790293</c:v>
                </c:pt>
                <c:pt idx="10">
                  <c:v>2.7499225413731758</c:v>
                </c:pt>
                <c:pt idx="11">
                  <c:v>2.1173362058362741</c:v>
                </c:pt>
                <c:pt idx="12">
                  <c:v>1.4692328256191938</c:v>
                </c:pt>
                <c:pt idx="13">
                  <c:v>0.80499796273816981</c:v>
                </c:pt>
                <c:pt idx="14">
                  <c:v>0.12400524837485372</c:v>
                </c:pt>
                <c:pt idx="15">
                  <c:v>-0.5743836171238087</c:v>
                </c:pt>
                <c:pt idx="16">
                  <c:v>-1.290818864245439</c:v>
                </c:pt>
                <c:pt idx="17">
                  <c:v>-2.0259626543123432</c:v>
                </c:pt>
                <c:pt idx="18">
                  <c:v>-2.7804890794814696</c:v>
                </c:pt>
                <c:pt idx="19">
                  <c:v>-3.5550841627443432</c:v>
                </c:pt>
                <c:pt idx="20">
                  <c:v>-4.3504458579271832</c:v>
                </c:pt>
                <c:pt idx="21">
                  <c:v>-5.1672840496908385</c:v>
                </c:pt>
                <c:pt idx="22">
                  <c:v>-6.0063205535307453</c:v>
                </c:pt>
                <c:pt idx="23">
                  <c:v>-6.8682891157770465</c:v>
                </c:pt>
                <c:pt idx="24">
                  <c:v>-7.7539354135944487</c:v>
                </c:pt>
                <c:pt idx="25">
                  <c:v>-8.6640170549823505</c:v>
                </c:pt>
                <c:pt idx="26">
                  <c:v>-9.5993035787747765</c:v>
                </c:pt>
                <c:pt idx="27">
                  <c:v>-10.56057645464035</c:v>
                </c:pt>
                <c:pt idx="28">
                  <c:v>-11.548629083082384</c:v>
                </c:pt>
                <c:pt idx="29">
                  <c:v>-12.564266795438774</c:v>
                </c:pt>
                <c:pt idx="30">
                  <c:v>-13.608306853882086</c:v>
                </c:pt>
                <c:pt idx="31">
                  <c:v>-14.681578451419538</c:v>
                </c:pt>
                <c:pt idx="32">
                  <c:v>-15.784922711892921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D0-4759-9ECC-C07DD0EE60EF}"/>
            </c:ext>
          </c:extLst>
        </c:ser>
        <c:ser>
          <c:idx val="4"/>
          <c:order val="4"/>
          <c:tx>
            <c:v>130 degrees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'Incident Angle Study'!$F$5:$F$37</c:f>
              <c:numCache>
                <c:formatCode>General</c:formatCode>
                <c:ptCount val="33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</c:numCache>
            </c:numRef>
          </c:xVal>
          <c:yVal>
            <c:numRef>
              <c:f>'Incident Angle Study'!$L$5:$L$37</c:f>
              <c:numCache>
                <c:formatCode>General</c:formatCode>
                <c:ptCount val="33"/>
                <c:pt idx="0">
                  <c:v>8.6287116352355113</c:v>
                </c:pt>
                <c:pt idx="1">
                  <c:v>8.120126441014154</c:v>
                </c:pt>
                <c:pt idx="2">
                  <c:v>7.6015123860451235</c:v>
                </c:pt>
                <c:pt idx="3">
                  <c:v>7.0723743406910282</c:v>
                </c:pt>
                <c:pt idx="4">
                  <c:v>6.5322052444798535</c:v>
                </c:pt>
                <c:pt idx="5">
                  <c:v>5.9804861061049213</c:v>
                </c:pt>
                <c:pt idx="6">
                  <c:v>5.4166860034249424</c:v>
                </c:pt>
                <c:pt idx="7">
                  <c:v>4.8402620834639878</c:v>
                </c:pt>
                <c:pt idx="8">
                  <c:v>4.2506595624114931</c:v>
                </c:pt>
                <c:pt idx="9">
                  <c:v>3.6473117256222398</c:v>
                </c:pt>
                <c:pt idx="10">
                  <c:v>3.0296399276163868</c:v>
                </c:pt>
                <c:pt idx="11">
                  <c:v>2.3970535920794851</c:v>
                </c:pt>
                <c:pt idx="12">
                  <c:v>1.7489502118624047</c:v>
                </c:pt>
                <c:pt idx="13">
                  <c:v>1.0847153489813808</c:v>
                </c:pt>
                <c:pt idx="14">
                  <c:v>0.40372263461806457</c:v>
                </c:pt>
                <c:pt idx="15">
                  <c:v>-0.29466623088059785</c:v>
                </c:pt>
                <c:pt idx="16">
                  <c:v>-1.0111014780022283</c:v>
                </c:pt>
                <c:pt idx="17">
                  <c:v>-1.7462452680691325</c:v>
                </c:pt>
                <c:pt idx="18">
                  <c:v>-2.5007716932382591</c:v>
                </c:pt>
                <c:pt idx="19">
                  <c:v>-3.2753667765011327</c:v>
                </c:pt>
                <c:pt idx="20">
                  <c:v>-4.0707284716839727</c:v>
                </c:pt>
                <c:pt idx="21">
                  <c:v>-4.887566663447628</c:v>
                </c:pt>
                <c:pt idx="22">
                  <c:v>-5.7266031672875348</c:v>
                </c:pt>
                <c:pt idx="23">
                  <c:v>-6.588571729533836</c:v>
                </c:pt>
                <c:pt idx="24">
                  <c:v>-7.4742180273512382</c:v>
                </c:pt>
                <c:pt idx="25">
                  <c:v>-8.3842996687391391</c:v>
                </c:pt>
                <c:pt idx="26">
                  <c:v>-9.3195861925315651</c:v>
                </c:pt>
                <c:pt idx="27">
                  <c:v>-10.280859068397138</c:v>
                </c:pt>
                <c:pt idx="28">
                  <c:v>-11.268911696839172</c:v>
                </c:pt>
                <c:pt idx="29">
                  <c:v>-12.284549409195563</c:v>
                </c:pt>
                <c:pt idx="30">
                  <c:v>-13.328589467638874</c:v>
                </c:pt>
                <c:pt idx="31">
                  <c:v>-14.401861065176327</c:v>
                </c:pt>
                <c:pt idx="32">
                  <c:v>-15.50520532564971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D0-4759-9ECC-C07DD0EE60EF}"/>
            </c:ext>
          </c:extLst>
        </c:ser>
        <c:ser>
          <c:idx val="5"/>
          <c:order val="5"/>
          <c:tx>
            <c:v>140 degrees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'Incident Angle Study'!$F$5:$F$37</c:f>
              <c:numCache>
                <c:formatCode>General</c:formatCode>
                <c:ptCount val="33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</c:numCache>
            </c:numRef>
          </c:xVal>
          <c:yVal>
            <c:numRef>
              <c:f>'Incident Angle Study'!$M$5:$M$37</c:f>
              <c:numCache>
                <c:formatCode>General</c:formatCode>
                <c:ptCount val="33"/>
                <c:pt idx="0">
                  <c:v>8.8701687151601885</c:v>
                </c:pt>
                <c:pt idx="1">
                  <c:v>8.3615835209388312</c:v>
                </c:pt>
                <c:pt idx="2">
                  <c:v>7.8429694659698015</c:v>
                </c:pt>
                <c:pt idx="3">
                  <c:v>7.3138314206157062</c:v>
                </c:pt>
                <c:pt idx="4">
                  <c:v>6.7736623244045315</c:v>
                </c:pt>
                <c:pt idx="5">
                  <c:v>6.2219431860295993</c:v>
                </c:pt>
                <c:pt idx="6">
                  <c:v>5.6581430833496205</c:v>
                </c:pt>
                <c:pt idx="7">
                  <c:v>5.0817191633886658</c:v>
                </c:pt>
                <c:pt idx="8">
                  <c:v>4.4921166423361711</c:v>
                </c:pt>
                <c:pt idx="9">
                  <c:v>3.8887688055469178</c:v>
                </c:pt>
                <c:pt idx="10">
                  <c:v>3.2710970075410648</c:v>
                </c:pt>
                <c:pt idx="11">
                  <c:v>2.6385106720041631</c:v>
                </c:pt>
                <c:pt idx="12">
                  <c:v>1.9904072917870828</c:v>
                </c:pt>
                <c:pt idx="13">
                  <c:v>1.3261724289060588</c:v>
                </c:pt>
                <c:pt idx="14">
                  <c:v>0.64517971454274259</c:v>
                </c:pt>
                <c:pt idx="15">
                  <c:v>-5.3209150955919826E-2</c:v>
                </c:pt>
                <c:pt idx="16">
                  <c:v>-0.76964439807755025</c:v>
                </c:pt>
                <c:pt idx="17">
                  <c:v>-1.5047881881444545</c:v>
                </c:pt>
                <c:pt idx="18">
                  <c:v>-2.2593146133135811</c:v>
                </c:pt>
                <c:pt idx="19">
                  <c:v>-3.0339096965764547</c:v>
                </c:pt>
                <c:pt idx="20">
                  <c:v>-3.8292713917592947</c:v>
                </c:pt>
                <c:pt idx="21">
                  <c:v>-4.64610958352295</c:v>
                </c:pt>
                <c:pt idx="22">
                  <c:v>-5.4851460873628568</c:v>
                </c:pt>
                <c:pt idx="23">
                  <c:v>-6.3471146496091579</c:v>
                </c:pt>
                <c:pt idx="24">
                  <c:v>-7.2327609474265602</c:v>
                </c:pt>
                <c:pt idx="25">
                  <c:v>-8.1428425888144602</c:v>
                </c:pt>
                <c:pt idx="26">
                  <c:v>-9.0781291126068862</c:v>
                </c:pt>
                <c:pt idx="27">
                  <c:v>-10.039401988472459</c:v>
                </c:pt>
                <c:pt idx="28">
                  <c:v>-11.027454616914493</c:v>
                </c:pt>
                <c:pt idx="29">
                  <c:v>-12.043092329270884</c:v>
                </c:pt>
                <c:pt idx="30">
                  <c:v>-13.087132387714195</c:v>
                </c:pt>
                <c:pt idx="31">
                  <c:v>-14.160403985251648</c:v>
                </c:pt>
                <c:pt idx="32">
                  <c:v>-15.263748245725031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2D0-4759-9ECC-C07DD0EE60EF}"/>
            </c:ext>
          </c:extLst>
        </c:ser>
        <c:ser>
          <c:idx val="6"/>
          <c:order val="6"/>
          <c:tx>
            <c:v>150 degrees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'Incident Angle Study'!$F$5:$F$37</c:f>
              <c:numCache>
                <c:formatCode>General</c:formatCode>
                <c:ptCount val="33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</c:numCache>
            </c:numRef>
          </c:xVal>
          <c:yVal>
            <c:numRef>
              <c:f>'Incident Angle Study'!$N$5:$N$37</c:f>
              <c:numCache>
                <c:formatCode>General</c:formatCode>
                <c:ptCount val="33"/>
                <c:pt idx="0">
                  <c:v>9.0660289375760019</c:v>
                </c:pt>
                <c:pt idx="1">
                  <c:v>8.5574437433546446</c:v>
                </c:pt>
                <c:pt idx="2">
                  <c:v>8.038829688385615</c:v>
                </c:pt>
                <c:pt idx="3">
                  <c:v>7.5096916430315197</c:v>
                </c:pt>
                <c:pt idx="4">
                  <c:v>6.969522546820345</c:v>
                </c:pt>
                <c:pt idx="5">
                  <c:v>6.4178034084454127</c:v>
                </c:pt>
                <c:pt idx="6">
                  <c:v>5.8540033057654339</c:v>
                </c:pt>
                <c:pt idx="7">
                  <c:v>5.2775793858044793</c:v>
                </c:pt>
                <c:pt idx="8">
                  <c:v>4.6879768647519846</c:v>
                </c:pt>
                <c:pt idx="9">
                  <c:v>4.0846290279627313</c:v>
                </c:pt>
                <c:pt idx="10">
                  <c:v>3.4669572299568783</c:v>
                </c:pt>
                <c:pt idx="11">
                  <c:v>2.8343708944199761</c:v>
                </c:pt>
                <c:pt idx="12">
                  <c:v>2.1862675142028958</c:v>
                </c:pt>
                <c:pt idx="13">
                  <c:v>1.522032651321872</c:v>
                </c:pt>
                <c:pt idx="14">
                  <c:v>0.84103993695855583</c:v>
                </c:pt>
                <c:pt idx="15">
                  <c:v>0.14265107145989342</c:v>
                </c:pt>
                <c:pt idx="16">
                  <c:v>-0.57378417566173701</c:v>
                </c:pt>
                <c:pt idx="17">
                  <c:v>-1.3089279657286412</c:v>
                </c:pt>
                <c:pt idx="18">
                  <c:v>-2.0634543908977676</c:v>
                </c:pt>
                <c:pt idx="19">
                  <c:v>-2.8380494741606412</c:v>
                </c:pt>
                <c:pt idx="20">
                  <c:v>-3.6334111693434812</c:v>
                </c:pt>
                <c:pt idx="21">
                  <c:v>-4.4502493611071365</c:v>
                </c:pt>
                <c:pt idx="22">
                  <c:v>-5.2892858649470433</c:v>
                </c:pt>
                <c:pt idx="23">
                  <c:v>-6.1512544271933445</c:v>
                </c:pt>
                <c:pt idx="24">
                  <c:v>-7.0369007250107467</c:v>
                </c:pt>
                <c:pt idx="25">
                  <c:v>-7.9469823663986476</c:v>
                </c:pt>
                <c:pt idx="26">
                  <c:v>-8.8822688901910745</c:v>
                </c:pt>
                <c:pt idx="27">
                  <c:v>-9.8435417660566458</c:v>
                </c:pt>
                <c:pt idx="28">
                  <c:v>-10.83159439449868</c:v>
                </c:pt>
                <c:pt idx="29">
                  <c:v>-11.847232106855071</c:v>
                </c:pt>
                <c:pt idx="30">
                  <c:v>-12.891272165298382</c:v>
                </c:pt>
                <c:pt idx="31">
                  <c:v>-13.964543762835834</c:v>
                </c:pt>
                <c:pt idx="32">
                  <c:v>-15.067888023309219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2D0-4759-9ECC-C07DD0EE60EF}"/>
            </c:ext>
          </c:extLst>
        </c:ser>
        <c:ser>
          <c:idx val="7"/>
          <c:order val="7"/>
          <c:tx>
            <c:v>160 degrees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'Incident Angle Study'!$F$5:$F$37</c:f>
              <c:numCache>
                <c:formatCode>General</c:formatCode>
                <c:ptCount val="33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</c:numCache>
            </c:numRef>
          </c:xVal>
          <c:yVal>
            <c:numRef>
              <c:f>'Incident Angle Study'!$O$5:$O$37</c:f>
              <c:numCache>
                <c:formatCode>General</c:formatCode>
                <c:ptCount val="33"/>
                <c:pt idx="0">
                  <c:v>9.2103411887348994</c:v>
                </c:pt>
                <c:pt idx="1">
                  <c:v>8.7017559945135421</c:v>
                </c:pt>
                <c:pt idx="2">
                  <c:v>8.1831419395445124</c:v>
                </c:pt>
                <c:pt idx="3">
                  <c:v>7.6540038941904172</c:v>
                </c:pt>
                <c:pt idx="4">
                  <c:v>7.1138347979792425</c:v>
                </c:pt>
                <c:pt idx="5">
                  <c:v>6.5621156596043102</c:v>
                </c:pt>
                <c:pt idx="6">
                  <c:v>5.9983155569243314</c:v>
                </c:pt>
                <c:pt idx="7">
                  <c:v>5.4218916369633758</c:v>
                </c:pt>
                <c:pt idx="8">
                  <c:v>4.8322891159108812</c:v>
                </c:pt>
                <c:pt idx="9">
                  <c:v>4.2289412791216288</c:v>
                </c:pt>
                <c:pt idx="10">
                  <c:v>3.6112694811157753</c:v>
                </c:pt>
                <c:pt idx="11">
                  <c:v>2.9786831455788736</c:v>
                </c:pt>
                <c:pt idx="12">
                  <c:v>2.3305797653617932</c:v>
                </c:pt>
                <c:pt idx="13">
                  <c:v>1.6663449024807693</c:v>
                </c:pt>
                <c:pt idx="14">
                  <c:v>0.98535218811745306</c:v>
                </c:pt>
                <c:pt idx="15">
                  <c:v>0.28696332261879065</c:v>
                </c:pt>
                <c:pt idx="16">
                  <c:v>-0.42947192450283977</c:v>
                </c:pt>
                <c:pt idx="17">
                  <c:v>-1.164615714569744</c:v>
                </c:pt>
                <c:pt idx="18">
                  <c:v>-1.9191421397388704</c:v>
                </c:pt>
                <c:pt idx="19">
                  <c:v>-2.6937372230017438</c:v>
                </c:pt>
                <c:pt idx="20">
                  <c:v>-3.4890989181845837</c:v>
                </c:pt>
                <c:pt idx="21">
                  <c:v>-4.3059371099482391</c:v>
                </c:pt>
                <c:pt idx="22">
                  <c:v>-5.1449736137881459</c:v>
                </c:pt>
                <c:pt idx="23">
                  <c:v>-6.006942176034447</c:v>
                </c:pt>
                <c:pt idx="24">
                  <c:v>-6.8925884738518493</c:v>
                </c:pt>
                <c:pt idx="25">
                  <c:v>-7.8026701152397502</c:v>
                </c:pt>
                <c:pt idx="26">
                  <c:v>-8.737956639032177</c:v>
                </c:pt>
                <c:pt idx="27">
                  <c:v>-9.6992295148977501</c:v>
                </c:pt>
                <c:pt idx="28">
                  <c:v>-10.687282143339784</c:v>
                </c:pt>
                <c:pt idx="29">
                  <c:v>-11.702919855696175</c:v>
                </c:pt>
                <c:pt idx="30">
                  <c:v>-12.746959914139486</c:v>
                </c:pt>
                <c:pt idx="31">
                  <c:v>-13.820231511676939</c:v>
                </c:pt>
                <c:pt idx="32">
                  <c:v>-14.923575772150322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2D0-4759-9ECC-C07DD0EE60EF}"/>
            </c:ext>
          </c:extLst>
        </c:ser>
        <c:ser>
          <c:idx val="8"/>
          <c:order val="8"/>
          <c:tx>
            <c:v>170 degrees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'Incident Angle Study'!$F$5:$F$37</c:f>
              <c:numCache>
                <c:formatCode>General</c:formatCode>
                <c:ptCount val="33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</c:numCache>
            </c:numRef>
          </c:xVal>
          <c:yVal>
            <c:numRef>
              <c:f>'Incident Angle Study'!$P$5:$P$37</c:f>
              <c:numCache>
                <c:formatCode>General</c:formatCode>
                <c:ptCount val="33"/>
                <c:pt idx="0">
                  <c:v>9.2987206139109411</c:v>
                </c:pt>
                <c:pt idx="1">
                  <c:v>8.7901354196895838</c:v>
                </c:pt>
                <c:pt idx="2">
                  <c:v>8.2715213647205541</c:v>
                </c:pt>
                <c:pt idx="3">
                  <c:v>7.7423833193664588</c:v>
                </c:pt>
                <c:pt idx="4">
                  <c:v>7.2022142231552841</c:v>
                </c:pt>
                <c:pt idx="5">
                  <c:v>6.6504950847803519</c:v>
                </c:pt>
                <c:pt idx="6">
                  <c:v>6.0866949821003731</c:v>
                </c:pt>
                <c:pt idx="7">
                  <c:v>5.5102710621394184</c:v>
                </c:pt>
                <c:pt idx="8">
                  <c:v>4.9206685410869238</c:v>
                </c:pt>
                <c:pt idx="9">
                  <c:v>4.3173207042976705</c:v>
                </c:pt>
                <c:pt idx="10">
                  <c:v>3.6996489062918174</c:v>
                </c:pt>
                <c:pt idx="11">
                  <c:v>3.0670625707549153</c:v>
                </c:pt>
                <c:pt idx="12">
                  <c:v>2.4189591905378349</c:v>
                </c:pt>
                <c:pt idx="13">
                  <c:v>1.7547243276568112</c:v>
                </c:pt>
                <c:pt idx="14">
                  <c:v>1.0737316132934951</c:v>
                </c:pt>
                <c:pt idx="15">
                  <c:v>0.37534274779483257</c:v>
                </c:pt>
                <c:pt idx="16">
                  <c:v>-0.34109249932679786</c:v>
                </c:pt>
                <c:pt idx="17">
                  <c:v>-1.0762362893937021</c:v>
                </c:pt>
                <c:pt idx="18">
                  <c:v>-1.8307627145628285</c:v>
                </c:pt>
                <c:pt idx="19">
                  <c:v>-2.6053577978257021</c:v>
                </c:pt>
                <c:pt idx="20">
                  <c:v>-3.400719493008542</c:v>
                </c:pt>
                <c:pt idx="21">
                  <c:v>-4.2175576847721974</c:v>
                </c:pt>
                <c:pt idx="22">
                  <c:v>-5.0565941886121042</c:v>
                </c:pt>
                <c:pt idx="23">
                  <c:v>-5.9185627508584053</c:v>
                </c:pt>
                <c:pt idx="24">
                  <c:v>-6.8042090486758076</c:v>
                </c:pt>
                <c:pt idx="25">
                  <c:v>-7.7142906900637085</c:v>
                </c:pt>
                <c:pt idx="26">
                  <c:v>-8.6495772138561335</c:v>
                </c:pt>
                <c:pt idx="27">
                  <c:v>-9.6108500897217084</c:v>
                </c:pt>
                <c:pt idx="28">
                  <c:v>-10.598902718163743</c:v>
                </c:pt>
                <c:pt idx="29">
                  <c:v>-11.614540430520133</c:v>
                </c:pt>
                <c:pt idx="30">
                  <c:v>-12.658580488963445</c:v>
                </c:pt>
                <c:pt idx="31">
                  <c:v>-13.731852086500897</c:v>
                </c:pt>
                <c:pt idx="32">
                  <c:v>-14.835196346974278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2D0-4759-9ECC-C07DD0EE60EF}"/>
            </c:ext>
          </c:extLst>
        </c:ser>
        <c:ser>
          <c:idx val="9"/>
          <c:order val="9"/>
          <c:tx>
            <c:v>180 degrees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'Incident Angle Study'!$F$5:$F$37</c:f>
              <c:numCache>
                <c:formatCode>General</c:formatCode>
                <c:ptCount val="33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</c:numCache>
            </c:numRef>
          </c:xVal>
          <c:yVal>
            <c:numRef>
              <c:f>'Incident Angle Study'!$Q$5:$Q$37</c:f>
              <c:numCache>
                <c:formatCode>General</c:formatCode>
                <c:ptCount val="33"/>
                <c:pt idx="0">
                  <c:v>9.3284818489923005</c:v>
                </c:pt>
                <c:pt idx="1">
                  <c:v>8.8198966547709432</c:v>
                </c:pt>
                <c:pt idx="2">
                  <c:v>8.3012825998019135</c:v>
                </c:pt>
                <c:pt idx="3">
                  <c:v>7.7721445544478183</c:v>
                </c:pt>
                <c:pt idx="4">
                  <c:v>7.2319754582366436</c:v>
                </c:pt>
                <c:pt idx="5">
                  <c:v>6.6802563198617113</c:v>
                </c:pt>
                <c:pt idx="6">
                  <c:v>6.1164562171817325</c:v>
                </c:pt>
                <c:pt idx="7">
                  <c:v>5.5400322972207769</c:v>
                </c:pt>
                <c:pt idx="8">
                  <c:v>4.9504297761682823</c:v>
                </c:pt>
                <c:pt idx="9">
                  <c:v>4.3470819393790299</c:v>
                </c:pt>
                <c:pt idx="10">
                  <c:v>3.7294101413731764</c:v>
                </c:pt>
                <c:pt idx="11">
                  <c:v>3.0968238058362747</c:v>
                </c:pt>
                <c:pt idx="12">
                  <c:v>2.4487204256191943</c:v>
                </c:pt>
                <c:pt idx="13">
                  <c:v>1.7844855627381704</c:v>
                </c:pt>
                <c:pt idx="14">
                  <c:v>1.1034928483748541</c:v>
                </c:pt>
                <c:pt idx="15">
                  <c:v>0.40510398287619176</c:v>
                </c:pt>
                <c:pt idx="16">
                  <c:v>-0.31133126424543867</c:v>
                </c:pt>
                <c:pt idx="17">
                  <c:v>-1.0464750543123429</c:v>
                </c:pt>
                <c:pt idx="18">
                  <c:v>-1.8010014794814693</c:v>
                </c:pt>
                <c:pt idx="19">
                  <c:v>-2.5755965627443427</c:v>
                </c:pt>
                <c:pt idx="20">
                  <c:v>-3.3709582579271826</c:v>
                </c:pt>
                <c:pt idx="21">
                  <c:v>-4.187796449690838</c:v>
                </c:pt>
                <c:pt idx="22">
                  <c:v>-5.0268329535307448</c:v>
                </c:pt>
                <c:pt idx="23">
                  <c:v>-5.8888015157770459</c:v>
                </c:pt>
                <c:pt idx="24">
                  <c:v>-6.7744478135944481</c:v>
                </c:pt>
                <c:pt idx="25">
                  <c:v>-7.6845294549823491</c:v>
                </c:pt>
                <c:pt idx="26">
                  <c:v>-8.6198159787747759</c:v>
                </c:pt>
                <c:pt idx="27">
                  <c:v>-9.581088854640349</c:v>
                </c:pt>
                <c:pt idx="28">
                  <c:v>-10.569141483082383</c:v>
                </c:pt>
                <c:pt idx="29">
                  <c:v>-11.584779195438774</c:v>
                </c:pt>
                <c:pt idx="30">
                  <c:v>-12.628819253882085</c:v>
                </c:pt>
                <c:pt idx="31">
                  <c:v>-13.702090851419538</c:v>
                </c:pt>
                <c:pt idx="32">
                  <c:v>-14.805435111892921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2D0-4759-9ECC-C07DD0EE6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015928"/>
        <c:axId val="1067019864"/>
      </c:scatterChart>
      <c:valAx>
        <c:axId val="1067015928"/>
        <c:scaling>
          <c:orientation val="minMax"/>
          <c:max val="285"/>
          <c:min val="2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Radiator Temperature Guess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019864"/>
        <c:crosses val="autoZero"/>
        <c:crossBetween val="midCat"/>
      </c:valAx>
      <c:valAx>
        <c:axId val="1067019864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Heat In/Out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015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Radiator Temperature</a:t>
            </a:r>
            <a:r>
              <a:rPr lang="en-US" baseline="0"/>
              <a:t> as a Function of Angle of Solar Incidence on Radiator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'Incident Angle Study'!$A$4:$A$13</c:f>
              <c:numCache>
                <c:formatCode>General</c:formatCode>
                <c:ptCount val="10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140</c:v>
                </c:pt>
                <c:pt idx="6">
                  <c:v>150</c:v>
                </c:pt>
                <c:pt idx="7">
                  <c:v>160</c:v>
                </c:pt>
                <c:pt idx="8">
                  <c:v>170</c:v>
                </c:pt>
                <c:pt idx="9">
                  <c:v>180</c:v>
                </c:pt>
              </c:numCache>
            </c:numRef>
          </c:xVal>
          <c:yVal>
            <c:numRef>
              <c:f>'Incident Angle Study'!$D$4:$D$13</c:f>
              <c:numCache>
                <c:formatCode>General</c:formatCode>
                <c:ptCount val="10"/>
                <c:pt idx="0">
                  <c:v>263.68653659260667</c:v>
                </c:pt>
                <c:pt idx="1">
                  <c:v>266.21648024140597</c:v>
                </c:pt>
                <c:pt idx="2">
                  <c:v>268.63821323607607</c:v>
                </c:pt>
                <c:pt idx="3">
                  <c:v>270.88779514179618</c:v>
                </c:pt>
                <c:pt idx="4">
                  <c:v>272.89038567596435</c:v>
                </c:pt>
                <c:pt idx="5">
                  <c:v>274.61905785168892</c:v>
                </c:pt>
                <c:pt idx="6">
                  <c:v>275.99556151119737</c:v>
                </c:pt>
                <c:pt idx="7">
                  <c:v>277.00271639182819</c:v>
                </c:pt>
                <c:pt idx="8">
                  <c:v>277.61951620403113</c:v>
                </c:pt>
                <c:pt idx="9">
                  <c:v>277.82721979762823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94-4808-9CF1-9279C9107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938232"/>
        <c:axId val="1172930032"/>
      </c:scatterChart>
      <c:valAx>
        <c:axId val="1172938232"/>
        <c:scaling>
          <c:orientation val="minMax"/>
          <c:max val="180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Solar angle</a:t>
                </a:r>
                <a:r>
                  <a:rPr lang="en-US" baseline="0"/>
                  <a:t> of incidence on radiator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930032"/>
        <c:crosses val="autoZero"/>
        <c:crossBetween val="midCat"/>
      </c:valAx>
      <c:valAx>
        <c:axId val="1172930032"/>
        <c:scaling>
          <c:orientation val="minMax"/>
          <c:min val="2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Radiator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93823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1</xdr:row>
      <xdr:rowOff>71437</xdr:rowOff>
    </xdr:from>
    <xdr:to>
      <xdr:col>13</xdr:col>
      <xdr:colOff>9525</xdr:colOff>
      <xdr:row>15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0D1D76-9181-869B-AB80-A9E24916D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57150</xdr:rowOff>
    </xdr:from>
    <xdr:to>
      <xdr:col>11</xdr:col>
      <xdr:colOff>29519</xdr:colOff>
      <xdr:row>10</xdr:row>
      <xdr:rowOff>95495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1C310D-2317-2D07-7C06-BDC2A06DC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47650"/>
          <a:ext cx="6763694" cy="1752845"/>
        </a:xfrm>
        <a:prstGeom prst="rect">
          <a:avLst/>
        </a:prstGeom>
      </xdr:spPr>
    </xdr:pic>
    <xdr:clientData/>
  </xdr:twoCellAnchor>
  <xdr:twoCellAnchor>
    <xdr:from>
      <xdr:col>13</xdr:col>
      <xdr:colOff>200024</xdr:colOff>
      <xdr:row>4</xdr:row>
      <xdr:rowOff>85725</xdr:rowOff>
    </xdr:from>
    <xdr:to>
      <xdr:col>23</xdr:col>
      <xdr:colOff>304799</xdr:colOff>
      <xdr:row>21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CB1712-D11E-7060-ACCE-EE1F32187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</xdr:colOff>
      <xdr:row>16</xdr:row>
      <xdr:rowOff>147637</xdr:rowOff>
    </xdr:from>
    <xdr:to>
      <xdr:col>6</xdr:col>
      <xdr:colOff>404812</xdr:colOff>
      <xdr:row>31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C9CE36-1403-B566-1EA5-319669395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500062</xdr:colOff>
      <xdr:row>16</xdr:row>
      <xdr:rowOff>166687</xdr:rowOff>
    </xdr:from>
    <xdr:to>
      <xdr:col>14</xdr:col>
      <xdr:colOff>195262</xdr:colOff>
      <xdr:row>31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1D1833-E7A4-6DF4-A5E4-49C9E51C59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80F4-233F-478B-A4D9-771A87AAEBA7}">
  <dimension ref="A1:E44"/>
  <sheetViews>
    <sheetView workbookViewId="0">
      <selection activeCell="B7" sqref="B7"/>
    </sheetView>
  </sheetViews>
  <sheetFormatPr defaultRowHeight="15" x14ac:dyDescent="0.25"/>
  <cols>
    <col min="2" max="2" width="10" bestFit="1" customWidth="1"/>
    <col min="3" max="3" width="12.7109375" bestFit="1" customWidth="1"/>
  </cols>
  <sheetData>
    <row r="1" spans="1:5" x14ac:dyDescent="0.25">
      <c r="A1" t="s">
        <v>1</v>
      </c>
      <c r="B1">
        <v>27</v>
      </c>
      <c r="C1" t="s">
        <v>2</v>
      </c>
    </row>
    <row r="2" spans="1:5" x14ac:dyDescent="0.25">
      <c r="A2" t="s">
        <v>0</v>
      </c>
      <c r="B2">
        <v>8.11</v>
      </c>
      <c r="C2" t="s">
        <v>7</v>
      </c>
    </row>
    <row r="3" spans="1:5" x14ac:dyDescent="0.25">
      <c r="A3" t="s">
        <v>3</v>
      </c>
      <c r="B3">
        <v>2.5</v>
      </c>
      <c r="C3" t="s">
        <v>6</v>
      </c>
    </row>
    <row r="4" spans="1:5" x14ac:dyDescent="0.25">
      <c r="A4" t="s">
        <v>4</v>
      </c>
      <c r="B4">
        <f>B2/B3</f>
        <v>3.2439999999999998</v>
      </c>
      <c r="C4" t="s">
        <v>5</v>
      </c>
    </row>
    <row r="5" spans="1:5" x14ac:dyDescent="0.25">
      <c r="A5" t="s">
        <v>9</v>
      </c>
      <c r="B5">
        <v>12.9</v>
      </c>
      <c r="C5" t="s">
        <v>10</v>
      </c>
    </row>
    <row r="6" spans="1:5" x14ac:dyDescent="0.25">
      <c r="A6" t="s">
        <v>8</v>
      </c>
      <c r="B6">
        <f>(B5+B3^2*B4)/B3</f>
        <v>13.27</v>
      </c>
      <c r="C6" t="s">
        <v>7</v>
      </c>
    </row>
    <row r="7" spans="1:5" x14ac:dyDescent="0.25">
      <c r="A7" t="s">
        <v>13</v>
      </c>
      <c r="B7">
        <v>5</v>
      </c>
      <c r="C7" t="s">
        <v>14</v>
      </c>
    </row>
    <row r="9" spans="1:5" x14ac:dyDescent="0.25">
      <c r="A9" t="s">
        <v>11</v>
      </c>
      <c r="B9" t="s">
        <v>12</v>
      </c>
      <c r="C9" t="s">
        <v>15</v>
      </c>
      <c r="D9" t="s">
        <v>16</v>
      </c>
      <c r="E9" t="s">
        <v>17</v>
      </c>
    </row>
    <row r="10" spans="1:5" x14ac:dyDescent="0.25">
      <c r="A10">
        <v>0</v>
      </c>
      <c r="B10">
        <f>(0.2+A10^2*$B$4)/$B$7</f>
        <v>0.04</v>
      </c>
      <c r="C10">
        <f>(-$B$6*A10+(A10^2*$B$4)/2+0.2)/(0.08+$B$5/64.3)</f>
        <v>0.71270228330747065</v>
      </c>
      <c r="D10">
        <v>28</v>
      </c>
      <c r="E10">
        <f>SUM(B10:D10)</f>
        <v>28.752702283307471</v>
      </c>
    </row>
    <row r="11" spans="1:5" x14ac:dyDescent="0.25">
      <c r="A11">
        <v>0.15</v>
      </c>
      <c r="B11">
        <f t="shared" ref="B11:B44" si="0">(0.2+A11^2*$B$4)/$B$7</f>
        <v>5.4598000000000001E-2</v>
      </c>
      <c r="C11">
        <f t="shared" ref="C11:C44" si="1">(-$B$6*A11+(A11^2*$B$4)/2+0.2)/(0.08+$B$5/64.3)</f>
        <v>-6.2504168421636006</v>
      </c>
      <c r="D11">
        <v>28</v>
      </c>
      <c r="E11">
        <f t="shared" ref="E11:E27" si="2">SUM(B11:D11)</f>
        <v>21.8041811578364</v>
      </c>
    </row>
    <row r="12" spans="1:5" x14ac:dyDescent="0.25">
      <c r="A12">
        <v>0.3</v>
      </c>
      <c r="B12">
        <f t="shared" si="0"/>
        <v>9.8391999999999993E-2</v>
      </c>
      <c r="C12">
        <f t="shared" si="1"/>
        <v>-12.953435269341609</v>
      </c>
      <c r="D12">
        <v>28</v>
      </c>
      <c r="E12">
        <f t="shared" si="2"/>
        <v>15.144956730658391</v>
      </c>
    </row>
    <row r="13" spans="1:5" x14ac:dyDescent="0.25">
      <c r="A13">
        <v>0.45</v>
      </c>
      <c r="B13">
        <f t="shared" si="0"/>
        <v>0.17138200000000001</v>
      </c>
      <c r="C13">
        <f t="shared" si="1"/>
        <v>-19.396352998226558</v>
      </c>
      <c r="D13">
        <v>28</v>
      </c>
      <c r="E13">
        <f t="shared" si="2"/>
        <v>8.7750290017734436</v>
      </c>
    </row>
    <row r="14" spans="1:5" x14ac:dyDescent="0.25">
      <c r="A14">
        <v>0.6</v>
      </c>
      <c r="B14">
        <f t="shared" si="0"/>
        <v>0.27356799999999992</v>
      </c>
      <c r="C14">
        <f t="shared" si="1"/>
        <v>-25.579170028818442</v>
      </c>
      <c r="D14">
        <v>28</v>
      </c>
      <c r="E14">
        <f t="shared" si="2"/>
        <v>2.6943979711815587</v>
      </c>
    </row>
    <row r="15" spans="1:5" x14ac:dyDescent="0.25">
      <c r="A15">
        <v>0.75</v>
      </c>
      <c r="B15">
        <f t="shared" si="0"/>
        <v>0.40495000000000003</v>
      </c>
      <c r="C15">
        <f t="shared" si="1"/>
        <v>-31.501886361117272</v>
      </c>
      <c r="D15">
        <v>28</v>
      </c>
      <c r="E15">
        <f t="shared" si="2"/>
        <v>-3.0969363611172724</v>
      </c>
    </row>
    <row r="16" spans="1:5" x14ac:dyDescent="0.25">
      <c r="A16">
        <v>0.9</v>
      </c>
      <c r="B16">
        <f t="shared" si="0"/>
        <v>0.56552800000000003</v>
      </c>
      <c r="C16">
        <f t="shared" si="1"/>
        <v>-37.164501995123032</v>
      </c>
      <c r="D16">
        <v>28</v>
      </c>
      <c r="E16">
        <f t="shared" si="2"/>
        <v>-8.598973995123032</v>
      </c>
    </row>
    <row r="17" spans="1:5" x14ac:dyDescent="0.25">
      <c r="A17">
        <v>1.05</v>
      </c>
      <c r="B17">
        <f t="shared" si="0"/>
        <v>0.75530200000000003</v>
      </c>
      <c r="C17">
        <f t="shared" si="1"/>
        <v>-42.567016930835742</v>
      </c>
      <c r="D17">
        <v>28</v>
      </c>
      <c r="E17">
        <f t="shared" si="2"/>
        <v>-13.811714930835741</v>
      </c>
    </row>
    <row r="18" spans="1:5" x14ac:dyDescent="0.25">
      <c r="A18">
        <v>1.2</v>
      </c>
      <c r="B18">
        <f t="shared" si="0"/>
        <v>0.9742719999999998</v>
      </c>
      <c r="C18">
        <f t="shared" si="1"/>
        <v>-47.709431168255378</v>
      </c>
      <c r="D18">
        <v>28</v>
      </c>
      <c r="E18">
        <f t="shared" si="2"/>
        <v>-18.735159168255379</v>
      </c>
    </row>
    <row r="19" spans="1:5" x14ac:dyDescent="0.25">
      <c r="A19">
        <v>1.35</v>
      </c>
      <c r="B19">
        <f t="shared" si="0"/>
        <v>1.2224380000000001</v>
      </c>
      <c r="C19">
        <f t="shared" si="1"/>
        <v>-52.591744707381956</v>
      </c>
      <c r="D19">
        <v>28</v>
      </c>
      <c r="E19">
        <f t="shared" si="2"/>
        <v>-23.369306707381959</v>
      </c>
    </row>
    <row r="20" spans="1:5" x14ac:dyDescent="0.25">
      <c r="A20">
        <v>1.5</v>
      </c>
      <c r="B20">
        <f t="shared" si="0"/>
        <v>1.4998</v>
      </c>
      <c r="C20">
        <f t="shared" si="1"/>
        <v>-57.213957548215483</v>
      </c>
      <c r="D20">
        <v>28</v>
      </c>
      <c r="E20">
        <f t="shared" si="2"/>
        <v>-27.714157548215482</v>
      </c>
    </row>
    <row r="21" spans="1:5" x14ac:dyDescent="0.25">
      <c r="A21">
        <v>1.65</v>
      </c>
      <c r="B21">
        <f t="shared" si="0"/>
        <v>1.8063579999999995</v>
      </c>
      <c r="C21">
        <f t="shared" si="1"/>
        <v>-61.576069690755929</v>
      </c>
      <c r="D21">
        <v>28</v>
      </c>
      <c r="E21">
        <f t="shared" si="2"/>
        <v>-31.769711690755926</v>
      </c>
    </row>
    <row r="22" spans="1:5" x14ac:dyDescent="0.25">
      <c r="A22">
        <v>1.8</v>
      </c>
      <c r="B22">
        <f t="shared" si="0"/>
        <v>2.142112</v>
      </c>
      <c r="C22">
        <f t="shared" si="1"/>
        <v>-65.678081135003325</v>
      </c>
      <c r="D22">
        <v>28</v>
      </c>
      <c r="E22">
        <f t="shared" si="2"/>
        <v>-35.535969135003327</v>
      </c>
    </row>
    <row r="23" spans="1:5" x14ac:dyDescent="0.25">
      <c r="A23">
        <v>1.95</v>
      </c>
      <c r="B23">
        <f t="shared" si="0"/>
        <v>2.5070619999999995</v>
      </c>
      <c r="C23">
        <f t="shared" si="1"/>
        <v>-69.519991880957662</v>
      </c>
      <c r="D23">
        <v>28</v>
      </c>
      <c r="E23">
        <f t="shared" si="2"/>
        <v>-39.012929880957657</v>
      </c>
    </row>
    <row r="24" spans="1:5" x14ac:dyDescent="0.25">
      <c r="A24">
        <v>2.1</v>
      </c>
      <c r="B24">
        <f t="shared" si="0"/>
        <v>2.9012079999999996</v>
      </c>
      <c r="C24">
        <f t="shared" si="1"/>
        <v>-73.101801928618926</v>
      </c>
      <c r="D24">
        <v>28</v>
      </c>
      <c r="E24">
        <f t="shared" si="2"/>
        <v>-42.200593928618929</v>
      </c>
    </row>
    <row r="25" spans="1:5" x14ac:dyDescent="0.25">
      <c r="A25">
        <v>2.25</v>
      </c>
      <c r="B25">
        <f t="shared" si="0"/>
        <v>3.3245499999999999</v>
      </c>
      <c r="C25">
        <f t="shared" si="1"/>
        <v>-76.423511277987132</v>
      </c>
      <c r="D25">
        <v>28</v>
      </c>
      <c r="E25">
        <f t="shared" si="2"/>
        <v>-45.098961277987129</v>
      </c>
    </row>
    <row r="26" spans="1:5" x14ac:dyDescent="0.25">
      <c r="A26">
        <v>2.4</v>
      </c>
      <c r="B26">
        <f t="shared" si="0"/>
        <v>3.7770879999999991</v>
      </c>
      <c r="C26">
        <f t="shared" si="1"/>
        <v>-79.485119929062293</v>
      </c>
      <c r="D26">
        <v>28</v>
      </c>
      <c r="E26">
        <f t="shared" si="2"/>
        <v>-47.708031929062287</v>
      </c>
    </row>
    <row r="27" spans="1:5" x14ac:dyDescent="0.25">
      <c r="A27">
        <v>2.5499999999999998</v>
      </c>
      <c r="B27">
        <f t="shared" si="0"/>
        <v>4.2588219999999994</v>
      </c>
      <c r="C27">
        <f t="shared" si="1"/>
        <v>-82.286627881844367</v>
      </c>
      <c r="D27">
        <v>28</v>
      </c>
      <c r="E27">
        <f t="shared" si="2"/>
        <v>-50.027805881844372</v>
      </c>
    </row>
    <row r="28" spans="1:5" x14ac:dyDescent="0.25">
      <c r="A28">
        <v>2.7</v>
      </c>
      <c r="B28">
        <f t="shared" si="0"/>
        <v>4.7697520000000004</v>
      </c>
      <c r="C28">
        <f t="shared" si="1"/>
        <v>-84.828035136333412</v>
      </c>
      <c r="D28">
        <v>28</v>
      </c>
      <c r="E28">
        <f t="shared" ref="E28:E33" si="3">SUM(B28:D28)</f>
        <v>-52.058283136333415</v>
      </c>
    </row>
    <row r="29" spans="1:5" x14ac:dyDescent="0.25">
      <c r="A29">
        <v>2.85</v>
      </c>
      <c r="B29">
        <f t="shared" si="0"/>
        <v>5.3098779999999994</v>
      </c>
      <c r="C29">
        <f t="shared" si="1"/>
        <v>-87.10934169252937</v>
      </c>
      <c r="D29">
        <v>28</v>
      </c>
      <c r="E29">
        <f t="shared" si="3"/>
        <v>-53.799463692529372</v>
      </c>
    </row>
    <row r="30" spans="1:5" x14ac:dyDescent="0.25">
      <c r="A30">
        <v>3</v>
      </c>
      <c r="B30">
        <f t="shared" si="0"/>
        <v>5.8791999999999991</v>
      </c>
      <c r="C30">
        <f t="shared" si="1"/>
        <v>-89.130547550432297</v>
      </c>
      <c r="D30">
        <v>28</v>
      </c>
      <c r="E30">
        <f t="shared" si="3"/>
        <v>-55.2513475504323</v>
      </c>
    </row>
    <row r="31" spans="1:5" x14ac:dyDescent="0.25">
      <c r="A31">
        <v>3.15</v>
      </c>
      <c r="B31">
        <f t="shared" si="0"/>
        <v>6.4777180000000003</v>
      </c>
      <c r="C31">
        <f t="shared" si="1"/>
        <v>-90.891652710042123</v>
      </c>
      <c r="D31">
        <v>28</v>
      </c>
      <c r="E31">
        <f t="shared" si="3"/>
        <v>-56.413934710042128</v>
      </c>
    </row>
    <row r="32" spans="1:5" x14ac:dyDescent="0.25">
      <c r="A32">
        <v>3.3</v>
      </c>
      <c r="B32">
        <f t="shared" si="0"/>
        <v>7.1054319999999986</v>
      </c>
      <c r="C32">
        <f t="shared" si="1"/>
        <v>-92.392657171358906</v>
      </c>
      <c r="D32">
        <v>28</v>
      </c>
      <c r="E32">
        <f t="shared" si="3"/>
        <v>-57.287225171358912</v>
      </c>
    </row>
    <row r="33" spans="1:5" x14ac:dyDescent="0.25">
      <c r="A33">
        <v>3.45</v>
      </c>
      <c r="B33">
        <f t="shared" si="0"/>
        <v>7.7623420000000012</v>
      </c>
      <c r="C33">
        <f t="shared" si="1"/>
        <v>-93.633560934382629</v>
      </c>
      <c r="D33">
        <v>28</v>
      </c>
      <c r="E33">
        <f t="shared" si="3"/>
        <v>-57.871218934382625</v>
      </c>
    </row>
    <row r="34" spans="1:5" x14ac:dyDescent="0.25">
      <c r="A34">
        <v>3.6</v>
      </c>
      <c r="B34">
        <f t="shared" si="0"/>
        <v>8.4484480000000008</v>
      </c>
      <c r="C34">
        <f t="shared" si="1"/>
        <v>-94.61436399911328</v>
      </c>
      <c r="D34">
        <v>28</v>
      </c>
      <c r="E34">
        <f t="shared" ref="E34:E44" si="4">SUM(B34:D34)</f>
        <v>-58.165915999113281</v>
      </c>
    </row>
    <row r="35" spans="1:5" x14ac:dyDescent="0.25">
      <c r="A35">
        <v>3.75</v>
      </c>
      <c r="B35">
        <f t="shared" si="0"/>
        <v>9.1637500000000003</v>
      </c>
      <c r="C35">
        <f t="shared" si="1"/>
        <v>-95.335066365550873</v>
      </c>
      <c r="D35">
        <v>28</v>
      </c>
      <c r="E35">
        <f t="shared" si="4"/>
        <v>-58.171316365550865</v>
      </c>
    </row>
    <row r="36" spans="1:5" x14ac:dyDescent="0.25">
      <c r="A36">
        <v>3.9</v>
      </c>
      <c r="B36">
        <f t="shared" si="0"/>
        <v>9.9082479999999986</v>
      </c>
      <c r="C36">
        <f t="shared" si="1"/>
        <v>-95.795668033695435</v>
      </c>
      <c r="D36">
        <v>28</v>
      </c>
      <c r="E36">
        <f t="shared" si="4"/>
        <v>-57.887420033695435</v>
      </c>
    </row>
    <row r="37" spans="1:5" x14ac:dyDescent="0.25">
      <c r="A37">
        <v>4.05</v>
      </c>
      <c r="B37">
        <f t="shared" si="0"/>
        <v>10.681941999999999</v>
      </c>
      <c r="C37">
        <f t="shared" si="1"/>
        <v>-95.996169003546896</v>
      </c>
      <c r="D37">
        <v>28</v>
      </c>
      <c r="E37">
        <f t="shared" si="4"/>
        <v>-57.314227003546904</v>
      </c>
    </row>
    <row r="38" spans="1:5" x14ac:dyDescent="0.25">
      <c r="A38">
        <v>4.2</v>
      </c>
      <c r="B38">
        <f t="shared" si="0"/>
        <v>11.484832000000001</v>
      </c>
      <c r="C38">
        <f t="shared" si="1"/>
        <v>-95.936569275105313</v>
      </c>
      <c r="D38">
        <v>28</v>
      </c>
      <c r="E38">
        <f t="shared" si="4"/>
        <v>-56.451737275105316</v>
      </c>
    </row>
    <row r="39" spans="1:5" x14ac:dyDescent="0.25">
      <c r="A39">
        <v>4.3499999999999996</v>
      </c>
      <c r="B39">
        <f t="shared" si="0"/>
        <v>12.316917999999998</v>
      </c>
      <c r="C39">
        <f t="shared" si="1"/>
        <v>-95.616868848370657</v>
      </c>
      <c r="D39">
        <v>28</v>
      </c>
      <c r="E39">
        <f t="shared" si="4"/>
        <v>-55.299950848370656</v>
      </c>
    </row>
    <row r="40" spans="1:5" x14ac:dyDescent="0.25">
      <c r="A40">
        <v>4.5</v>
      </c>
      <c r="B40">
        <f t="shared" si="0"/>
        <v>13.1782</v>
      </c>
      <c r="C40">
        <f t="shared" si="1"/>
        <v>-95.037067723342929</v>
      </c>
      <c r="D40">
        <v>28</v>
      </c>
      <c r="E40">
        <f t="shared" si="4"/>
        <v>-53.858867723342925</v>
      </c>
    </row>
    <row r="41" spans="1:5" x14ac:dyDescent="0.25">
      <c r="A41">
        <v>4.6500000000000004</v>
      </c>
      <c r="B41">
        <f t="shared" si="0"/>
        <v>14.068678</v>
      </c>
      <c r="C41">
        <f t="shared" si="1"/>
        <v>-94.197165900022185</v>
      </c>
      <c r="D41">
        <v>28</v>
      </c>
      <c r="E41">
        <f t="shared" si="4"/>
        <v>-52.128487900022179</v>
      </c>
    </row>
    <row r="42" spans="1:5" x14ac:dyDescent="0.25">
      <c r="A42">
        <v>4.8</v>
      </c>
      <c r="B42">
        <f t="shared" si="0"/>
        <v>14.988351999999997</v>
      </c>
      <c r="C42">
        <f t="shared" si="1"/>
        <v>-93.097163378408354</v>
      </c>
      <c r="D42">
        <v>28</v>
      </c>
      <c r="E42">
        <f t="shared" si="4"/>
        <v>-50.108811378408362</v>
      </c>
    </row>
    <row r="43" spans="1:5" x14ac:dyDescent="0.25">
      <c r="A43">
        <v>4.95</v>
      </c>
      <c r="B43">
        <f t="shared" si="0"/>
        <v>15.937222</v>
      </c>
      <c r="C43">
        <f t="shared" si="1"/>
        <v>-91.737060158501436</v>
      </c>
      <c r="D43">
        <v>28</v>
      </c>
      <c r="E43">
        <f t="shared" si="4"/>
        <v>-47.79983815850143</v>
      </c>
    </row>
    <row r="44" spans="1:5" x14ac:dyDescent="0.25">
      <c r="A44">
        <v>5</v>
      </c>
      <c r="B44">
        <f t="shared" si="0"/>
        <v>16.259999999999998</v>
      </c>
      <c r="C44">
        <f t="shared" si="1"/>
        <v>-91.225892263356229</v>
      </c>
      <c r="D44">
        <v>28</v>
      </c>
      <c r="E44">
        <f t="shared" si="4"/>
        <v>-46.965892263356238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93FF-C6B5-4ED9-833A-FC46BFB556B4}">
  <dimension ref="A12:O46"/>
  <sheetViews>
    <sheetView workbookViewId="0">
      <selection activeCell="L18" sqref="L18"/>
    </sheetView>
  </sheetViews>
  <sheetFormatPr defaultRowHeight="15" x14ac:dyDescent="0.25"/>
  <cols>
    <col min="1" max="1" width="10.140625" bestFit="1" customWidth="1"/>
  </cols>
  <sheetData>
    <row r="12" spans="1:11" x14ac:dyDescent="0.25">
      <c r="A12" t="s">
        <v>23</v>
      </c>
    </row>
    <row r="13" spans="1:11" x14ac:dyDescent="0.25">
      <c r="A13" t="s">
        <v>24</v>
      </c>
      <c r="B13">
        <f>1/0.3</f>
        <v>3.3333333333333335</v>
      </c>
      <c r="C13" t="s">
        <v>25</v>
      </c>
      <c r="G13" t="s">
        <v>45</v>
      </c>
      <c r="H13" t="s">
        <v>46</v>
      </c>
      <c r="I13" t="s">
        <v>37</v>
      </c>
      <c r="J13" t="s">
        <v>38</v>
      </c>
      <c r="K13" t="s">
        <v>39</v>
      </c>
    </row>
    <row r="14" spans="1:11" x14ac:dyDescent="0.25">
      <c r="A14" t="s">
        <v>26</v>
      </c>
      <c r="B14">
        <f>1/0.04</f>
        <v>25</v>
      </c>
      <c r="C14" t="s">
        <v>25</v>
      </c>
      <c r="G14">
        <v>200</v>
      </c>
      <c r="H14">
        <f t="shared" ref="H14:H46" si="0">(R_bus*R_SO)/(R_bus+R_SO)*(G14/R_bus+T_B/R_SO+q_D)</f>
        <v>212.20588235294125</v>
      </c>
      <c r="I14">
        <f t="shared" ref="I14:I46" si="1">sigma*(T_earth^4-$G14^4)/(R_surf_1U+R_earth_1U)-sigma*$G14^4/(R_surf_1U+R_space_1U)+(T_B-$G14)/R_SO+($H14-$G14)/R_bus+A_1U*albedo*absorp*F_earth</f>
        <v>7.515635677437337</v>
      </c>
      <c r="J14">
        <f t="shared" ref="J14:J46" si="2">sigma*(T_earth^4-$G14^4)/(R_surf_2U+R_earth_2U)-sigma*$G14^4/(R_surf_2U+R_space_2U)+(T_B-$G14)/R_SO+($H14-$G14)/R_bus+A_2U*albedo*absorp*F_earth</f>
        <v>7.3695066489923002</v>
      </c>
      <c r="K14">
        <f t="shared" ref="K14:K46" si="3">sigma*(T_earth^4-$G14^4)/(R_surf_3U+R_earth_3U)-sigma*$G14^4/(R_surf_3U+R_space_3U)+(T_B-$G14)/R_SO+($H14-$G14)/R_bus+A_3U*albedo*absorp*F_earth</f>
        <v>7.2233776205472644</v>
      </c>
    </row>
    <row r="15" spans="1:11" x14ac:dyDescent="0.25">
      <c r="A15" t="s">
        <v>27</v>
      </c>
      <c r="B15">
        <v>300</v>
      </c>
      <c r="C15" t="s">
        <v>22</v>
      </c>
      <c r="G15">
        <v>205</v>
      </c>
      <c r="H15">
        <f t="shared" si="0"/>
        <v>216.61764705882359</v>
      </c>
      <c r="I15">
        <f t="shared" si="1"/>
        <v>7.073107786209011</v>
      </c>
      <c r="J15">
        <f t="shared" si="2"/>
        <v>6.860921454770943</v>
      </c>
      <c r="K15">
        <f t="shared" si="3"/>
        <v>6.6487351233328766</v>
      </c>
    </row>
    <row r="16" spans="1:11" x14ac:dyDescent="0.25">
      <c r="A16" t="s">
        <v>28</v>
      </c>
      <c r="B16">
        <v>0.15</v>
      </c>
      <c r="C16" t="s">
        <v>10</v>
      </c>
      <c r="G16">
        <v>210</v>
      </c>
      <c r="H16">
        <f t="shared" si="0"/>
        <v>221.02941176470594</v>
      </c>
      <c r="I16">
        <f t="shared" si="1"/>
        <v>6.625565464606848</v>
      </c>
      <c r="J16">
        <f t="shared" si="2"/>
        <v>6.3423073998019133</v>
      </c>
      <c r="K16">
        <f t="shared" si="3"/>
        <v>6.0590493349969794</v>
      </c>
    </row>
    <row r="17" spans="1:15" x14ac:dyDescent="0.25">
      <c r="A17" t="s">
        <v>29</v>
      </c>
      <c r="B17" s="2">
        <v>5.6699999999999998E-8</v>
      </c>
      <c r="C17" t="s">
        <v>30</v>
      </c>
      <c r="G17">
        <v>215</v>
      </c>
      <c r="H17">
        <f t="shared" si="0"/>
        <v>225.44117647058829</v>
      </c>
      <c r="I17">
        <f t="shared" si="1"/>
        <v>6.1727611478121522</v>
      </c>
      <c r="J17">
        <f t="shared" si="2"/>
        <v>5.813169354447818</v>
      </c>
      <c r="K17">
        <f t="shared" si="3"/>
        <v>5.4535775610834847</v>
      </c>
    </row>
    <row r="18" spans="1:15" x14ac:dyDescent="0.25">
      <c r="A18" t="s">
        <v>31</v>
      </c>
      <c r="B18">
        <v>255</v>
      </c>
      <c r="C18" t="s">
        <v>22</v>
      </c>
      <c r="G18">
        <v>220</v>
      </c>
      <c r="H18">
        <f t="shared" si="0"/>
        <v>229.85294117647067</v>
      </c>
      <c r="I18">
        <f t="shared" si="1"/>
        <v>5.7144413055889212</v>
      </c>
      <c r="J18">
        <f t="shared" si="2"/>
        <v>5.2730002582366433</v>
      </c>
      <c r="K18">
        <f t="shared" si="3"/>
        <v>4.8315592108843655</v>
      </c>
    </row>
    <row r="19" spans="1:15" x14ac:dyDescent="0.25">
      <c r="G19">
        <v>225</v>
      </c>
      <c r="H19">
        <f t="shared" si="0"/>
        <v>234.26470588235301</v>
      </c>
      <c r="I19">
        <f t="shared" si="1"/>
        <v>5.2503464422838073</v>
      </c>
      <c r="J19">
        <f t="shared" si="2"/>
        <v>4.7212811198617111</v>
      </c>
      <c r="K19">
        <f t="shared" si="3"/>
        <v>4.1922157974396148</v>
      </c>
    </row>
    <row r="20" spans="1:15" x14ac:dyDescent="0.25">
      <c r="A20" t="s">
        <v>32</v>
      </c>
      <c r="B20">
        <v>0.88</v>
      </c>
      <c r="G20">
        <v>230</v>
      </c>
      <c r="H20">
        <f t="shared" si="0"/>
        <v>238.67647058823536</v>
      </c>
      <c r="I20">
        <f t="shared" si="1"/>
        <v>4.7802110968261706</v>
      </c>
      <c r="J20">
        <f t="shared" si="2"/>
        <v>4.1574810171817322</v>
      </c>
      <c r="K20">
        <f t="shared" si="3"/>
        <v>3.5347509375372947</v>
      </c>
    </row>
    <row r="21" spans="1:15" x14ac:dyDescent="0.25">
      <c r="A21" t="s">
        <v>33</v>
      </c>
      <c r="B21">
        <f>B22/2</f>
        <v>7.5799999999999999E-3</v>
      </c>
      <c r="G21">
        <v>235</v>
      </c>
      <c r="H21">
        <f t="shared" si="0"/>
        <v>243.08823529411771</v>
      </c>
      <c r="I21">
        <f t="shared" si="1"/>
        <v>4.3037638427280447</v>
      </c>
      <c r="J21">
        <f t="shared" si="2"/>
        <v>3.5810570972207771</v>
      </c>
      <c r="K21">
        <f t="shared" si="3"/>
        <v>2.8583503517135087</v>
      </c>
    </row>
    <row r="22" spans="1:15" x14ac:dyDescent="0.25">
      <c r="A22" t="s">
        <v>34</v>
      </c>
      <c r="B22">
        <v>1.516E-2</v>
      </c>
      <c r="G22">
        <v>240</v>
      </c>
      <c r="H22">
        <f t="shared" si="0"/>
        <v>247.50000000000009</v>
      </c>
      <c r="I22">
        <f t="shared" si="1"/>
        <v>3.8207272880841536</v>
      </c>
      <c r="J22">
        <f t="shared" si="2"/>
        <v>2.9914545761682825</v>
      </c>
      <c r="K22">
        <f t="shared" si="3"/>
        <v>2.1621818642524109</v>
      </c>
    </row>
    <row r="23" spans="1:15" x14ac:dyDescent="0.25">
      <c r="A23" t="s">
        <v>35</v>
      </c>
      <c r="B23">
        <f>B21*3</f>
        <v>2.274E-2</v>
      </c>
      <c r="G23">
        <v>245</v>
      </c>
      <c r="H23">
        <f t="shared" si="0"/>
        <v>251.91176470588243</v>
      </c>
      <c r="I23">
        <f t="shared" si="1"/>
        <v>3.3308180755718797</v>
      </c>
      <c r="J23">
        <f t="shared" si="2"/>
        <v>2.3881067393790296</v>
      </c>
      <c r="K23">
        <f t="shared" si="3"/>
        <v>1.4453954031861791</v>
      </c>
    </row>
    <row r="24" spans="1:15" x14ac:dyDescent="0.25">
      <c r="G24">
        <v>250</v>
      </c>
      <c r="H24">
        <f t="shared" si="0"/>
        <v>256.32352941176475</v>
      </c>
      <c r="I24">
        <f t="shared" si="1"/>
        <v>2.8337468824513006</v>
      </c>
      <c r="J24">
        <f t="shared" si="2"/>
        <v>1.7704349413731764</v>
      </c>
      <c r="K24">
        <f t="shared" si="3"/>
        <v>0.70712300029505204</v>
      </c>
      <c r="L24" cm="1">
        <f t="array" ref="L24">TREND(G26:G27,J26:J27,0,TRUE)</f>
        <v>263.68653659260667</v>
      </c>
    </row>
    <row r="25" spans="1:15" x14ac:dyDescent="0.25">
      <c r="A25" t="s">
        <v>20</v>
      </c>
      <c r="B25">
        <v>0.28000000000000003</v>
      </c>
      <c r="G25">
        <v>255</v>
      </c>
      <c r="H25">
        <f t="shared" si="0"/>
        <v>260.73529411764713</v>
      </c>
      <c r="I25">
        <f t="shared" si="1"/>
        <v>2.3292184205652062</v>
      </c>
      <c r="J25">
        <f t="shared" si="2"/>
        <v>1.1378486058362747</v>
      </c>
      <c r="K25">
        <f t="shared" si="3"/>
        <v>-5.3521208892657442E-2</v>
      </c>
    </row>
    <row r="26" spans="1:15" x14ac:dyDescent="0.25">
      <c r="A26" t="s">
        <v>42</v>
      </c>
      <c r="B26">
        <f>1-B25</f>
        <v>0.72</v>
      </c>
      <c r="G26">
        <v>260</v>
      </c>
      <c r="H26">
        <f t="shared" si="0"/>
        <v>265.14705882352951</v>
      </c>
      <c r="I26">
        <f t="shared" si="1"/>
        <v>1.816931436339023</v>
      </c>
      <c r="J26">
        <f t="shared" si="2"/>
        <v>0.48974522561919426</v>
      </c>
      <c r="K26">
        <f t="shared" si="3"/>
        <v>-0.83744098510063447</v>
      </c>
    </row>
    <row r="27" spans="1:15" x14ac:dyDescent="0.25">
      <c r="A27" t="s">
        <v>19</v>
      </c>
      <c r="B27">
        <f>0.35*0.65</f>
        <v>0.22749999999999998</v>
      </c>
      <c r="G27">
        <v>265</v>
      </c>
      <c r="H27">
        <f t="shared" si="0"/>
        <v>269.55882352941182</v>
      </c>
      <c r="I27">
        <f t="shared" si="1"/>
        <v>1.2965787107808588</v>
      </c>
      <c r="J27">
        <f t="shared" si="2"/>
        <v>-0.17448963726182973</v>
      </c>
      <c r="K27">
        <f t="shared" si="3"/>
        <v>-1.6455579853045188</v>
      </c>
    </row>
    <row r="28" spans="1:15" x14ac:dyDescent="0.25">
      <c r="A28" t="s">
        <v>18</v>
      </c>
      <c r="B28">
        <v>1420</v>
      </c>
      <c r="C28" t="s">
        <v>21</v>
      </c>
      <c r="G28">
        <v>270</v>
      </c>
      <c r="H28">
        <f t="shared" si="0"/>
        <v>273.9705882352942</v>
      </c>
      <c r="I28">
        <f t="shared" si="1"/>
        <v>0.7678470594815574</v>
      </c>
      <c r="J28">
        <f t="shared" si="2"/>
        <v>-0.85548235162514585</v>
      </c>
      <c r="K28">
        <f t="shared" si="3"/>
        <v>-2.4788117627318496</v>
      </c>
    </row>
    <row r="29" spans="1:15" x14ac:dyDescent="0.25">
      <c r="A29" t="s">
        <v>43</v>
      </c>
      <c r="B29">
        <v>0.14000000000000001</v>
      </c>
      <c r="G29">
        <v>275</v>
      </c>
      <c r="H29">
        <f t="shared" si="0"/>
        <v>278.38235294117652</v>
      </c>
      <c r="I29">
        <f t="shared" si="1"/>
        <v>0.23041733261457395</v>
      </c>
      <c r="J29">
        <f t="shared" si="2"/>
        <v>-1.5538712171238083</v>
      </c>
      <c r="K29">
        <f t="shared" si="3"/>
        <v>-3.3381597668621916</v>
      </c>
    </row>
    <row r="30" spans="1:15" x14ac:dyDescent="0.25">
      <c r="G30">
        <v>280</v>
      </c>
      <c r="H30">
        <f t="shared" si="0"/>
        <v>282.7941176470589</v>
      </c>
      <c r="I30">
        <f t="shared" si="1"/>
        <v>-0.31603558506388468</v>
      </c>
      <c r="J30">
        <f t="shared" si="2"/>
        <v>-2.2703064642454387</v>
      </c>
      <c r="K30">
        <f t="shared" si="3"/>
        <v>-4.2245773434269935</v>
      </c>
    </row>
    <row r="31" spans="1:15" x14ac:dyDescent="0.25">
      <c r="B31" t="s">
        <v>37</v>
      </c>
      <c r="C31" t="s">
        <v>38</v>
      </c>
      <c r="D31" t="s">
        <v>39</v>
      </c>
      <c r="G31">
        <v>285</v>
      </c>
      <c r="H31">
        <f t="shared" si="0"/>
        <v>287.20588235294127</v>
      </c>
      <c r="I31">
        <f t="shared" si="1"/>
        <v>-0.87184277421498046</v>
      </c>
      <c r="J31">
        <f t="shared" si="2"/>
        <v>-3.0054502543123429</v>
      </c>
      <c r="K31">
        <f t="shared" si="3"/>
        <v>-5.1390577344097084</v>
      </c>
    </row>
    <row r="32" spans="1:15" ht="15" customHeight="1" x14ac:dyDescent="0.25">
      <c r="A32" t="s">
        <v>36</v>
      </c>
      <c r="B32">
        <f>(1-emiss_out)/(emiss_out*A_1U)</f>
        <v>17.989925641640681</v>
      </c>
      <c r="C32">
        <f>(1-emiss_out)/(emiss_out*A_2U)</f>
        <v>8.9949628208203407</v>
      </c>
      <c r="D32">
        <f>(1-emiss_out)/(emiss_out*A_3U)</f>
        <v>5.9966418805468935</v>
      </c>
      <c r="E32" t="s">
        <v>40</v>
      </c>
      <c r="G32">
        <v>290</v>
      </c>
      <c r="H32">
        <f t="shared" si="0"/>
        <v>291.61764705882359</v>
      </c>
      <c r="I32">
        <f t="shared" si="1"/>
        <v>-1.4373412809171959</v>
      </c>
      <c r="J32">
        <f t="shared" si="2"/>
        <v>-3.7599766794814693</v>
      </c>
      <c r="K32">
        <f t="shared" si="3"/>
        <v>-6.0826120780457433</v>
      </c>
      <c r="N32" t="s">
        <v>37</v>
      </c>
      <c r="O32" t="s">
        <v>47</v>
      </c>
    </row>
    <row r="33" spans="1:15" x14ac:dyDescent="0.25">
      <c r="A33" t="s">
        <v>41</v>
      </c>
      <c r="B33">
        <f>1/(A_1U*F_earth)</f>
        <v>471.16471918582738</v>
      </c>
      <c r="C33">
        <f>1/(A_2U*F_earth)</f>
        <v>235.58235959291369</v>
      </c>
      <c r="D33">
        <f>1/(A_3U*F_earth)</f>
        <v>157.05490639527576</v>
      </c>
      <c r="E33" t="s">
        <v>40</v>
      </c>
      <c r="G33">
        <v>295</v>
      </c>
      <c r="H33">
        <f t="shared" si="0"/>
        <v>296.02941176470597</v>
      </c>
      <c r="I33">
        <f t="shared" si="1"/>
        <v>-2.0128741166662762</v>
      </c>
      <c r="J33">
        <f t="shared" si="2"/>
        <v>-4.5345717627443429</v>
      </c>
      <c r="K33">
        <f t="shared" si="3"/>
        <v>-7.05626940882241</v>
      </c>
      <c r="N33" t="s">
        <v>38</v>
      </c>
      <c r="O33" t="s">
        <v>48</v>
      </c>
    </row>
    <row r="34" spans="1:15" x14ac:dyDescent="0.25">
      <c r="A34" t="s">
        <v>44</v>
      </c>
      <c r="B34">
        <f>1/(A_1U*F_space)</f>
        <v>183.23072412782176</v>
      </c>
      <c r="C34">
        <f>1/(A_2U*F_space)</f>
        <v>91.615362063910879</v>
      </c>
      <c r="D34">
        <f>1/(A_3U*F_space)</f>
        <v>61.076908042607251</v>
      </c>
      <c r="E34" t="s">
        <v>40</v>
      </c>
      <c r="G34">
        <v>300</v>
      </c>
      <c r="H34">
        <f t="shared" si="0"/>
        <v>300.44117647058835</v>
      </c>
      <c r="I34">
        <f t="shared" si="1"/>
        <v>-2.5987902583753395</v>
      </c>
      <c r="J34">
        <f t="shared" si="2"/>
        <v>-5.3299334579271829</v>
      </c>
      <c r="K34">
        <f t="shared" si="3"/>
        <v>-8.0610766574790258</v>
      </c>
      <c r="N34" t="s">
        <v>39</v>
      </c>
    </row>
    <row r="35" spans="1:15" x14ac:dyDescent="0.25">
      <c r="G35">
        <v>305</v>
      </c>
      <c r="H35">
        <f t="shared" si="0"/>
        <v>304.85294117647067</v>
      </c>
      <c r="I35">
        <f t="shared" si="1"/>
        <v>-3.1954446483748193</v>
      </c>
      <c r="J35">
        <f t="shared" si="2"/>
        <v>-6.1467716496908382</v>
      </c>
      <c r="K35">
        <f t="shared" si="3"/>
        <v>-9.0980986510068576</v>
      </c>
    </row>
    <row r="36" spans="1:15" x14ac:dyDescent="0.25">
      <c r="G36">
        <v>310</v>
      </c>
      <c r="H36">
        <f t="shared" si="0"/>
        <v>309.26470588235304</v>
      </c>
      <c r="I36">
        <f t="shared" si="1"/>
        <v>-3.803198194412416</v>
      </c>
      <c r="J36">
        <f t="shared" si="2"/>
        <v>-6.985808153530745</v>
      </c>
      <c r="K36">
        <f t="shared" si="3"/>
        <v>-10.168418112649075</v>
      </c>
    </row>
    <row r="37" spans="1:15" x14ac:dyDescent="0.25">
      <c r="G37">
        <v>315</v>
      </c>
      <c r="H37">
        <f t="shared" si="0"/>
        <v>313.67647058823536</v>
      </c>
      <c r="I37">
        <f t="shared" si="1"/>
        <v>-4.4224177696532188</v>
      </c>
      <c r="J37">
        <f t="shared" si="2"/>
        <v>-7.8477767157770462</v>
      </c>
      <c r="K37">
        <f t="shared" si="3"/>
        <v>-11.273135661900874</v>
      </c>
    </row>
    <row r="38" spans="1:15" x14ac:dyDescent="0.25">
      <c r="G38">
        <v>320</v>
      </c>
      <c r="H38">
        <f t="shared" si="0"/>
        <v>318.08823529411774</v>
      </c>
      <c r="I38">
        <f t="shared" si="1"/>
        <v>-5.0534762126795645</v>
      </c>
      <c r="J38">
        <f t="shared" si="2"/>
        <v>-8.7334230135944484</v>
      </c>
      <c r="K38">
        <f t="shared" si="3"/>
        <v>-12.413369814509336</v>
      </c>
    </row>
    <row r="39" spans="1:15" x14ac:dyDescent="0.25">
      <c r="G39">
        <v>325</v>
      </c>
      <c r="H39">
        <f t="shared" si="0"/>
        <v>322.50000000000011</v>
      </c>
      <c r="I39">
        <f t="shared" si="1"/>
        <v>-5.6967523274911578</v>
      </c>
      <c r="J39">
        <f t="shared" si="2"/>
        <v>-9.6435046549823493</v>
      </c>
      <c r="K39">
        <f t="shared" si="3"/>
        <v>-13.590256982473543</v>
      </c>
    </row>
    <row r="40" spans="1:15" x14ac:dyDescent="0.25">
      <c r="G40">
        <v>330</v>
      </c>
      <c r="H40">
        <f t="shared" si="0"/>
        <v>326.91176470588243</v>
      </c>
      <c r="I40">
        <f t="shared" si="1"/>
        <v>-6.3526308835050225</v>
      </c>
      <c r="J40">
        <f t="shared" si="2"/>
        <v>-10.578791178774775</v>
      </c>
      <c r="K40">
        <f t="shared" si="3"/>
        <v>-14.804951474044532</v>
      </c>
    </row>
    <row r="41" spans="1:15" x14ac:dyDescent="0.25">
      <c r="G41">
        <v>335</v>
      </c>
      <c r="H41">
        <f t="shared" si="0"/>
        <v>331.32352941176481</v>
      </c>
      <c r="I41">
        <f t="shared" si="1"/>
        <v>-7.0215026155554527</v>
      </c>
      <c r="J41">
        <f t="shared" si="2"/>
        <v>-11.540064054640348</v>
      </c>
      <c r="K41">
        <f t="shared" si="3"/>
        <v>-16.058625493725245</v>
      </c>
    </row>
    <row r="42" spans="1:15" x14ac:dyDescent="0.25">
      <c r="G42">
        <v>340</v>
      </c>
      <c r="H42">
        <f t="shared" si="0"/>
        <v>335.73529411764713</v>
      </c>
      <c r="I42">
        <f t="shared" si="1"/>
        <v>-7.7037642238941215</v>
      </c>
      <c r="J42">
        <f t="shared" si="2"/>
        <v>-12.528116683082382</v>
      </c>
      <c r="K42">
        <f t="shared" si="3"/>
        <v>-17.35246914227065</v>
      </c>
    </row>
    <row r="43" spans="1:15" x14ac:dyDescent="0.25">
      <c r="G43">
        <v>345</v>
      </c>
      <c r="H43">
        <f t="shared" si="0"/>
        <v>340.14705882352951</v>
      </c>
      <c r="I43">
        <f t="shared" si="1"/>
        <v>-8.3998183741899606</v>
      </c>
      <c r="J43">
        <f t="shared" si="2"/>
        <v>-13.543754395438773</v>
      </c>
      <c r="K43">
        <f t="shared" si="3"/>
        <v>-18.687690416687587</v>
      </c>
    </row>
    <row r="44" spans="1:15" x14ac:dyDescent="0.25">
      <c r="G44">
        <v>350</v>
      </c>
      <c r="H44">
        <f t="shared" si="0"/>
        <v>344.55882352941188</v>
      </c>
      <c r="I44">
        <f t="shared" si="1"/>
        <v>-9.1100736975292609</v>
      </c>
      <c r="J44">
        <f t="shared" si="2"/>
        <v>-14.587794453882085</v>
      </c>
      <c r="K44">
        <f t="shared" si="3"/>
        <v>-20.065515210234913</v>
      </c>
    </row>
    <row r="45" spans="1:15" x14ac:dyDescent="0.25">
      <c r="G45">
        <v>355</v>
      </c>
      <c r="H45">
        <f t="shared" si="0"/>
        <v>348.9705882352942</v>
      </c>
      <c r="I45">
        <f t="shared" si="1"/>
        <v>-9.8349447904156388</v>
      </c>
      <c r="J45">
        <f t="shared" si="2"/>
        <v>-15.661066051419537</v>
      </c>
      <c r="K45">
        <f t="shared" si="3"/>
        <v>-21.487187312423437</v>
      </c>
    </row>
    <row r="46" spans="1:15" x14ac:dyDescent="0.25">
      <c r="G46">
        <v>360</v>
      </c>
      <c r="H46">
        <f t="shared" si="0"/>
        <v>353.38235294117658</v>
      </c>
      <c r="I46">
        <f t="shared" si="1"/>
        <v>-10.574852214769972</v>
      </c>
      <c r="J46">
        <f t="shared" si="2"/>
        <v>-16.76441031189292</v>
      </c>
      <c r="K46">
        <f t="shared" si="3"/>
        <v>-22.953968409015864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3D60-D22D-4424-BFC0-2D23AD03768C}">
  <dimension ref="A1:Q37"/>
  <sheetViews>
    <sheetView tabSelected="1" workbookViewId="0">
      <selection activeCell="D12" sqref="D12"/>
    </sheetView>
  </sheetViews>
  <sheetFormatPr defaultRowHeight="15" x14ac:dyDescent="0.25"/>
  <cols>
    <col min="1" max="1" width="13.140625" customWidth="1"/>
    <col min="3" max="3" width="16.85546875" bestFit="1" customWidth="1"/>
    <col min="4" max="4" width="16.85546875" customWidth="1"/>
    <col min="5" max="5" width="11" bestFit="1" customWidth="1"/>
  </cols>
  <sheetData>
    <row r="1" spans="1:17" x14ac:dyDescent="0.25">
      <c r="A1" t="s">
        <v>49</v>
      </c>
    </row>
    <row r="3" spans="1:17" x14ac:dyDescent="0.25">
      <c r="A3" s="1" t="s">
        <v>50</v>
      </c>
      <c r="B3" s="1" t="s">
        <v>51</v>
      </c>
      <c r="C3" t="s">
        <v>52</v>
      </c>
      <c r="D3" t="s">
        <v>53</v>
      </c>
    </row>
    <row r="4" spans="1:17" x14ac:dyDescent="0.25">
      <c r="A4">
        <v>90</v>
      </c>
      <c r="B4">
        <f>A4*PI()/180</f>
        <v>1.5707963267948966</v>
      </c>
      <c r="C4">
        <f t="shared" ref="C4:C13" si="0">ROUND(ABS(solar*0.65*absorp*COS(B4)),2)*A_2U</f>
        <v>0</v>
      </c>
      <c r="D4" cm="1">
        <f t="array" ref="D4">TREND(F17:F18,H17:H18,0,TRUE)</f>
        <v>263.68653659260667</v>
      </c>
      <c r="F4" t="s">
        <v>45</v>
      </c>
      <c r="G4" t="s">
        <v>46</v>
      </c>
      <c r="H4">
        <v>90</v>
      </c>
      <c r="I4">
        <v>100</v>
      </c>
      <c r="J4">
        <v>110</v>
      </c>
      <c r="K4">
        <v>120</v>
      </c>
      <c r="L4">
        <v>130</v>
      </c>
      <c r="M4">
        <v>140</v>
      </c>
      <c r="N4">
        <v>150</v>
      </c>
      <c r="O4">
        <v>160</v>
      </c>
      <c r="P4">
        <v>170</v>
      </c>
      <c r="Q4">
        <v>180</v>
      </c>
    </row>
    <row r="5" spans="1:17" x14ac:dyDescent="0.25">
      <c r="A5">
        <v>100</v>
      </c>
      <c r="B5">
        <f t="shared" ref="B5:B13" si="1">A5*PI()/180</f>
        <v>1.7453292519943295</v>
      </c>
      <c r="C5">
        <f t="shared" si="0"/>
        <v>0.3401904</v>
      </c>
      <c r="D5" cm="1">
        <f t="array" ref="D5">TREND(F18:F19,I18:I19,0,TRUE)</f>
        <v>266.21648024140597</v>
      </c>
      <c r="F5">
        <v>200</v>
      </c>
      <c r="G5">
        <f t="shared" ref="G5:G37" si="2">(R_bus*R_SO)/(R_bus+R_SO)*(F5/R_bus+T_B/R_SO+q_D)</f>
        <v>212.20588235294125</v>
      </c>
      <c r="H5">
        <f t="shared" ref="H5:Q14" si="3">sigma*(T_earth^4-$F5^4)/(R_surf_2U+R_earth_2U)-sigma*$F5^4/(R_surf_2U+R_space_2U)+(T_B-$F5)/R_SO+($G5-$F5)/R_bus+A_2U*albedo*absorp*F_earth+ABS(absorp*solar*0.65*A_2U*COS(H$4*PI()/180))</f>
        <v>7.3695066489923002</v>
      </c>
      <c r="I5">
        <f t="shared" si="3"/>
        <v>7.7096791225670103</v>
      </c>
      <c r="J5">
        <f t="shared" si="3"/>
        <v>8.0395156276677309</v>
      </c>
      <c r="K5">
        <f t="shared" si="3"/>
        <v>8.3489942489922999</v>
      </c>
      <c r="L5">
        <f t="shared" si="3"/>
        <v>8.6287116352355113</v>
      </c>
      <c r="M5">
        <f t="shared" si="3"/>
        <v>8.8701687151601885</v>
      </c>
      <c r="N5">
        <f t="shared" si="3"/>
        <v>9.0660289375760019</v>
      </c>
      <c r="O5">
        <f t="shared" si="3"/>
        <v>9.2103411887348994</v>
      </c>
      <c r="P5">
        <f t="shared" si="3"/>
        <v>9.2987206139109411</v>
      </c>
      <c r="Q5">
        <f t="shared" si="3"/>
        <v>9.3284818489923005</v>
      </c>
    </row>
    <row r="6" spans="1:17" x14ac:dyDescent="0.25">
      <c r="A6">
        <v>110</v>
      </c>
      <c r="B6">
        <f t="shared" si="1"/>
        <v>1.9198621771937625</v>
      </c>
      <c r="C6">
        <f t="shared" si="0"/>
        <v>0.670072</v>
      </c>
      <c r="D6" cm="1">
        <f t="array" ref="D6">TREND(F18:F19,J18:J19,0,TRUE)</f>
        <v>268.63821323607607</v>
      </c>
      <c r="F6">
        <v>205</v>
      </c>
      <c r="G6">
        <f t="shared" si="2"/>
        <v>216.61764705882359</v>
      </c>
      <c r="H6">
        <f t="shared" si="3"/>
        <v>6.860921454770943</v>
      </c>
      <c r="I6">
        <f t="shared" si="3"/>
        <v>7.201093928345653</v>
      </c>
      <c r="J6">
        <f t="shared" si="3"/>
        <v>7.5309304334463736</v>
      </c>
      <c r="K6">
        <f t="shared" si="3"/>
        <v>7.8404090547709426</v>
      </c>
      <c r="L6">
        <f t="shared" si="3"/>
        <v>8.120126441014154</v>
      </c>
      <c r="M6">
        <f t="shared" si="3"/>
        <v>8.3615835209388312</v>
      </c>
      <c r="N6">
        <f t="shared" si="3"/>
        <v>8.5574437433546446</v>
      </c>
      <c r="O6">
        <f t="shared" si="3"/>
        <v>8.7017559945135421</v>
      </c>
      <c r="P6">
        <f t="shared" si="3"/>
        <v>8.7901354196895838</v>
      </c>
      <c r="Q6">
        <f t="shared" si="3"/>
        <v>8.8198966547709432</v>
      </c>
    </row>
    <row r="7" spans="1:17" x14ac:dyDescent="0.25">
      <c r="A7">
        <v>120</v>
      </c>
      <c r="B7">
        <f t="shared" si="1"/>
        <v>2.0943951023931953</v>
      </c>
      <c r="C7">
        <f t="shared" si="0"/>
        <v>0.97948760000000001</v>
      </c>
      <c r="D7" cm="1">
        <f t="array" ref="D7">TREND(F19:F20,K19:K20,0,TRUE)</f>
        <v>270.88779514179618</v>
      </c>
      <c r="F7">
        <v>210</v>
      </c>
      <c r="G7">
        <f t="shared" si="2"/>
        <v>221.02941176470594</v>
      </c>
      <c r="H7">
        <f t="shared" si="3"/>
        <v>6.3423073998019133</v>
      </c>
      <c r="I7">
        <f t="shared" si="3"/>
        <v>6.6824798733766233</v>
      </c>
      <c r="J7">
        <f t="shared" si="3"/>
        <v>7.0123163784773439</v>
      </c>
      <c r="K7">
        <f t="shared" si="3"/>
        <v>7.321794999801913</v>
      </c>
      <c r="L7">
        <f t="shared" si="3"/>
        <v>7.6015123860451235</v>
      </c>
      <c r="M7">
        <f t="shared" si="3"/>
        <v>7.8429694659698015</v>
      </c>
      <c r="N7">
        <f t="shared" si="3"/>
        <v>8.038829688385615</v>
      </c>
      <c r="O7">
        <f t="shared" si="3"/>
        <v>8.1831419395445124</v>
      </c>
      <c r="P7">
        <f t="shared" si="3"/>
        <v>8.2715213647205541</v>
      </c>
      <c r="Q7">
        <f t="shared" si="3"/>
        <v>8.3012825998019135</v>
      </c>
    </row>
    <row r="8" spans="1:17" x14ac:dyDescent="0.25">
      <c r="A8">
        <v>130</v>
      </c>
      <c r="B8">
        <f t="shared" si="1"/>
        <v>2.2689280275926285</v>
      </c>
      <c r="C8">
        <f t="shared" si="0"/>
        <v>1.2591896</v>
      </c>
      <c r="D8" cm="1">
        <f t="array" ref="D8">TREND(F19:F20,L19:L20,0,TRUE)</f>
        <v>272.89038567596435</v>
      </c>
      <c r="F8">
        <v>215</v>
      </c>
      <c r="G8">
        <f t="shared" si="2"/>
        <v>225.44117647058829</v>
      </c>
      <c r="H8">
        <f t="shared" si="3"/>
        <v>5.813169354447818</v>
      </c>
      <c r="I8">
        <f t="shared" si="3"/>
        <v>6.153341828022528</v>
      </c>
      <c r="J8">
        <f t="shared" si="3"/>
        <v>6.4831783331232486</v>
      </c>
      <c r="K8">
        <f t="shared" si="3"/>
        <v>6.7926569544478177</v>
      </c>
      <c r="L8">
        <f t="shared" si="3"/>
        <v>7.0723743406910282</v>
      </c>
      <c r="M8">
        <f t="shared" si="3"/>
        <v>7.3138314206157062</v>
      </c>
      <c r="N8">
        <f t="shared" si="3"/>
        <v>7.5096916430315197</v>
      </c>
      <c r="O8">
        <f t="shared" si="3"/>
        <v>7.6540038941904172</v>
      </c>
      <c r="P8">
        <f t="shared" si="3"/>
        <v>7.7423833193664588</v>
      </c>
      <c r="Q8">
        <f t="shared" si="3"/>
        <v>7.7721445544478183</v>
      </c>
    </row>
    <row r="9" spans="1:17" x14ac:dyDescent="0.25">
      <c r="A9">
        <v>140</v>
      </c>
      <c r="B9">
        <f t="shared" si="1"/>
        <v>2.4434609527920612</v>
      </c>
      <c r="C9">
        <f t="shared" si="0"/>
        <v>1.5006883999999998</v>
      </c>
      <c r="D9" cm="1">
        <f t="array" ref="D9">TREND(F19:F20,M19:M20,0,TRUE)</f>
        <v>274.61905785168892</v>
      </c>
      <c r="F9">
        <v>220</v>
      </c>
      <c r="G9">
        <f t="shared" si="2"/>
        <v>229.85294117647067</v>
      </c>
      <c r="H9">
        <f t="shared" si="3"/>
        <v>5.2730002582366433</v>
      </c>
      <c r="I9">
        <f t="shared" si="3"/>
        <v>5.6131727318113533</v>
      </c>
      <c r="J9">
        <f t="shared" si="3"/>
        <v>5.9430092369120739</v>
      </c>
      <c r="K9">
        <f t="shared" si="3"/>
        <v>6.252487858236643</v>
      </c>
      <c r="L9">
        <f t="shared" si="3"/>
        <v>6.5322052444798535</v>
      </c>
      <c r="M9">
        <f t="shared" si="3"/>
        <v>6.7736623244045315</v>
      </c>
      <c r="N9">
        <f t="shared" si="3"/>
        <v>6.969522546820345</v>
      </c>
      <c r="O9">
        <f t="shared" si="3"/>
        <v>7.1138347979792425</v>
      </c>
      <c r="P9">
        <f t="shared" si="3"/>
        <v>7.2022142231552841</v>
      </c>
      <c r="Q9">
        <f t="shared" si="3"/>
        <v>7.2319754582366436</v>
      </c>
    </row>
    <row r="10" spans="1:17" x14ac:dyDescent="0.25">
      <c r="A10">
        <v>150</v>
      </c>
      <c r="B10">
        <f t="shared" si="1"/>
        <v>2.6179938779914944</v>
      </c>
      <c r="C10">
        <f t="shared" si="0"/>
        <v>1.6965555999999999</v>
      </c>
      <c r="D10" cm="1">
        <f t="array" ref="D10">TREND(F20:F21,N20:N21,0,TRUE)</f>
        <v>275.99556151119737</v>
      </c>
      <c r="F10">
        <v>225</v>
      </c>
      <c r="G10">
        <f t="shared" si="2"/>
        <v>234.26470588235301</v>
      </c>
      <c r="H10">
        <f t="shared" si="3"/>
        <v>4.7212811198617111</v>
      </c>
      <c r="I10">
        <f t="shared" si="3"/>
        <v>5.0614535934364211</v>
      </c>
      <c r="J10">
        <f t="shared" si="3"/>
        <v>5.3912900985371417</v>
      </c>
      <c r="K10">
        <f t="shared" si="3"/>
        <v>5.7007687198617107</v>
      </c>
      <c r="L10">
        <f t="shared" si="3"/>
        <v>5.9804861061049213</v>
      </c>
      <c r="M10">
        <f t="shared" si="3"/>
        <v>6.2219431860295993</v>
      </c>
      <c r="N10">
        <f t="shared" si="3"/>
        <v>6.4178034084454127</v>
      </c>
      <c r="O10">
        <f t="shared" si="3"/>
        <v>6.5621156596043102</v>
      </c>
      <c r="P10">
        <f t="shared" si="3"/>
        <v>6.6504950847803519</v>
      </c>
      <c r="Q10">
        <f t="shared" si="3"/>
        <v>6.6802563198617113</v>
      </c>
    </row>
    <row r="11" spans="1:17" x14ac:dyDescent="0.25">
      <c r="A11">
        <v>160</v>
      </c>
      <c r="B11">
        <f t="shared" si="1"/>
        <v>2.7925268031909272</v>
      </c>
      <c r="C11">
        <f t="shared" si="0"/>
        <v>1.8408788</v>
      </c>
      <c r="D11" cm="1">
        <f t="array" ref="D11">TREND(F20:F21,O20:O21,0,TRUE)</f>
        <v>277.00271639182819</v>
      </c>
      <c r="F11">
        <v>230</v>
      </c>
      <c r="G11">
        <f t="shared" si="2"/>
        <v>238.67647058823536</v>
      </c>
      <c r="H11">
        <f t="shared" si="3"/>
        <v>4.1574810171817322</v>
      </c>
      <c r="I11">
        <f t="shared" si="3"/>
        <v>4.4976534907564423</v>
      </c>
      <c r="J11">
        <f t="shared" si="3"/>
        <v>4.8274899958571629</v>
      </c>
      <c r="K11">
        <f t="shared" si="3"/>
        <v>5.1369686171817319</v>
      </c>
      <c r="L11">
        <f t="shared" si="3"/>
        <v>5.4166860034249424</v>
      </c>
      <c r="M11">
        <f t="shared" si="3"/>
        <v>5.6581430833496205</v>
      </c>
      <c r="N11">
        <f t="shared" si="3"/>
        <v>5.8540033057654339</v>
      </c>
      <c r="O11">
        <f t="shared" si="3"/>
        <v>5.9983155569243314</v>
      </c>
      <c r="P11">
        <f t="shared" si="3"/>
        <v>6.0866949821003731</v>
      </c>
      <c r="Q11">
        <f t="shared" si="3"/>
        <v>6.1164562171817325</v>
      </c>
    </row>
    <row r="12" spans="1:17" x14ac:dyDescent="0.25">
      <c r="A12">
        <v>170</v>
      </c>
      <c r="B12">
        <f t="shared" si="1"/>
        <v>2.9670597283903604</v>
      </c>
      <c r="C12">
        <f t="shared" si="0"/>
        <v>1.9292616</v>
      </c>
      <c r="D12" cm="1">
        <f t="array" ref="D12">TREND(F20:F21,P20:P21,0,TRUE)</f>
        <v>277.61951620403113</v>
      </c>
      <c r="F12">
        <v>235</v>
      </c>
      <c r="G12">
        <f t="shared" si="2"/>
        <v>243.08823529411771</v>
      </c>
      <c r="H12">
        <f t="shared" si="3"/>
        <v>3.5810570972207771</v>
      </c>
      <c r="I12">
        <f t="shared" si="3"/>
        <v>3.9212295707954876</v>
      </c>
      <c r="J12">
        <f t="shared" si="3"/>
        <v>4.2510660758962073</v>
      </c>
      <c r="K12">
        <f t="shared" si="3"/>
        <v>4.5605446972207764</v>
      </c>
      <c r="L12">
        <f t="shared" si="3"/>
        <v>4.8402620834639878</v>
      </c>
      <c r="M12">
        <f t="shared" si="3"/>
        <v>5.0817191633886658</v>
      </c>
      <c r="N12">
        <f t="shared" si="3"/>
        <v>5.2775793858044793</v>
      </c>
      <c r="O12">
        <f t="shared" si="3"/>
        <v>5.4218916369633758</v>
      </c>
      <c r="P12">
        <f t="shared" si="3"/>
        <v>5.5102710621394184</v>
      </c>
      <c r="Q12">
        <f t="shared" si="3"/>
        <v>5.5400322972207769</v>
      </c>
    </row>
    <row r="13" spans="1:17" ht="14.25" customHeight="1" x14ac:dyDescent="0.25">
      <c r="A13">
        <v>180</v>
      </c>
      <c r="B13">
        <f t="shared" si="1"/>
        <v>3.1415926535897931</v>
      </c>
      <c r="C13">
        <f t="shared" si="0"/>
        <v>1.9589752</v>
      </c>
      <c r="D13" cm="1">
        <f t="array" ref="D13">TREND(F20:F21,Q20:Q21,0,TRUE)</f>
        <v>277.82721979762823</v>
      </c>
      <c r="F13">
        <v>240</v>
      </c>
      <c r="G13">
        <f t="shared" si="2"/>
        <v>247.50000000000009</v>
      </c>
      <c r="H13">
        <f t="shared" si="3"/>
        <v>2.9914545761682825</v>
      </c>
      <c r="I13">
        <f t="shared" si="3"/>
        <v>3.331627049742993</v>
      </c>
      <c r="J13">
        <f t="shared" si="3"/>
        <v>3.6614635548437131</v>
      </c>
      <c r="K13">
        <f t="shared" si="3"/>
        <v>3.9709421761682822</v>
      </c>
      <c r="L13">
        <f t="shared" si="3"/>
        <v>4.2506595624114931</v>
      </c>
      <c r="M13">
        <f t="shared" si="3"/>
        <v>4.4921166423361711</v>
      </c>
      <c r="N13">
        <f t="shared" si="3"/>
        <v>4.6879768647519846</v>
      </c>
      <c r="O13">
        <f t="shared" si="3"/>
        <v>4.8322891159108812</v>
      </c>
      <c r="P13">
        <f t="shared" si="3"/>
        <v>4.9206685410869238</v>
      </c>
      <c r="Q13">
        <f t="shared" si="3"/>
        <v>4.9504297761682823</v>
      </c>
    </row>
    <row r="14" spans="1:17" x14ac:dyDescent="0.25">
      <c r="F14">
        <v>245</v>
      </c>
      <c r="G14">
        <f t="shared" si="2"/>
        <v>251.91176470588243</v>
      </c>
      <c r="H14">
        <f t="shared" si="3"/>
        <v>2.3881067393790296</v>
      </c>
      <c r="I14">
        <f t="shared" si="3"/>
        <v>2.7282792129537401</v>
      </c>
      <c r="J14">
        <f t="shared" si="3"/>
        <v>3.0581157180544603</v>
      </c>
      <c r="K14">
        <f t="shared" si="3"/>
        <v>3.3675943393790293</v>
      </c>
      <c r="L14">
        <f t="shared" si="3"/>
        <v>3.6473117256222398</v>
      </c>
      <c r="M14">
        <f t="shared" si="3"/>
        <v>3.8887688055469178</v>
      </c>
      <c r="N14">
        <f t="shared" si="3"/>
        <v>4.0846290279627313</v>
      </c>
      <c r="O14">
        <f t="shared" si="3"/>
        <v>4.2289412791216288</v>
      </c>
      <c r="P14">
        <f t="shared" si="3"/>
        <v>4.3173207042976705</v>
      </c>
      <c r="Q14">
        <f t="shared" si="3"/>
        <v>4.3470819393790299</v>
      </c>
    </row>
    <row r="15" spans="1:17" x14ac:dyDescent="0.25">
      <c r="F15">
        <v>250</v>
      </c>
      <c r="G15">
        <f t="shared" si="2"/>
        <v>256.32352941176475</v>
      </c>
      <c r="H15">
        <f t="shared" ref="H15:Q24" si="4">sigma*(T_earth^4-$F15^4)/(R_surf_2U+R_earth_2U)-sigma*$F15^4/(R_surf_2U+R_space_2U)+(T_B-$F15)/R_SO+($G15-$F15)/R_bus+A_2U*albedo*absorp*F_earth+ABS(absorp*solar*0.65*A_2U*COS(H$4*PI()/180))</f>
        <v>1.7704349413731766</v>
      </c>
      <c r="I15">
        <f t="shared" si="4"/>
        <v>2.1106074149478866</v>
      </c>
      <c r="J15">
        <f t="shared" si="4"/>
        <v>2.4404439200486068</v>
      </c>
      <c r="K15">
        <f t="shared" si="4"/>
        <v>2.7499225413731758</v>
      </c>
      <c r="L15">
        <f t="shared" si="4"/>
        <v>3.0296399276163868</v>
      </c>
      <c r="M15">
        <f t="shared" si="4"/>
        <v>3.2710970075410648</v>
      </c>
      <c r="N15">
        <f t="shared" si="4"/>
        <v>3.4669572299568783</v>
      </c>
      <c r="O15">
        <f t="shared" si="4"/>
        <v>3.6112694811157753</v>
      </c>
      <c r="P15">
        <f t="shared" si="4"/>
        <v>3.6996489062918174</v>
      </c>
      <c r="Q15">
        <f t="shared" si="4"/>
        <v>3.7294101413731764</v>
      </c>
    </row>
    <row r="16" spans="1:17" x14ac:dyDescent="0.25">
      <c r="F16">
        <v>255</v>
      </c>
      <c r="G16">
        <f t="shared" si="2"/>
        <v>260.73529411764713</v>
      </c>
      <c r="H16">
        <f t="shared" si="4"/>
        <v>1.1378486058362749</v>
      </c>
      <c r="I16">
        <f t="shared" si="4"/>
        <v>1.4780210794109849</v>
      </c>
      <c r="J16">
        <f t="shared" si="4"/>
        <v>1.8078575845117051</v>
      </c>
      <c r="K16">
        <f t="shared" si="4"/>
        <v>2.1173362058362741</v>
      </c>
      <c r="L16">
        <f t="shared" si="4"/>
        <v>2.3970535920794851</v>
      </c>
      <c r="M16">
        <f t="shared" si="4"/>
        <v>2.6385106720041631</v>
      </c>
      <c r="N16">
        <f t="shared" si="4"/>
        <v>2.8343708944199761</v>
      </c>
      <c r="O16">
        <f t="shared" si="4"/>
        <v>2.9786831455788736</v>
      </c>
      <c r="P16">
        <f t="shared" si="4"/>
        <v>3.0670625707549153</v>
      </c>
      <c r="Q16">
        <f t="shared" si="4"/>
        <v>3.0968238058362747</v>
      </c>
    </row>
    <row r="17" spans="6:17" x14ac:dyDescent="0.25">
      <c r="F17">
        <v>260</v>
      </c>
      <c r="G17">
        <f t="shared" si="2"/>
        <v>265.14705882352951</v>
      </c>
      <c r="H17">
        <f t="shared" si="4"/>
        <v>0.48974522561919437</v>
      </c>
      <c r="I17">
        <f t="shared" si="4"/>
        <v>0.82991769919390457</v>
      </c>
      <c r="J17">
        <f t="shared" si="4"/>
        <v>1.1597542042946247</v>
      </c>
      <c r="K17">
        <f t="shared" si="4"/>
        <v>1.4692328256191938</v>
      </c>
      <c r="L17">
        <f t="shared" si="4"/>
        <v>1.7489502118624047</v>
      </c>
      <c r="M17">
        <f t="shared" si="4"/>
        <v>1.9904072917870828</v>
      </c>
      <c r="N17">
        <f t="shared" si="4"/>
        <v>2.1862675142028958</v>
      </c>
      <c r="O17">
        <f t="shared" si="4"/>
        <v>2.3305797653617932</v>
      </c>
      <c r="P17">
        <f t="shared" si="4"/>
        <v>2.4189591905378349</v>
      </c>
      <c r="Q17">
        <f t="shared" si="4"/>
        <v>2.4487204256191943</v>
      </c>
    </row>
    <row r="18" spans="6:17" x14ac:dyDescent="0.25">
      <c r="F18">
        <v>265</v>
      </c>
      <c r="G18">
        <f t="shared" si="2"/>
        <v>269.55882352941182</v>
      </c>
      <c r="H18">
        <f t="shared" si="4"/>
        <v>-0.17448963726182962</v>
      </c>
      <c r="I18">
        <f t="shared" si="4"/>
        <v>0.16568283631288058</v>
      </c>
      <c r="J18">
        <f t="shared" si="4"/>
        <v>0.49551934141360077</v>
      </c>
      <c r="K18">
        <f t="shared" si="4"/>
        <v>0.80499796273816981</v>
      </c>
      <c r="L18">
        <f t="shared" si="4"/>
        <v>1.0847153489813808</v>
      </c>
      <c r="M18">
        <f t="shared" si="4"/>
        <v>1.3261724289060588</v>
      </c>
      <c r="N18">
        <f t="shared" si="4"/>
        <v>1.522032651321872</v>
      </c>
      <c r="O18">
        <f t="shared" si="4"/>
        <v>1.6663449024807693</v>
      </c>
      <c r="P18">
        <f t="shared" si="4"/>
        <v>1.7547243276568112</v>
      </c>
      <c r="Q18">
        <f t="shared" si="4"/>
        <v>1.7844855627381704</v>
      </c>
    </row>
    <row r="19" spans="6:17" x14ac:dyDescent="0.25">
      <c r="F19">
        <v>270</v>
      </c>
      <c r="G19">
        <f t="shared" si="2"/>
        <v>273.9705882352942</v>
      </c>
      <c r="H19">
        <f t="shared" si="4"/>
        <v>-0.85548235162514574</v>
      </c>
      <c r="I19">
        <f t="shared" si="4"/>
        <v>-0.51530987805043549</v>
      </c>
      <c r="J19">
        <f t="shared" si="4"/>
        <v>-0.18547337294971533</v>
      </c>
      <c r="K19">
        <f t="shared" si="4"/>
        <v>0.12400524837485372</v>
      </c>
      <c r="L19">
        <f t="shared" si="4"/>
        <v>0.40372263461806457</v>
      </c>
      <c r="M19">
        <f t="shared" si="4"/>
        <v>0.64517971454274259</v>
      </c>
      <c r="N19">
        <f t="shared" si="4"/>
        <v>0.84103993695855583</v>
      </c>
      <c r="O19">
        <f t="shared" si="4"/>
        <v>0.98535218811745306</v>
      </c>
      <c r="P19">
        <f t="shared" si="4"/>
        <v>1.0737316132934951</v>
      </c>
      <c r="Q19">
        <f t="shared" si="4"/>
        <v>1.1034928483748541</v>
      </c>
    </row>
    <row r="20" spans="6:17" x14ac:dyDescent="0.25">
      <c r="F20">
        <v>275</v>
      </c>
      <c r="G20">
        <f t="shared" si="2"/>
        <v>278.38235294117652</v>
      </c>
      <c r="H20">
        <f t="shared" si="4"/>
        <v>-1.553871217123808</v>
      </c>
      <c r="I20">
        <f t="shared" si="4"/>
        <v>-1.213698743549098</v>
      </c>
      <c r="J20">
        <f t="shared" si="4"/>
        <v>-0.88386223844837775</v>
      </c>
      <c r="K20">
        <f t="shared" si="4"/>
        <v>-0.5743836171238087</v>
      </c>
      <c r="L20">
        <f t="shared" si="4"/>
        <v>-0.29466623088059785</v>
      </c>
      <c r="M20">
        <f t="shared" si="4"/>
        <v>-5.3209150955919826E-2</v>
      </c>
      <c r="N20">
        <f t="shared" si="4"/>
        <v>0.14265107145989342</v>
      </c>
      <c r="O20">
        <f t="shared" si="4"/>
        <v>0.28696332261879065</v>
      </c>
      <c r="P20">
        <f t="shared" si="4"/>
        <v>0.37534274779483257</v>
      </c>
      <c r="Q20">
        <f t="shared" si="4"/>
        <v>0.40510398287619176</v>
      </c>
    </row>
    <row r="21" spans="6:17" x14ac:dyDescent="0.25">
      <c r="F21">
        <v>280</v>
      </c>
      <c r="G21">
        <f t="shared" si="2"/>
        <v>282.7941176470589</v>
      </c>
      <c r="H21">
        <f t="shared" si="4"/>
        <v>-2.2703064642454387</v>
      </c>
      <c r="I21">
        <f t="shared" si="4"/>
        <v>-1.9301339906707284</v>
      </c>
      <c r="J21">
        <f t="shared" si="4"/>
        <v>-1.6002974855700081</v>
      </c>
      <c r="K21">
        <f t="shared" si="4"/>
        <v>-1.290818864245439</v>
      </c>
      <c r="L21">
        <f t="shared" si="4"/>
        <v>-1.0111014780022283</v>
      </c>
      <c r="M21">
        <f t="shared" si="4"/>
        <v>-0.76964439807755025</v>
      </c>
      <c r="N21">
        <f t="shared" si="4"/>
        <v>-0.57378417566173701</v>
      </c>
      <c r="O21">
        <f t="shared" si="4"/>
        <v>-0.42947192450283977</v>
      </c>
      <c r="P21">
        <f t="shared" si="4"/>
        <v>-0.34109249932679786</v>
      </c>
      <c r="Q21">
        <f t="shared" si="4"/>
        <v>-0.31133126424543867</v>
      </c>
    </row>
    <row r="22" spans="6:17" x14ac:dyDescent="0.25">
      <c r="F22">
        <v>285</v>
      </c>
      <c r="G22">
        <f t="shared" si="2"/>
        <v>287.20588235294127</v>
      </c>
      <c r="H22">
        <f t="shared" si="4"/>
        <v>-3.0054502543123429</v>
      </c>
      <c r="I22">
        <f t="shared" si="4"/>
        <v>-2.6652777807376324</v>
      </c>
      <c r="J22">
        <f t="shared" si="4"/>
        <v>-2.3354412756369123</v>
      </c>
      <c r="K22">
        <f t="shared" si="4"/>
        <v>-2.0259626543123432</v>
      </c>
      <c r="L22">
        <f t="shared" si="4"/>
        <v>-1.7462452680691325</v>
      </c>
      <c r="M22">
        <f t="shared" si="4"/>
        <v>-1.5047881881444545</v>
      </c>
      <c r="N22">
        <f t="shared" si="4"/>
        <v>-1.3089279657286412</v>
      </c>
      <c r="O22">
        <f t="shared" si="4"/>
        <v>-1.164615714569744</v>
      </c>
      <c r="P22">
        <f t="shared" si="4"/>
        <v>-1.0762362893937021</v>
      </c>
      <c r="Q22">
        <f t="shared" si="4"/>
        <v>-1.0464750543123429</v>
      </c>
    </row>
    <row r="23" spans="6:17" x14ac:dyDescent="0.25">
      <c r="F23">
        <v>290</v>
      </c>
      <c r="G23">
        <f t="shared" si="2"/>
        <v>291.61764705882359</v>
      </c>
      <c r="H23">
        <f t="shared" si="4"/>
        <v>-3.7599766794814693</v>
      </c>
      <c r="I23">
        <f t="shared" si="4"/>
        <v>-3.4198042059067588</v>
      </c>
      <c r="J23">
        <f t="shared" si="4"/>
        <v>-3.0899677008060387</v>
      </c>
      <c r="K23">
        <f t="shared" si="4"/>
        <v>-2.7804890794814696</v>
      </c>
      <c r="L23">
        <f t="shared" si="4"/>
        <v>-2.5007716932382591</v>
      </c>
      <c r="M23">
        <f t="shared" si="4"/>
        <v>-2.2593146133135811</v>
      </c>
      <c r="N23">
        <f t="shared" si="4"/>
        <v>-2.0634543908977676</v>
      </c>
      <c r="O23">
        <f t="shared" si="4"/>
        <v>-1.9191421397388704</v>
      </c>
      <c r="P23">
        <f t="shared" si="4"/>
        <v>-1.8307627145628285</v>
      </c>
      <c r="Q23">
        <f t="shared" si="4"/>
        <v>-1.8010014794814693</v>
      </c>
    </row>
    <row r="24" spans="6:17" x14ac:dyDescent="0.25">
      <c r="F24">
        <v>295</v>
      </c>
      <c r="G24">
        <f t="shared" si="2"/>
        <v>296.02941176470597</v>
      </c>
      <c r="H24">
        <f t="shared" si="4"/>
        <v>-4.5345717627443429</v>
      </c>
      <c r="I24">
        <f t="shared" si="4"/>
        <v>-4.1943992891696329</v>
      </c>
      <c r="J24">
        <f t="shared" si="4"/>
        <v>-3.8645627840689123</v>
      </c>
      <c r="K24">
        <f t="shared" si="4"/>
        <v>-3.5550841627443432</v>
      </c>
      <c r="L24">
        <f t="shared" si="4"/>
        <v>-3.2753667765011327</v>
      </c>
      <c r="M24">
        <f t="shared" si="4"/>
        <v>-3.0339096965764547</v>
      </c>
      <c r="N24">
        <f t="shared" si="4"/>
        <v>-2.8380494741606412</v>
      </c>
      <c r="O24">
        <f t="shared" si="4"/>
        <v>-2.6937372230017438</v>
      </c>
      <c r="P24">
        <f t="shared" si="4"/>
        <v>-2.6053577978257021</v>
      </c>
      <c r="Q24">
        <f t="shared" si="4"/>
        <v>-2.5755965627443427</v>
      </c>
    </row>
    <row r="25" spans="6:17" x14ac:dyDescent="0.25">
      <c r="F25">
        <v>300</v>
      </c>
      <c r="G25">
        <f t="shared" si="2"/>
        <v>300.44117647058835</v>
      </c>
      <c r="H25">
        <f t="shared" ref="H25:Q37" si="5">sigma*(T_earth^4-$F25^4)/(R_surf_2U+R_earth_2U)-sigma*$F25^4/(R_surf_2U+R_space_2U)+(T_B-$F25)/R_SO+($G25-$F25)/R_bus+A_2U*albedo*absorp*F_earth+ABS(absorp*solar*0.65*A_2U*COS(H$4*PI()/180))</f>
        <v>-5.3299334579271829</v>
      </c>
      <c r="I25">
        <f t="shared" si="5"/>
        <v>-4.9897609843524728</v>
      </c>
      <c r="J25">
        <f t="shared" si="5"/>
        <v>-4.6599244792517522</v>
      </c>
      <c r="K25">
        <f t="shared" si="5"/>
        <v>-4.3504458579271832</v>
      </c>
      <c r="L25">
        <f t="shared" si="5"/>
        <v>-4.0707284716839727</v>
      </c>
      <c r="M25">
        <f t="shared" si="5"/>
        <v>-3.8292713917592947</v>
      </c>
      <c r="N25">
        <f t="shared" si="5"/>
        <v>-3.6334111693434812</v>
      </c>
      <c r="O25">
        <f t="shared" si="5"/>
        <v>-3.4890989181845837</v>
      </c>
      <c r="P25">
        <f t="shared" si="5"/>
        <v>-3.400719493008542</v>
      </c>
      <c r="Q25">
        <f t="shared" si="5"/>
        <v>-3.3709582579271826</v>
      </c>
    </row>
    <row r="26" spans="6:17" x14ac:dyDescent="0.25">
      <c r="F26">
        <v>305</v>
      </c>
      <c r="G26">
        <f t="shared" si="2"/>
        <v>304.85294117647067</v>
      </c>
      <c r="H26">
        <f t="shared" si="5"/>
        <v>-6.1467716496908382</v>
      </c>
      <c r="I26">
        <f t="shared" si="5"/>
        <v>-5.8065991761161282</v>
      </c>
      <c r="J26">
        <f t="shared" si="5"/>
        <v>-5.4767626710154076</v>
      </c>
      <c r="K26">
        <f t="shared" si="5"/>
        <v>-5.1672840496908385</v>
      </c>
      <c r="L26">
        <f t="shared" si="5"/>
        <v>-4.887566663447628</v>
      </c>
      <c r="M26">
        <f t="shared" si="5"/>
        <v>-4.64610958352295</v>
      </c>
      <c r="N26">
        <f t="shared" si="5"/>
        <v>-4.4502493611071365</v>
      </c>
      <c r="O26">
        <f t="shared" si="5"/>
        <v>-4.3059371099482391</v>
      </c>
      <c r="P26">
        <f t="shared" si="5"/>
        <v>-4.2175576847721974</v>
      </c>
      <c r="Q26">
        <f t="shared" si="5"/>
        <v>-4.187796449690838</v>
      </c>
    </row>
    <row r="27" spans="6:17" x14ac:dyDescent="0.25">
      <c r="F27">
        <v>310</v>
      </c>
      <c r="G27">
        <f t="shared" si="2"/>
        <v>309.26470588235304</v>
      </c>
      <c r="H27">
        <f t="shared" si="5"/>
        <v>-6.985808153530745</v>
      </c>
      <c r="I27">
        <f t="shared" si="5"/>
        <v>-6.645635679956035</v>
      </c>
      <c r="J27">
        <f t="shared" si="5"/>
        <v>-6.3157991748553144</v>
      </c>
      <c r="K27">
        <f t="shared" si="5"/>
        <v>-6.0063205535307453</v>
      </c>
      <c r="L27">
        <f t="shared" si="5"/>
        <v>-5.7266031672875348</v>
      </c>
      <c r="M27">
        <f t="shared" si="5"/>
        <v>-5.4851460873628568</v>
      </c>
      <c r="N27">
        <f t="shared" si="5"/>
        <v>-5.2892858649470433</v>
      </c>
      <c r="O27">
        <f t="shared" si="5"/>
        <v>-5.1449736137881459</v>
      </c>
      <c r="P27">
        <f t="shared" si="5"/>
        <v>-5.0565941886121042</v>
      </c>
      <c r="Q27">
        <f t="shared" si="5"/>
        <v>-5.0268329535307448</v>
      </c>
    </row>
    <row r="28" spans="6:17" x14ac:dyDescent="0.25">
      <c r="F28">
        <v>315</v>
      </c>
      <c r="G28">
        <f t="shared" si="2"/>
        <v>313.67647058823536</v>
      </c>
      <c r="H28">
        <f t="shared" si="5"/>
        <v>-7.8477767157770462</v>
      </c>
      <c r="I28">
        <f t="shared" si="5"/>
        <v>-7.5076042422023361</v>
      </c>
      <c r="J28">
        <f t="shared" si="5"/>
        <v>-7.1777677371016155</v>
      </c>
      <c r="K28">
        <f t="shared" si="5"/>
        <v>-6.8682891157770465</v>
      </c>
      <c r="L28">
        <f t="shared" si="5"/>
        <v>-6.588571729533836</v>
      </c>
      <c r="M28">
        <f t="shared" si="5"/>
        <v>-6.3471146496091579</v>
      </c>
      <c r="N28">
        <f t="shared" si="5"/>
        <v>-6.1512544271933445</v>
      </c>
      <c r="O28">
        <f t="shared" si="5"/>
        <v>-6.006942176034447</v>
      </c>
      <c r="P28">
        <f t="shared" si="5"/>
        <v>-5.9185627508584053</v>
      </c>
      <c r="Q28">
        <f t="shared" si="5"/>
        <v>-5.8888015157770459</v>
      </c>
    </row>
    <row r="29" spans="6:17" x14ac:dyDescent="0.25">
      <c r="F29">
        <v>320</v>
      </c>
      <c r="G29">
        <f t="shared" si="2"/>
        <v>318.08823529411774</v>
      </c>
      <c r="H29">
        <f t="shared" si="5"/>
        <v>-8.7334230135944484</v>
      </c>
      <c r="I29">
        <f t="shared" si="5"/>
        <v>-8.3932505400197375</v>
      </c>
      <c r="J29">
        <f t="shared" si="5"/>
        <v>-8.0634140349190186</v>
      </c>
      <c r="K29">
        <f t="shared" si="5"/>
        <v>-7.7539354135944487</v>
      </c>
      <c r="L29">
        <f t="shared" si="5"/>
        <v>-7.4742180273512382</v>
      </c>
      <c r="M29">
        <f t="shared" si="5"/>
        <v>-7.2327609474265602</v>
      </c>
      <c r="N29">
        <f t="shared" si="5"/>
        <v>-7.0369007250107467</v>
      </c>
      <c r="O29">
        <f t="shared" si="5"/>
        <v>-6.8925884738518493</v>
      </c>
      <c r="P29">
        <f t="shared" si="5"/>
        <v>-6.8042090486758076</v>
      </c>
      <c r="Q29">
        <f t="shared" si="5"/>
        <v>-6.7744478135944481</v>
      </c>
    </row>
    <row r="30" spans="6:17" x14ac:dyDescent="0.25">
      <c r="F30">
        <v>325</v>
      </c>
      <c r="G30">
        <f t="shared" si="2"/>
        <v>322.50000000000011</v>
      </c>
      <c r="H30">
        <f t="shared" si="5"/>
        <v>-9.6435046549823493</v>
      </c>
      <c r="I30">
        <f t="shared" si="5"/>
        <v>-9.3033321814076384</v>
      </c>
      <c r="J30">
        <f t="shared" si="5"/>
        <v>-8.9734956763069196</v>
      </c>
      <c r="K30">
        <f t="shared" si="5"/>
        <v>-8.6640170549823505</v>
      </c>
      <c r="L30">
        <f t="shared" si="5"/>
        <v>-8.3842996687391391</v>
      </c>
      <c r="M30">
        <f t="shared" si="5"/>
        <v>-8.1428425888144602</v>
      </c>
      <c r="N30">
        <f t="shared" si="5"/>
        <v>-7.9469823663986476</v>
      </c>
      <c r="O30">
        <f t="shared" si="5"/>
        <v>-7.8026701152397502</v>
      </c>
      <c r="P30">
        <f t="shared" si="5"/>
        <v>-7.7142906900637085</v>
      </c>
      <c r="Q30">
        <f t="shared" si="5"/>
        <v>-7.6845294549823491</v>
      </c>
    </row>
    <row r="31" spans="6:17" x14ac:dyDescent="0.25">
      <c r="F31">
        <v>330</v>
      </c>
      <c r="G31">
        <f t="shared" si="2"/>
        <v>326.91176470588243</v>
      </c>
      <c r="H31">
        <f t="shared" si="5"/>
        <v>-10.578791178774775</v>
      </c>
      <c r="I31">
        <f t="shared" si="5"/>
        <v>-10.238618705200064</v>
      </c>
      <c r="J31">
        <f t="shared" si="5"/>
        <v>-9.9087822000993455</v>
      </c>
      <c r="K31">
        <f t="shared" si="5"/>
        <v>-9.5993035787747765</v>
      </c>
      <c r="L31">
        <f t="shared" si="5"/>
        <v>-9.3195861925315651</v>
      </c>
      <c r="M31">
        <f t="shared" si="5"/>
        <v>-9.0781291126068862</v>
      </c>
      <c r="N31">
        <f t="shared" si="5"/>
        <v>-8.8822688901910745</v>
      </c>
      <c r="O31">
        <f t="shared" si="5"/>
        <v>-8.737956639032177</v>
      </c>
      <c r="P31">
        <f t="shared" si="5"/>
        <v>-8.6495772138561335</v>
      </c>
      <c r="Q31">
        <f t="shared" si="5"/>
        <v>-8.6198159787747759</v>
      </c>
    </row>
    <row r="32" spans="6:17" x14ac:dyDescent="0.25">
      <c r="F32">
        <v>335</v>
      </c>
      <c r="G32">
        <f t="shared" si="2"/>
        <v>331.32352941176481</v>
      </c>
      <c r="H32">
        <f t="shared" si="5"/>
        <v>-11.540064054640348</v>
      </c>
      <c r="I32">
        <f t="shared" si="5"/>
        <v>-11.199891581065637</v>
      </c>
      <c r="J32">
        <f t="shared" si="5"/>
        <v>-10.870055075964919</v>
      </c>
      <c r="K32">
        <f t="shared" si="5"/>
        <v>-10.56057645464035</v>
      </c>
      <c r="L32">
        <f t="shared" si="5"/>
        <v>-10.280859068397138</v>
      </c>
      <c r="M32">
        <f t="shared" si="5"/>
        <v>-10.039401988472459</v>
      </c>
      <c r="N32">
        <f t="shared" si="5"/>
        <v>-9.8435417660566458</v>
      </c>
      <c r="O32">
        <f t="shared" si="5"/>
        <v>-9.6992295148977501</v>
      </c>
      <c r="P32">
        <f t="shared" si="5"/>
        <v>-9.6108500897217084</v>
      </c>
      <c r="Q32">
        <f t="shared" si="5"/>
        <v>-9.581088854640349</v>
      </c>
    </row>
    <row r="33" spans="6:17" x14ac:dyDescent="0.25">
      <c r="F33">
        <v>340</v>
      </c>
      <c r="G33">
        <f t="shared" si="2"/>
        <v>335.73529411764713</v>
      </c>
      <c r="H33">
        <f t="shared" si="5"/>
        <v>-12.528116683082382</v>
      </c>
      <c r="I33">
        <f t="shared" si="5"/>
        <v>-12.187944209507672</v>
      </c>
      <c r="J33">
        <f t="shared" si="5"/>
        <v>-11.858107704406953</v>
      </c>
      <c r="K33">
        <f t="shared" si="5"/>
        <v>-11.548629083082384</v>
      </c>
      <c r="L33">
        <f t="shared" si="5"/>
        <v>-11.268911696839172</v>
      </c>
      <c r="M33">
        <f t="shared" si="5"/>
        <v>-11.027454616914493</v>
      </c>
      <c r="N33">
        <f t="shared" si="5"/>
        <v>-10.83159439449868</v>
      </c>
      <c r="O33">
        <f t="shared" si="5"/>
        <v>-10.687282143339784</v>
      </c>
      <c r="P33">
        <f t="shared" si="5"/>
        <v>-10.598902718163743</v>
      </c>
      <c r="Q33">
        <f t="shared" si="5"/>
        <v>-10.569141483082383</v>
      </c>
    </row>
    <row r="34" spans="6:17" x14ac:dyDescent="0.25">
      <c r="F34">
        <v>345</v>
      </c>
      <c r="G34">
        <f t="shared" si="2"/>
        <v>340.14705882352951</v>
      </c>
      <c r="H34">
        <f t="shared" si="5"/>
        <v>-13.543754395438773</v>
      </c>
      <c r="I34">
        <f t="shared" si="5"/>
        <v>-13.203581921864062</v>
      </c>
      <c r="J34">
        <f t="shared" si="5"/>
        <v>-12.873745416763343</v>
      </c>
      <c r="K34">
        <f t="shared" si="5"/>
        <v>-12.564266795438774</v>
      </c>
      <c r="L34">
        <f t="shared" si="5"/>
        <v>-12.284549409195563</v>
      </c>
      <c r="M34">
        <f t="shared" si="5"/>
        <v>-12.043092329270884</v>
      </c>
      <c r="N34">
        <f t="shared" si="5"/>
        <v>-11.847232106855071</v>
      </c>
      <c r="O34">
        <f t="shared" si="5"/>
        <v>-11.702919855696175</v>
      </c>
      <c r="P34">
        <f t="shared" si="5"/>
        <v>-11.614540430520133</v>
      </c>
      <c r="Q34">
        <f t="shared" si="5"/>
        <v>-11.584779195438774</v>
      </c>
    </row>
    <row r="35" spans="6:17" x14ac:dyDescent="0.25">
      <c r="F35">
        <v>350</v>
      </c>
      <c r="G35">
        <f t="shared" si="2"/>
        <v>344.55882352941188</v>
      </c>
      <c r="H35">
        <f t="shared" si="5"/>
        <v>-14.587794453882085</v>
      </c>
      <c r="I35">
        <f t="shared" si="5"/>
        <v>-14.247621980307374</v>
      </c>
      <c r="J35">
        <f t="shared" si="5"/>
        <v>-13.917785475206655</v>
      </c>
      <c r="K35">
        <f t="shared" si="5"/>
        <v>-13.608306853882086</v>
      </c>
      <c r="L35">
        <f t="shared" si="5"/>
        <v>-13.328589467638874</v>
      </c>
      <c r="M35">
        <f t="shared" si="5"/>
        <v>-13.087132387714195</v>
      </c>
      <c r="N35">
        <f t="shared" si="5"/>
        <v>-12.891272165298382</v>
      </c>
      <c r="O35">
        <f t="shared" si="5"/>
        <v>-12.746959914139486</v>
      </c>
      <c r="P35">
        <f t="shared" si="5"/>
        <v>-12.658580488963445</v>
      </c>
      <c r="Q35">
        <f t="shared" si="5"/>
        <v>-12.628819253882085</v>
      </c>
    </row>
    <row r="36" spans="6:17" x14ac:dyDescent="0.25">
      <c r="F36">
        <v>355</v>
      </c>
      <c r="G36">
        <f t="shared" si="2"/>
        <v>348.9705882352942</v>
      </c>
      <c r="H36">
        <f t="shared" si="5"/>
        <v>-15.661066051419537</v>
      </c>
      <c r="I36">
        <f t="shared" si="5"/>
        <v>-15.320893577844826</v>
      </c>
      <c r="J36">
        <f t="shared" si="5"/>
        <v>-14.991057072744107</v>
      </c>
      <c r="K36">
        <f t="shared" si="5"/>
        <v>-14.681578451419538</v>
      </c>
      <c r="L36">
        <f t="shared" si="5"/>
        <v>-14.401861065176327</v>
      </c>
      <c r="M36">
        <f t="shared" si="5"/>
        <v>-14.160403985251648</v>
      </c>
      <c r="N36">
        <f t="shared" si="5"/>
        <v>-13.964543762835834</v>
      </c>
      <c r="O36">
        <f t="shared" si="5"/>
        <v>-13.820231511676939</v>
      </c>
      <c r="P36">
        <f t="shared" si="5"/>
        <v>-13.731852086500897</v>
      </c>
      <c r="Q36">
        <f t="shared" si="5"/>
        <v>-13.702090851419538</v>
      </c>
    </row>
    <row r="37" spans="6:17" x14ac:dyDescent="0.25">
      <c r="F37">
        <v>360</v>
      </c>
      <c r="G37">
        <f t="shared" si="2"/>
        <v>353.38235294117658</v>
      </c>
      <c r="H37">
        <f t="shared" si="5"/>
        <v>-16.76441031189292</v>
      </c>
      <c r="I37">
        <f t="shared" si="5"/>
        <v>-16.424237838318209</v>
      </c>
      <c r="J37">
        <f t="shared" si="5"/>
        <v>-16.09440133321749</v>
      </c>
      <c r="K37">
        <f t="shared" si="5"/>
        <v>-15.784922711892921</v>
      </c>
      <c r="L37">
        <f t="shared" si="5"/>
        <v>-15.50520532564971</v>
      </c>
      <c r="M37">
        <f t="shared" si="5"/>
        <v>-15.263748245725031</v>
      </c>
      <c r="N37">
        <f t="shared" si="5"/>
        <v>-15.067888023309219</v>
      </c>
      <c r="O37">
        <f t="shared" si="5"/>
        <v>-14.923575772150322</v>
      </c>
      <c r="P37">
        <f t="shared" si="5"/>
        <v>-14.835196346974278</v>
      </c>
      <c r="Q37">
        <f t="shared" si="5"/>
        <v>-14.805435111892921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854C-4588-4BC3-99D0-FEAE0C684E81}">
  <dimension ref="A1"/>
  <sheetViews>
    <sheetView workbookViewId="0">
      <selection activeCell="H32" sqref="H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24</vt:i4>
      </vt:variant>
    </vt:vector>
  </HeadingPairs>
  <TitlesOfParts>
    <vt:vector size="28" baseType="lpstr">
      <vt:lpstr>Sheet1</vt:lpstr>
      <vt:lpstr>Radiator Size Study</vt:lpstr>
      <vt:lpstr>Incident Angle Study</vt:lpstr>
      <vt:lpstr>Sheet2</vt:lpstr>
      <vt:lpstr>A_1U</vt:lpstr>
      <vt:lpstr>A_2U</vt:lpstr>
      <vt:lpstr>A_3U</vt:lpstr>
      <vt:lpstr>absorp</vt:lpstr>
      <vt:lpstr>albedo</vt:lpstr>
      <vt:lpstr>emiss_out</vt:lpstr>
      <vt:lpstr>F_earth</vt:lpstr>
      <vt:lpstr>F_space</vt:lpstr>
      <vt:lpstr>q_D</vt:lpstr>
      <vt:lpstr>R_bus</vt:lpstr>
      <vt:lpstr>R_earth_1U</vt:lpstr>
      <vt:lpstr>R_earth_2U</vt:lpstr>
      <vt:lpstr>R_earth_3U</vt:lpstr>
      <vt:lpstr>R_SO</vt:lpstr>
      <vt:lpstr>R_space_1U</vt:lpstr>
      <vt:lpstr>R_space_2U</vt:lpstr>
      <vt:lpstr>R_space_3U</vt:lpstr>
      <vt:lpstr>R_surf_1U</vt:lpstr>
      <vt:lpstr>R_surf_2U</vt:lpstr>
      <vt:lpstr>R_surf_3U</vt:lpstr>
      <vt:lpstr>sigma</vt:lpstr>
      <vt:lpstr>solar</vt:lpstr>
      <vt:lpstr>T_B</vt:lpstr>
      <vt:lpstr>T_earth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Birmingham</dc:creator>
  <cp:lastModifiedBy>William Birmingham</cp:lastModifiedBy>
  <dcterms:created xsi:type="dcterms:W3CDTF">2022-06-13T14:57:25Z</dcterms:created>
  <dcterms:modified xsi:type="dcterms:W3CDTF">2022-09-12T16:53:01Z</dcterms:modified>
</cp:coreProperties>
</file>