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днс\Downloads\"/>
    </mc:Choice>
  </mc:AlternateContent>
  <xr:revisionPtr revIDLastSave="0" documentId="13_ncr:1_{C2E094DA-7CA1-42B6-B3FF-6C16573182C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juj8+Ffv8HLYHcoNu6WKg8A/2+lw=="/>
    </ext>
  </extLst>
</workbook>
</file>

<file path=xl/calcChain.xml><?xml version="1.0" encoding="utf-8"?>
<calcChain xmlns="http://schemas.openxmlformats.org/spreadsheetml/2006/main">
  <c r="F56" i="1" l="1"/>
  <c r="E56" i="1"/>
  <c r="D56" i="1"/>
  <c r="C56" i="1"/>
  <c r="F55" i="1"/>
  <c r="E55" i="1"/>
  <c r="D55" i="1"/>
  <c r="C55" i="1"/>
  <c r="Q13" i="1"/>
  <c r="U29" i="1"/>
  <c r="T29" i="1"/>
  <c r="U28" i="1"/>
  <c r="T28" i="1"/>
  <c r="U27" i="1"/>
  <c r="T27" i="1"/>
  <c r="U26" i="1"/>
  <c r="T26" i="1"/>
  <c r="U25" i="1"/>
  <c r="T25" i="1"/>
  <c r="U24" i="1"/>
  <c r="T24" i="1"/>
  <c r="P23" i="1"/>
  <c r="O23" i="1"/>
  <c r="N23" i="1"/>
  <c r="M23" i="1"/>
  <c r="L23" i="1"/>
  <c r="K23" i="1"/>
  <c r="H18" i="1"/>
  <c r="R12" i="1" s="1"/>
  <c r="G18" i="1"/>
  <c r="Q12" i="1" s="1"/>
  <c r="F18" i="1"/>
  <c r="P12" i="1" s="1"/>
  <c r="E18" i="1"/>
  <c r="O12" i="1" s="1"/>
  <c r="D18" i="1"/>
  <c r="N12" i="1" s="1"/>
  <c r="C18" i="1"/>
  <c r="M12" i="1" s="1"/>
  <c r="B18" i="1"/>
  <c r="B17" i="1"/>
  <c r="B16" i="1"/>
  <c r="B15" i="1"/>
  <c r="H14" i="1"/>
  <c r="R9" i="1" s="1"/>
  <c r="R10" i="1" s="1"/>
  <c r="G14" i="1"/>
  <c r="Q9" i="1" s="1"/>
  <c r="F14" i="1"/>
  <c r="P9" i="1" s="1"/>
  <c r="E14" i="1"/>
  <c r="O9" i="1" s="1"/>
  <c r="D14" i="1"/>
  <c r="N9" i="1" s="1"/>
  <c r="C14" i="1"/>
  <c r="M9" i="1" s="1"/>
  <c r="B14" i="1"/>
  <c r="B13" i="1"/>
  <c r="B12" i="1"/>
  <c r="B11" i="1"/>
  <c r="H10" i="1"/>
  <c r="R6" i="1" s="1"/>
  <c r="G10" i="1"/>
  <c r="Q6" i="1" s="1"/>
  <c r="F10" i="1"/>
  <c r="P6" i="1" s="1"/>
  <c r="P8" i="1" s="1"/>
  <c r="D65" i="1" s="1"/>
  <c r="E10" i="1"/>
  <c r="O6" i="1" s="1"/>
  <c r="D10" i="1"/>
  <c r="N6" i="1" s="1"/>
  <c r="C10" i="1"/>
  <c r="M6" i="1" s="1"/>
  <c r="B10" i="1"/>
  <c r="B9" i="1"/>
  <c r="J8" i="1"/>
  <c r="B8" i="1"/>
  <c r="B7" i="1"/>
  <c r="J6" i="1"/>
  <c r="H6" i="1"/>
  <c r="R3" i="1" s="1"/>
  <c r="G6" i="1"/>
  <c r="F6" i="1"/>
  <c r="P3" i="1" s="1"/>
  <c r="E6" i="1"/>
  <c r="O3" i="1" s="1"/>
  <c r="D6" i="1"/>
  <c r="N3" i="1" s="1"/>
  <c r="C6" i="1"/>
  <c r="J19" i="1" s="1"/>
  <c r="Q3" i="1"/>
  <c r="Q4" i="1" s="1"/>
  <c r="J2" i="1"/>
  <c r="R14" i="1" l="1"/>
  <c r="F68" i="1" s="1"/>
  <c r="R13" i="1"/>
  <c r="F67" i="1" s="1"/>
  <c r="F70" i="1"/>
  <c r="Q14" i="1"/>
  <c r="F71" i="1" s="1"/>
  <c r="P14" i="1"/>
  <c r="F65" i="1" s="1"/>
  <c r="P13" i="1"/>
  <c r="F64" i="1" s="1"/>
  <c r="O14" i="1"/>
  <c r="F62" i="1" s="1"/>
  <c r="O13" i="1"/>
  <c r="F61" i="1" s="1"/>
  <c r="N14" i="1"/>
  <c r="F59" i="1" s="1"/>
  <c r="N13" i="1"/>
  <c r="F58" i="1" s="1"/>
  <c r="M14" i="1"/>
  <c r="M13" i="1"/>
  <c r="Q10" i="1"/>
  <c r="E70" i="1" s="1"/>
  <c r="Q11" i="1"/>
  <c r="E71" i="1" s="1"/>
  <c r="P10" i="1"/>
  <c r="E64" i="1" s="1"/>
  <c r="P11" i="1"/>
  <c r="E65" i="1" s="1"/>
  <c r="O10" i="1"/>
  <c r="E61" i="1" s="1"/>
  <c r="O11" i="1"/>
  <c r="E62" i="1" s="1"/>
  <c r="N11" i="1"/>
  <c r="E59" i="1" s="1"/>
  <c r="N10" i="1"/>
  <c r="E58" i="1" s="1"/>
  <c r="M10" i="1"/>
  <c r="M11" i="1"/>
  <c r="R8" i="1"/>
  <c r="D68" i="1" s="1"/>
  <c r="R7" i="1"/>
  <c r="D67" i="1" s="1"/>
  <c r="Q8" i="1"/>
  <c r="D71" i="1" s="1"/>
  <c r="Q7" i="1"/>
  <c r="D70" i="1" s="1"/>
  <c r="O7" i="1"/>
  <c r="D61" i="1" s="1"/>
  <c r="O8" i="1"/>
  <c r="D62" i="1" s="1"/>
  <c r="N8" i="1"/>
  <c r="D59" i="1" s="1"/>
  <c r="N7" i="1"/>
  <c r="D58" i="1" s="1"/>
  <c r="M8" i="1"/>
  <c r="M7" i="1"/>
  <c r="R4" i="1"/>
  <c r="C67" i="1" s="1"/>
  <c r="R5" i="1"/>
  <c r="C68" i="1" s="1"/>
  <c r="P5" i="1"/>
  <c r="C65" i="1" s="1"/>
  <c r="P4" i="1"/>
  <c r="C64" i="1" s="1"/>
  <c r="O5" i="1"/>
  <c r="O4" i="1"/>
  <c r="C61" i="1" s="1"/>
  <c r="N5" i="1"/>
  <c r="C59" i="1" s="1"/>
  <c r="N4" i="1"/>
  <c r="C58" i="1" s="1"/>
  <c r="P57" i="1"/>
  <c r="J20" i="1"/>
  <c r="J18" i="1"/>
  <c r="M3" i="1"/>
  <c r="C70" i="1"/>
  <c r="E67" i="1"/>
  <c r="C62" i="1"/>
  <c r="Q5" i="1"/>
  <c r="R11" i="1"/>
  <c r="E68" i="1" s="1"/>
  <c r="U30" i="1"/>
  <c r="P7" i="1"/>
  <c r="D64" i="1" s="1"/>
  <c r="N26" i="1" l="1"/>
  <c r="M27" i="1"/>
  <c r="O27" i="1"/>
  <c r="M26" i="1"/>
  <c r="L26" i="1"/>
  <c r="P27" i="1"/>
  <c r="L27" i="1"/>
  <c r="K18" i="1"/>
  <c r="M18" i="1" s="1"/>
  <c r="P59" i="1"/>
  <c r="M5" i="1"/>
  <c r="M4" i="1"/>
  <c r="S58" i="1"/>
  <c r="P26" i="1"/>
  <c r="N27" i="1"/>
  <c r="O26" i="1"/>
  <c r="C71" i="1"/>
  <c r="N24" i="1" l="1"/>
  <c r="V27" i="1" s="1"/>
  <c r="M24" i="1"/>
  <c r="M25" i="1" s="1"/>
  <c r="O24" i="1"/>
  <c r="O25" i="1" s="1"/>
  <c r="M57" i="1" s="1"/>
  <c r="L24" i="1"/>
  <c r="L25" i="1" s="1"/>
  <c r="K27" i="1"/>
  <c r="K26" i="1"/>
  <c r="P24" i="1"/>
  <c r="P25" i="1" s="1"/>
  <c r="N25" i="1" l="1"/>
  <c r="L58" i="1" s="1"/>
  <c r="K57" i="1"/>
  <c r="V26" i="1"/>
  <c r="K58" i="1"/>
  <c r="V28" i="1"/>
  <c r="J57" i="1"/>
  <c r="J58" i="1"/>
  <c r="V25" i="1"/>
  <c r="M58" i="1"/>
  <c r="K24" i="1"/>
  <c r="N58" i="1"/>
  <c r="V29" i="1"/>
  <c r="N57" i="1"/>
  <c r="L57" i="1" l="1"/>
  <c r="V24" i="1"/>
  <c r="V30" i="1" s="1"/>
  <c r="K25" i="1"/>
  <c r="I58" i="1" s="1"/>
  <c r="I57" i="1" l="1"/>
  <c r="S56" i="1"/>
  <c r="O38" i="1" l="1"/>
  <c r="S57" i="1"/>
  <c r="O37" i="1" l="1"/>
  <c r="W24" i="1"/>
  <c r="W26" i="1"/>
  <c r="W25" i="1"/>
  <c r="W27" i="1"/>
  <c r="W28" i="1"/>
  <c r="W29" i="1"/>
  <c r="T59" i="1"/>
  <c r="T60" i="1"/>
  <c r="T64" i="1" l="1"/>
  <c r="P38" i="1" s="1"/>
  <c r="T63" i="1"/>
  <c r="P37" i="1" s="1"/>
</calcChain>
</file>

<file path=xl/sharedStrings.xml><?xml version="1.0" encoding="utf-8"?>
<sst xmlns="http://schemas.openxmlformats.org/spreadsheetml/2006/main" count="70" uniqueCount="51">
  <si>
    <t>Масса груза, гр</t>
  </si>
  <si>
    <t>Положение утяжелителей</t>
  </si>
  <si>
    <t>dt1</t>
  </si>
  <si>
    <t>1 риска</t>
  </si>
  <si>
    <t>2 риска</t>
  </si>
  <si>
    <t>3 риска</t>
  </si>
  <si>
    <t>4 риска</t>
  </si>
  <si>
    <t>5 риска</t>
  </si>
  <si>
    <t>6 риска</t>
  </si>
  <si>
    <t xml:space="preserve">        m1</t>
  </si>
  <si>
    <t>t1</t>
  </si>
  <si>
    <t>h</t>
  </si>
  <si>
    <t>m1</t>
  </si>
  <si>
    <t>a</t>
  </si>
  <si>
    <t>t2</t>
  </si>
  <si>
    <t>ε</t>
  </si>
  <si>
    <t>t3</t>
  </si>
  <si>
    <t>d</t>
  </si>
  <si>
    <t>M</t>
  </si>
  <si>
    <t>tср</t>
  </si>
  <si>
    <t>m2</t>
  </si>
  <si>
    <t>m</t>
  </si>
  <si>
    <t>g</t>
  </si>
  <si>
    <t>m3</t>
  </si>
  <si>
    <t>m4</t>
  </si>
  <si>
    <t>(ti-tср)^2</t>
  </si>
  <si>
    <t>СКО</t>
  </si>
  <si>
    <t>dt_cp</t>
  </si>
  <si>
    <t>М = Мтр + Iε</t>
  </si>
  <si>
    <t>Номер риски</t>
  </si>
  <si>
    <t>R</t>
  </si>
  <si>
    <t>R^2</t>
  </si>
  <si>
    <t>I</t>
  </si>
  <si>
    <t>d_i^2</t>
  </si>
  <si>
    <t>Mтр</t>
  </si>
  <si>
    <t>Mcр</t>
  </si>
  <si>
    <t>εcp</t>
  </si>
  <si>
    <t>Средние:</t>
  </si>
  <si>
    <t>В вывод:</t>
  </si>
  <si>
    <t>Погрешность:</t>
  </si>
  <si>
    <t>i_0</t>
  </si>
  <si>
    <t>mут</t>
  </si>
  <si>
    <t>dh</t>
  </si>
  <si>
    <t>da</t>
  </si>
  <si>
    <t>4*mут</t>
  </si>
  <si>
    <t>I0</t>
  </si>
  <si>
    <t>dd</t>
  </si>
  <si>
    <t>dε</t>
  </si>
  <si>
    <t>D</t>
  </si>
  <si>
    <t>S_I_0</t>
  </si>
  <si>
    <t>S_4mут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</si>
</sst>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"/>
    <numFmt numFmtId="165" formatCode="0.000000"/>
    <numFmt numFmtId="166" formatCode="0.00000"/>
    <numFmt numFmtId="167" formatCode="0.0000000000"/>
  </numFmts>
  <fonts count="9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i/>
      <sz val="11"/>
      <color rgb="FF7F7F7F"/>
      <name val="Calibri"/>
    </font>
    <font>
      <sz val="11"/>
      <color theme="1"/>
      <name val="Calibri"/>
    </font>
    <font>
      <u/>
      <sz val="11"/>
      <color rgb="FF000000"/>
      <name val="Calibri"/>
    </font>
    <font>
      <sz val="11"/>
      <color rgb="FF000000"/>
      <name val="Calibri"/>
    </font>
    <font>
      <sz val="11"/>
      <color theme="0"/>
      <name val="Calibri"/>
    </font>
    <font>
      <sz val="11"/>
      <color rgb="FFA5A5A5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1" fillId="2" borderId="6" xfId="0" applyFont="1" applyFill="1" applyBorder="1" applyAlignment="1">
      <alignment horizontal="right"/>
    </xf>
    <xf numFmtId="0" fontId="1" fillId="0" borderId="7" xfId="0" applyFont="1" applyBorder="1"/>
    <xf numFmtId="0" fontId="1" fillId="0" borderId="8" xfId="0" applyFont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0" borderId="13" xfId="0" applyFont="1" applyBorder="1" applyAlignment="1">
      <alignment horizontal="right"/>
    </xf>
    <xf numFmtId="164" fontId="1" fillId="2" borderId="12" xfId="0" applyNumberFormat="1" applyFont="1" applyFill="1" applyBorder="1"/>
    <xf numFmtId="0" fontId="3" fillId="0" borderId="10" xfId="0" applyFont="1" applyBorder="1"/>
    <xf numFmtId="0" fontId="1" fillId="0" borderId="12" xfId="0" applyFont="1" applyBorder="1"/>
    <xf numFmtId="0" fontId="1" fillId="2" borderId="12" xfId="0" applyFont="1" applyFill="1" applyBorder="1" applyAlignment="1">
      <alignment horizontal="right"/>
    </xf>
    <xf numFmtId="164" fontId="3" fillId="0" borderId="12" xfId="0" applyNumberFormat="1" applyFont="1" applyBorder="1" applyAlignment="1">
      <alignment horizontal="right"/>
    </xf>
    <xf numFmtId="164" fontId="1" fillId="0" borderId="12" xfId="0" applyNumberFormat="1" applyFont="1" applyBorder="1"/>
    <xf numFmtId="0" fontId="3" fillId="0" borderId="12" xfId="0" applyFont="1" applyBorder="1"/>
    <xf numFmtId="0" fontId="1" fillId="0" borderId="12" xfId="0" applyFont="1" applyBorder="1" applyAlignment="1">
      <alignment horizontal="right"/>
    </xf>
    <xf numFmtId="165" fontId="1" fillId="0" borderId="12" xfId="0" applyNumberFormat="1" applyFont="1" applyBorder="1"/>
    <xf numFmtId="166" fontId="1" fillId="0" borderId="12" xfId="0" applyNumberFormat="1" applyFont="1" applyBorder="1"/>
    <xf numFmtId="0" fontId="1" fillId="0" borderId="12" xfId="0" applyFont="1" applyBorder="1" applyAlignment="1">
      <alignment horizontal="right"/>
    </xf>
    <xf numFmtId="165" fontId="4" fillId="0" borderId="0" xfId="0" applyNumberFormat="1" applyFont="1"/>
    <xf numFmtId="0" fontId="1" fillId="0" borderId="16" xfId="0" applyFont="1" applyBorder="1"/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5" fillId="0" borderId="0" xfId="0" applyFont="1" applyAlignment="1"/>
    <xf numFmtId="0" fontId="6" fillId="0" borderId="0" xfId="0" applyFont="1"/>
    <xf numFmtId="0" fontId="4" fillId="0" borderId="0" xfId="0" applyFont="1" applyAlignment="1"/>
    <xf numFmtId="165" fontId="1" fillId="2" borderId="12" xfId="0" applyNumberFormat="1" applyFont="1" applyFill="1" applyBorder="1"/>
    <xf numFmtId="0" fontId="1" fillId="2" borderId="12" xfId="0" applyFont="1" applyFill="1" applyBorder="1" applyAlignment="1"/>
    <xf numFmtId="165" fontId="1" fillId="2" borderId="12" xfId="0" applyNumberFormat="1" applyFont="1" applyFill="1" applyBorder="1" applyAlignment="1">
      <alignment horizontal="center"/>
    </xf>
    <xf numFmtId="2" fontId="1" fillId="0" borderId="0" xfId="0" applyNumberFormat="1" applyFont="1"/>
    <xf numFmtId="167" fontId="4" fillId="3" borderId="12" xfId="0" applyNumberFormat="1" applyFont="1" applyFill="1" applyBorder="1"/>
    <xf numFmtId="0" fontId="1" fillId="4" borderId="0" xfId="0" applyFont="1" applyFill="1" applyAlignment="1">
      <alignment horizontal="center"/>
    </xf>
    <xf numFmtId="166" fontId="3" fillId="0" borderId="0" xfId="0" applyNumberFormat="1" applyFont="1"/>
    <xf numFmtId="0" fontId="3" fillId="0" borderId="0" xfId="0" applyFont="1"/>
    <xf numFmtId="165" fontId="3" fillId="0" borderId="0" xfId="0" applyNumberFormat="1" applyFont="1"/>
    <xf numFmtId="164" fontId="3" fillId="0" borderId="0" xfId="0" applyNumberFormat="1" applyFont="1"/>
    <xf numFmtId="164" fontId="4" fillId="0" borderId="0" xfId="0" applyNumberFormat="1" applyFont="1"/>
    <xf numFmtId="0" fontId="8" fillId="0" borderId="0" xfId="0" applyFont="1"/>
    <xf numFmtId="0" fontId="1" fillId="2" borderId="16" xfId="0" applyFont="1" applyFill="1" applyBorder="1" applyAlignment="1">
      <alignment horizontal="center"/>
    </xf>
    <xf numFmtId="0" fontId="2" fillId="0" borderId="2" xfId="0" applyFont="1" applyBorder="1"/>
    <xf numFmtId="0" fontId="2" fillId="0" borderId="10" xfId="0" applyFont="1" applyBorder="1"/>
    <xf numFmtId="0" fontId="1" fillId="2" borderId="1" xfId="0" applyFont="1" applyFill="1" applyBorder="1" applyAlignment="1">
      <alignment horizontal="center"/>
    </xf>
    <xf numFmtId="0" fontId="2" fillId="0" borderId="9" xfId="0" applyFont="1" applyBorder="1"/>
    <xf numFmtId="0" fontId="1" fillId="0" borderId="2" xfId="0" applyFont="1" applyBorder="1"/>
    <xf numFmtId="0" fontId="1" fillId="2" borderId="3" xfId="0" applyFont="1" applyFill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1" fillId="0" borderId="4" xfId="0" applyFont="1" applyBorder="1" applyAlignment="1">
      <alignment horizontal="center"/>
    </xf>
    <xf numFmtId="164" fontId="1" fillId="0" borderId="14" xfId="0" applyNumberFormat="1" applyFont="1" applyBorder="1" applyAlignment="1">
      <alignment horizontal="center"/>
    </xf>
    <xf numFmtId="0" fontId="2" fillId="0" borderId="15" xfId="0" applyFont="1" applyBorder="1"/>
    <xf numFmtId="164" fontId="1" fillId="2" borderId="16" xfId="0" applyNumberFormat="1" applyFont="1" applyFill="1" applyBorder="1" applyAlignment="1">
      <alignment horizontal="center"/>
    </xf>
    <xf numFmtId="0" fontId="7" fillId="3" borderId="13" xfId="0" applyFont="1" applyFill="1" applyBorder="1" applyAlignment="1">
      <alignment horizontal="center"/>
    </xf>
    <xf numFmtId="167" fontId="4" fillId="2" borderId="13" xfId="0" applyNumberFormat="1" applyFont="1" applyFill="1" applyBorder="1"/>
    <xf numFmtId="0" fontId="1" fillId="2" borderId="13" xfId="0" applyFont="1" applyFill="1" applyBorder="1"/>
    <xf numFmtId="0" fontId="1" fillId="2" borderId="13" xfId="0" applyFont="1" applyFill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14" xfId="0" applyFont="1" applyBorder="1"/>
    <xf numFmtId="165" fontId="1" fillId="2" borderId="13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US" sz="1400" b="0" i="0">
                <a:solidFill>
                  <a:srgbClr val="757575"/>
                </a:solidFill>
                <a:latin typeface="+mn-lt"/>
              </a:rPr>
              <a:t>I(R^2)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Лист1!$U$24:$U$29</c:f>
              <c:numCache>
                <c:formatCode>General</c:formatCode>
                <c:ptCount val="6"/>
                <c:pt idx="0">
                  <c:v>5.9290000000000002E-3</c:v>
                </c:pt>
                <c:pt idx="1">
                  <c:v>1.0403999999999998E-2</c:v>
                </c:pt>
                <c:pt idx="2">
                  <c:v>1.6129000000000001E-2</c:v>
                </c:pt>
                <c:pt idx="3">
                  <c:v>2.3104E-2</c:v>
                </c:pt>
                <c:pt idx="4">
                  <c:v>3.1328999999999996E-2</c:v>
                </c:pt>
                <c:pt idx="5">
                  <c:v>4.0804000000000007E-2</c:v>
                </c:pt>
              </c:numCache>
            </c:numRef>
          </c:xVal>
          <c:yVal>
            <c:numRef>
              <c:f>Лист1!$V$24:$V$29</c:f>
              <c:numCache>
                <c:formatCode>0.000000</c:formatCode>
                <c:ptCount val="6"/>
                <c:pt idx="0">
                  <c:v>1.6708674111831672E-2</c:v>
                </c:pt>
                <c:pt idx="1">
                  <c:v>2.1816592629136652E-2</c:v>
                </c:pt>
                <c:pt idx="2">
                  <c:v>3.4868680054618968E-2</c:v>
                </c:pt>
                <c:pt idx="3">
                  <c:v>4.194329520816429E-2</c:v>
                </c:pt>
                <c:pt idx="4">
                  <c:v>4.8788656983892238E-2</c:v>
                </c:pt>
                <c:pt idx="5">
                  <c:v>5.6567164306117482E-2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C6F-4FC9-B85C-C784DE3855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3217832"/>
        <c:axId val="367130482"/>
      </c:scatterChart>
      <c:valAx>
        <c:axId val="187321783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367130482"/>
        <c:crosses val="autoZero"/>
        <c:crossBetween val="midCat"/>
      </c:valAx>
      <c:valAx>
        <c:axId val="367130482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>
                  <a:alpha val="76000"/>
                </a:srgbClr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overlay val="0"/>
        </c:title>
        <c:numFmt formatCode="0.00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873217832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ru-RU" sz="1400" b="0" i="0">
                <a:solidFill>
                  <a:srgbClr val="757575"/>
                </a:solidFill>
                <a:latin typeface="+mn-lt"/>
              </a:rPr>
              <a:t>Зависимость </a:t>
            </a:r>
            <a:r>
              <a:rPr lang="en-US" sz="1400" b="0" i="0">
                <a:solidFill>
                  <a:srgbClr val="757575"/>
                </a:solidFill>
                <a:latin typeface="+mn-lt"/>
              </a:rPr>
              <a:t>M(</a:t>
            </a:r>
            <a:r>
              <a:rPr lang="el-GR" sz="1400" b="0" i="0">
                <a:solidFill>
                  <a:srgbClr val="757575"/>
                </a:solidFill>
                <a:latin typeface="+mn-lt"/>
              </a:rPr>
              <a:t>ε) 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0.1021313995152016"/>
          <c:y val="0.24288604785707435"/>
          <c:w val="0.87083438742547858"/>
          <c:h val="0.63794152497888479"/>
        </c:manualLayout>
      </c:layout>
      <c:scatterChart>
        <c:scatterStyle val="smoothMarker"/>
        <c:varyColors val="0"/>
        <c:ser>
          <c:idx val="0"/>
          <c:order val="0"/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Лист1!$C$55:$F$55</c:f>
              <c:numCache>
                <c:formatCode>0.00000</c:formatCode>
                <c:ptCount val="4"/>
                <c:pt idx="0">
                  <c:v>3.1345831795480295</c:v>
                </c:pt>
                <c:pt idx="1">
                  <c:v>5.6349345909314765</c:v>
                </c:pt>
                <c:pt idx="2">
                  <c:v>7.69055736276872</c:v>
                </c:pt>
                <c:pt idx="3">
                  <c:v>11.778065353680345</c:v>
                </c:pt>
              </c:numCache>
            </c:numRef>
          </c:xVal>
          <c:yVal>
            <c:numRef>
              <c:f>Лист1!$C$56:$F$56</c:f>
              <c:numCache>
                <c:formatCode>0.00000</c:formatCode>
                <c:ptCount val="4"/>
                <c:pt idx="0">
                  <c:v>5.9856232347971106E-2</c:v>
                </c:pt>
                <c:pt idx="1">
                  <c:v>0.10853182632588046</c:v>
                </c:pt>
                <c:pt idx="2">
                  <c:v>0.15679176835465242</c:v>
                </c:pt>
                <c:pt idx="3">
                  <c:v>0.20357684165766615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B0F-4CB6-AD0A-D659BE65CB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7894634"/>
        <c:axId val="622460932"/>
      </c:scatterChart>
      <c:valAx>
        <c:axId val="467894634"/>
        <c:scaling>
          <c:orientation val="minMax"/>
          <c:max val="10.9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overlay val="0"/>
        </c:title>
        <c:numFmt formatCode="0.0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622460932"/>
        <c:crosses val="autoZero"/>
        <c:crossBetween val="midCat"/>
      </c:valAx>
      <c:valAx>
        <c:axId val="622460932"/>
        <c:scaling>
          <c:orientation val="minMax"/>
          <c:max val="0.2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overlay val="0"/>
        </c:title>
        <c:numFmt formatCode="0.0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467894634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66675</xdr:colOff>
      <xdr:row>0</xdr:row>
      <xdr:rowOff>47625</xdr:rowOff>
    </xdr:from>
    <xdr:ext cx="4105275" cy="2762250"/>
    <xdr:graphicFrame macro="">
      <xdr:nvGraphicFramePr>
        <xdr:cNvPr id="192207683" name="Chart 1" title="Диаграмма">
          <a:extLst>
            <a:ext uri="{FF2B5EF4-FFF2-40B4-BE49-F238E27FC236}">
              <a16:creationId xmlns:a16="http://schemas.microsoft.com/office/drawing/2014/main" id="{00000000-0008-0000-0000-000043DB74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0</xdr:col>
      <xdr:colOff>0</xdr:colOff>
      <xdr:row>20</xdr:row>
      <xdr:rowOff>0</xdr:rowOff>
    </xdr:from>
    <xdr:ext cx="5419725" cy="2895600"/>
    <xdr:graphicFrame macro="">
      <xdr:nvGraphicFramePr>
        <xdr:cNvPr id="278851133" name="Chart 2" title="Диаграмма">
          <a:extLst>
            <a:ext uri="{FF2B5EF4-FFF2-40B4-BE49-F238E27FC236}">
              <a16:creationId xmlns:a16="http://schemas.microsoft.com/office/drawing/2014/main" id="{00000000-0008-0000-0000-00003DEE9E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topLeftCell="A4" zoomScale="140" zoomScaleNormal="140" workbookViewId="0">
      <selection activeCell="J55" sqref="J55"/>
    </sheetView>
  </sheetViews>
  <sheetFormatPr defaultColWidth="12.59765625" defaultRowHeight="15" customHeight="1" x14ac:dyDescent="0.25"/>
  <cols>
    <col min="1" max="1" width="12.59765625" customWidth="1"/>
    <col min="2" max="2" width="3" customWidth="1"/>
    <col min="3" max="8" width="8" customWidth="1"/>
    <col min="9" max="9" width="7.59765625" customWidth="1"/>
    <col min="10" max="10" width="9.8984375" customWidth="1"/>
    <col min="11" max="11" width="7.69921875" customWidth="1"/>
    <col min="12" max="12" width="9.5" customWidth="1"/>
    <col min="13" max="14" width="8.5" customWidth="1"/>
    <col min="15" max="15" width="10.19921875" customWidth="1"/>
    <col min="16" max="16" width="8.5" customWidth="1"/>
    <col min="17" max="17" width="8.19921875" customWidth="1"/>
    <col min="18" max="18" width="9.8984375" customWidth="1"/>
    <col min="19" max="19" width="10.3984375" customWidth="1"/>
    <col min="20" max="20" width="11.8984375" customWidth="1"/>
    <col min="21" max="21" width="10.3984375" customWidth="1"/>
    <col min="22" max="22" width="8.19921875" customWidth="1"/>
    <col min="23" max="23" width="10.3984375" customWidth="1"/>
    <col min="24" max="26" width="7.59765625" customWidth="1"/>
  </cols>
  <sheetData>
    <row r="1" spans="1:18" ht="14.4" x14ac:dyDescent="0.3">
      <c r="A1" s="40" t="s">
        <v>0</v>
      </c>
      <c r="B1" s="42"/>
      <c r="C1" s="43" t="s">
        <v>1</v>
      </c>
      <c r="D1" s="44"/>
      <c r="E1" s="44"/>
      <c r="F1" s="44"/>
      <c r="G1" s="44"/>
      <c r="H1" s="45"/>
      <c r="J1" s="1" t="s">
        <v>2</v>
      </c>
      <c r="K1" s="2"/>
      <c r="L1" s="3"/>
      <c r="M1" s="46"/>
      <c r="N1" s="44"/>
      <c r="O1" s="44"/>
      <c r="P1" s="44"/>
      <c r="Q1" s="44"/>
      <c r="R1" s="45"/>
    </row>
    <row r="2" spans="1:18" ht="14.4" x14ac:dyDescent="0.3">
      <c r="A2" s="41"/>
      <c r="B2" s="39"/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J2" s="6">
        <f>L18</f>
        <v>0</v>
      </c>
      <c r="K2" s="47"/>
      <c r="L2" s="48"/>
      <c r="M2" s="7" t="s">
        <v>3</v>
      </c>
      <c r="N2" s="7" t="s">
        <v>4</v>
      </c>
      <c r="O2" s="7" t="s">
        <v>5</v>
      </c>
      <c r="P2" s="7" t="s">
        <v>6</v>
      </c>
      <c r="Q2" s="7" t="s">
        <v>7</v>
      </c>
      <c r="R2" s="7" t="s">
        <v>8</v>
      </c>
    </row>
    <row r="3" spans="1:18" ht="14.4" x14ac:dyDescent="0.3">
      <c r="A3" s="37" t="s">
        <v>9</v>
      </c>
      <c r="B3" s="8" t="s">
        <v>10</v>
      </c>
      <c r="C3" s="9">
        <v>4.57</v>
      </c>
      <c r="D3" s="9">
        <v>5.47</v>
      </c>
      <c r="E3" s="9">
        <v>5.72</v>
      </c>
      <c r="F3" s="9">
        <v>7.66</v>
      </c>
      <c r="G3" s="9">
        <v>8.75</v>
      </c>
      <c r="H3" s="9">
        <v>10.06</v>
      </c>
      <c r="J3" s="10" t="s">
        <v>11</v>
      </c>
      <c r="K3" s="49" t="s">
        <v>12</v>
      </c>
      <c r="L3" s="11" t="s">
        <v>13</v>
      </c>
      <c r="M3" s="12">
        <f t="shared" ref="M3:R3" si="0">(2*$J$4)/(C6*C6)</f>
        <v>7.2095413129604671E-2</v>
      </c>
      <c r="N3" s="12">
        <f t="shared" si="0"/>
        <v>4.5890789390777918E-2</v>
      </c>
      <c r="O3" s="12">
        <f t="shared" si="0"/>
        <v>4.2939384923981951E-2</v>
      </c>
      <c r="P3" s="12">
        <f t="shared" si="0"/>
        <v>2.3943284060841778E-2</v>
      </c>
      <c r="Q3" s="12">
        <f t="shared" si="0"/>
        <v>1.9047089241962134E-2</v>
      </c>
      <c r="R3" s="12">
        <f t="shared" si="0"/>
        <v>1.4112675602006417E-2</v>
      </c>
    </row>
    <row r="4" spans="1:18" ht="14.4" x14ac:dyDescent="0.3">
      <c r="A4" s="38"/>
      <c r="B4" s="13" t="s">
        <v>14</v>
      </c>
      <c r="C4" s="9">
        <v>4.72</v>
      </c>
      <c r="D4" s="9">
        <v>5.72</v>
      </c>
      <c r="E4" s="9">
        <v>5.5</v>
      </c>
      <c r="F4" s="9">
        <v>7.41</v>
      </c>
      <c r="G4" s="9">
        <v>8.44</v>
      </c>
      <c r="H4" s="9">
        <v>9.8800000000000008</v>
      </c>
      <c r="J4" s="14">
        <v>0.7</v>
      </c>
      <c r="K4" s="38"/>
      <c r="L4" s="11" t="s">
        <v>15</v>
      </c>
      <c r="M4" s="12">
        <f t="shared" ref="M4:R4" si="1">(2*M3)/$J$6</f>
        <v>3.1345831795480295</v>
      </c>
      <c r="N4" s="12">
        <f t="shared" si="1"/>
        <v>1.9952517126425182</v>
      </c>
      <c r="O4" s="12">
        <f t="shared" si="1"/>
        <v>1.8669297793035631</v>
      </c>
      <c r="P4" s="12">
        <f t="shared" si="1"/>
        <v>1.0410123504713817</v>
      </c>
      <c r="Q4" s="12">
        <f t="shared" si="1"/>
        <v>0.82813431486791889</v>
      </c>
      <c r="R4" s="12">
        <f t="shared" si="1"/>
        <v>0.61359459139158334</v>
      </c>
    </row>
    <row r="5" spans="1:18" ht="14.4" x14ac:dyDescent="0.3">
      <c r="A5" s="38"/>
      <c r="B5" s="13" t="s">
        <v>16</v>
      </c>
      <c r="C5" s="9">
        <v>3.93</v>
      </c>
      <c r="D5" s="9">
        <v>5.38</v>
      </c>
      <c r="E5" s="9">
        <v>5.91</v>
      </c>
      <c r="F5" s="9">
        <v>7.87</v>
      </c>
      <c r="G5" s="9">
        <v>8.5299999999999994</v>
      </c>
      <c r="H5" s="9">
        <v>9.94</v>
      </c>
      <c r="J5" s="10" t="s">
        <v>17</v>
      </c>
      <c r="K5" s="39"/>
      <c r="L5" s="11" t="s">
        <v>18</v>
      </c>
      <c r="M5" s="12">
        <f t="shared" ref="M5:R5" si="2">(($J$6*($J$8+0.047))*(9.81908-M3))/2</f>
        <v>5.9856232347971106E-2</v>
      </c>
      <c r="N5" s="12">
        <f t="shared" si="2"/>
        <v>6.0017154942351235E-2</v>
      </c>
      <c r="O5" s="12">
        <f t="shared" si="2"/>
        <v>6.0035279517181836E-2</v>
      </c>
      <c r="P5" s="12">
        <f t="shared" si="2"/>
        <v>6.0151934572582375E-2</v>
      </c>
      <c r="Q5" s="12">
        <f t="shared" si="2"/>
        <v>6.0182002104965118E-2</v>
      </c>
      <c r="R5" s="12">
        <f t="shared" si="2"/>
        <v>6.0212304339128081E-2</v>
      </c>
    </row>
    <row r="6" spans="1:18" ht="14.4" x14ac:dyDescent="0.3">
      <c r="A6" s="39"/>
      <c r="B6" s="13" t="s">
        <v>19</v>
      </c>
      <c r="C6" s="15">
        <f t="shared" ref="C6:H6" si="3">AVERAGE(C3:C5)</f>
        <v>4.4066666666666663</v>
      </c>
      <c r="D6" s="15">
        <f t="shared" si="3"/>
        <v>5.5233333333333334</v>
      </c>
      <c r="E6" s="15">
        <f t="shared" si="3"/>
        <v>5.71</v>
      </c>
      <c r="F6" s="15">
        <f t="shared" si="3"/>
        <v>7.6466666666666674</v>
      </c>
      <c r="G6" s="9">
        <f t="shared" si="3"/>
        <v>8.5733333333333324</v>
      </c>
      <c r="H6" s="16">
        <f t="shared" si="3"/>
        <v>9.9600000000000009</v>
      </c>
      <c r="J6" s="17">
        <f>0.046</f>
        <v>4.5999999999999999E-2</v>
      </c>
      <c r="K6" s="49" t="s">
        <v>20</v>
      </c>
      <c r="L6" s="11" t="s">
        <v>13</v>
      </c>
      <c r="M6" s="12">
        <f t="shared" ref="M6:R6" si="4">(2*$J$4)/(C10*C10)</f>
        <v>0.12960349559142395</v>
      </c>
      <c r="N6" s="12">
        <f t="shared" si="4"/>
        <v>8.3965014577259495E-2</v>
      </c>
      <c r="O6" s="12">
        <f t="shared" si="4"/>
        <v>6.8122837370242217E-2</v>
      </c>
      <c r="P6" s="12">
        <f t="shared" si="4"/>
        <v>5.1182872748410595E-2</v>
      </c>
      <c r="Q6" s="12">
        <f t="shared" si="4"/>
        <v>3.5763663493445737E-2</v>
      </c>
      <c r="R6" s="12">
        <f t="shared" si="4"/>
        <v>2.7257977285018924E-2</v>
      </c>
    </row>
    <row r="7" spans="1:18" ht="14.4" x14ac:dyDescent="0.3">
      <c r="A7" s="37" t="s">
        <v>20</v>
      </c>
      <c r="B7" s="13" t="str">
        <f t="shared" ref="B7:B10" si="5">B3</f>
        <v>t1</v>
      </c>
      <c r="C7" s="9">
        <v>3.37</v>
      </c>
      <c r="D7" s="9">
        <v>4.13</v>
      </c>
      <c r="E7" s="9">
        <v>4.5</v>
      </c>
      <c r="F7" s="9">
        <v>5.38</v>
      </c>
      <c r="G7" s="9">
        <v>6.18</v>
      </c>
      <c r="H7" s="9">
        <v>7.13</v>
      </c>
      <c r="J7" s="10" t="s">
        <v>21</v>
      </c>
      <c r="K7" s="38"/>
      <c r="L7" s="11" t="s">
        <v>15</v>
      </c>
      <c r="M7" s="12">
        <f t="shared" ref="M7:R7" si="6">(2*M6)/$J$6</f>
        <v>5.6349345909314765</v>
      </c>
      <c r="N7" s="12">
        <f t="shared" si="6"/>
        <v>3.6506528077069347</v>
      </c>
      <c r="O7" s="12">
        <f t="shared" si="6"/>
        <v>2.9618624943583574</v>
      </c>
      <c r="P7" s="12">
        <f t="shared" si="6"/>
        <v>2.2253422934091565</v>
      </c>
      <c r="Q7" s="12">
        <f t="shared" si="6"/>
        <v>1.55494189101938</v>
      </c>
      <c r="R7" s="12">
        <f t="shared" si="6"/>
        <v>1.1851294471747358</v>
      </c>
    </row>
    <row r="8" spans="1:18" ht="14.4" x14ac:dyDescent="0.3">
      <c r="A8" s="38"/>
      <c r="B8" s="13" t="str">
        <f t="shared" si="5"/>
        <v>t2</v>
      </c>
      <c r="C8" s="9">
        <v>3.12</v>
      </c>
      <c r="D8" s="9">
        <v>3.91</v>
      </c>
      <c r="E8" s="9">
        <v>4.5</v>
      </c>
      <c r="F8" s="9">
        <v>5</v>
      </c>
      <c r="G8" s="9">
        <v>6.15</v>
      </c>
      <c r="H8" s="9">
        <v>7.31</v>
      </c>
      <c r="J8" s="14">
        <f>0.22</f>
        <v>0.22</v>
      </c>
      <c r="K8" s="39"/>
      <c r="L8" s="11" t="s">
        <v>18</v>
      </c>
      <c r="M8" s="12">
        <f t="shared" ref="M8:R8" si="7">(($J$6*($J$8*2+0.047))*(9.81908-M6))/2</f>
        <v>0.10853182632588046</v>
      </c>
      <c r="N8" s="12">
        <f t="shared" si="7"/>
        <v>0.10904302295172011</v>
      </c>
      <c r="O8" s="12">
        <f t="shared" si="7"/>
        <v>0.10922047117861591</v>
      </c>
      <c r="P8" s="12">
        <f t="shared" si="7"/>
        <v>0.10941021572234504</v>
      </c>
      <c r="Q8" s="12">
        <f t="shared" si="7"/>
        <v>0.10958292628520989</v>
      </c>
      <c r="R8" s="12">
        <f t="shared" si="7"/>
        <v>0.10967819847643048</v>
      </c>
    </row>
    <row r="9" spans="1:18" ht="14.4" x14ac:dyDescent="0.3">
      <c r="A9" s="38"/>
      <c r="B9" s="13" t="str">
        <f t="shared" si="5"/>
        <v>t3</v>
      </c>
      <c r="C9" s="9">
        <v>3.37</v>
      </c>
      <c r="D9" s="9">
        <v>4.21</v>
      </c>
      <c r="E9" s="9">
        <v>4.5999999999999996</v>
      </c>
      <c r="F9" s="9">
        <v>5.31</v>
      </c>
      <c r="G9" s="9">
        <v>6.44</v>
      </c>
      <c r="H9" s="9">
        <v>7.06</v>
      </c>
      <c r="J9" s="10" t="s">
        <v>22</v>
      </c>
      <c r="K9" s="49" t="s">
        <v>23</v>
      </c>
      <c r="L9" s="11" t="s">
        <v>13</v>
      </c>
      <c r="M9" s="12">
        <f t="shared" ref="M9:R9" si="8">(2*$J$4)/(C14*C14)</f>
        <v>0.17688281934368055</v>
      </c>
      <c r="N9" s="12">
        <f t="shared" si="8"/>
        <v>0.15249049657440991</v>
      </c>
      <c r="O9" s="12">
        <f t="shared" si="8"/>
        <v>0.1033790170132325</v>
      </c>
      <c r="P9" s="12">
        <f t="shared" si="8"/>
        <v>7.6904296875E-2</v>
      </c>
      <c r="Q9" s="12">
        <f t="shared" si="8"/>
        <v>5.9517483260707819E-2</v>
      </c>
      <c r="R9" s="12">
        <f t="shared" si="8"/>
        <v>4.7598738104565365E-2</v>
      </c>
    </row>
    <row r="10" spans="1:18" ht="14.4" x14ac:dyDescent="0.3">
      <c r="A10" s="39"/>
      <c r="B10" s="13" t="str">
        <f t="shared" si="5"/>
        <v>tср</v>
      </c>
      <c r="C10" s="9">
        <f t="shared" ref="C10:H10" si="9">AVERAGE(C7:C9)</f>
        <v>3.2866666666666666</v>
      </c>
      <c r="D10" s="15">
        <f t="shared" si="9"/>
        <v>4.083333333333333</v>
      </c>
      <c r="E10" s="15">
        <f t="shared" si="9"/>
        <v>4.5333333333333332</v>
      </c>
      <c r="F10" s="15">
        <f t="shared" si="9"/>
        <v>5.2299999999999995</v>
      </c>
      <c r="G10" s="15">
        <f t="shared" si="9"/>
        <v>6.2566666666666668</v>
      </c>
      <c r="H10" s="9">
        <f t="shared" si="9"/>
        <v>7.166666666666667</v>
      </c>
      <c r="J10" s="14">
        <v>9.8190799999999996</v>
      </c>
      <c r="K10" s="38"/>
      <c r="L10" s="11" t="s">
        <v>15</v>
      </c>
      <c r="M10" s="12">
        <f t="shared" ref="M10:R10" si="10">(2*M9)/$J$6</f>
        <v>7.69055736276872</v>
      </c>
      <c r="N10" s="12">
        <f t="shared" si="10"/>
        <v>6.6300215901917356</v>
      </c>
      <c r="O10" s="12">
        <f t="shared" si="10"/>
        <v>4.4947398701405437</v>
      </c>
      <c r="P10" s="12">
        <f t="shared" si="10"/>
        <v>3.3436650815217392</v>
      </c>
      <c r="Q10" s="12">
        <f t="shared" si="10"/>
        <v>2.5877166635090356</v>
      </c>
      <c r="R10" s="12">
        <f t="shared" si="10"/>
        <v>2.069510352372407</v>
      </c>
    </row>
    <row r="11" spans="1:18" ht="14.4" x14ac:dyDescent="0.3">
      <c r="A11" s="37" t="s">
        <v>23</v>
      </c>
      <c r="B11" s="13" t="str">
        <f t="shared" ref="B11:B14" si="11">B3</f>
        <v>t1</v>
      </c>
      <c r="C11" s="9">
        <v>3</v>
      </c>
      <c r="D11" s="9">
        <v>3.18</v>
      </c>
      <c r="E11" s="9">
        <v>3.88</v>
      </c>
      <c r="F11" s="9">
        <v>4.03</v>
      </c>
      <c r="G11" s="9">
        <v>4.8499999999999996</v>
      </c>
      <c r="H11" s="9">
        <v>5.43</v>
      </c>
      <c r="K11" s="39"/>
      <c r="L11" s="11" t="s">
        <v>18</v>
      </c>
      <c r="M11" s="12">
        <f t="shared" ref="M11:R11" si="12">(($J$6*($J$8*3+0.047))*(9.81908-M9))/2</f>
        <v>0.15679176835465242</v>
      </c>
      <c r="N11" s="12">
        <f t="shared" si="12"/>
        <v>0.15718841191520352</v>
      </c>
      <c r="O11" s="12">
        <f t="shared" si="12"/>
        <v>0.15798701368434784</v>
      </c>
      <c r="P11" s="12">
        <f t="shared" si="12"/>
        <v>0.15841751910851562</v>
      </c>
      <c r="Q11" s="12">
        <f t="shared" si="12"/>
        <v>0.15870024608469763</v>
      </c>
      <c r="R11" s="12">
        <f t="shared" si="12"/>
        <v>0.15889405679968169</v>
      </c>
    </row>
    <row r="12" spans="1:18" ht="14.4" x14ac:dyDescent="0.3">
      <c r="A12" s="38"/>
      <c r="B12" s="13" t="str">
        <f t="shared" si="11"/>
        <v>t2</v>
      </c>
      <c r="C12" s="9">
        <v>2.84</v>
      </c>
      <c r="D12" s="9">
        <v>2.78</v>
      </c>
      <c r="E12" s="9">
        <v>3.44</v>
      </c>
      <c r="F12" s="9">
        <v>4.1500000000000004</v>
      </c>
      <c r="G12" s="9">
        <v>4.75</v>
      </c>
      <c r="H12" s="9">
        <v>5.43</v>
      </c>
      <c r="K12" s="49" t="s">
        <v>24</v>
      </c>
      <c r="L12" s="11" t="s">
        <v>13</v>
      </c>
      <c r="M12" s="12">
        <f t="shared" ref="M12:R12" si="13">(2*$J$4)/(C18*C18)</f>
        <v>0.27089550313464794</v>
      </c>
      <c r="N12" s="12">
        <f t="shared" si="13"/>
        <v>0.19062921256518844</v>
      </c>
      <c r="O12" s="12">
        <f t="shared" si="13"/>
        <v>0.13786523345179527</v>
      </c>
      <c r="P12" s="12">
        <f t="shared" si="13"/>
        <v>0.10489370770952104</v>
      </c>
      <c r="Q12" s="12">
        <f t="shared" si="13"/>
        <v>8.7354348755997832E-2</v>
      </c>
      <c r="R12" s="12">
        <f t="shared" si="13"/>
        <v>7.2754316756127535E-2</v>
      </c>
    </row>
    <row r="13" spans="1:18" ht="14.4" x14ac:dyDescent="0.3">
      <c r="A13" s="38"/>
      <c r="B13" s="13" t="str">
        <f t="shared" si="11"/>
        <v>t3</v>
      </c>
      <c r="C13" s="9">
        <v>2.6</v>
      </c>
      <c r="D13" s="9">
        <v>3.13</v>
      </c>
      <c r="E13" s="9">
        <v>3.72</v>
      </c>
      <c r="F13" s="9">
        <v>4.62</v>
      </c>
      <c r="G13" s="9">
        <v>4.95</v>
      </c>
      <c r="H13" s="9">
        <v>5.41</v>
      </c>
      <c r="K13" s="38"/>
      <c r="L13" s="11" t="s">
        <v>15</v>
      </c>
      <c r="M13" s="12">
        <f t="shared" ref="M13:R13" si="14">(2*M12)/$J$6</f>
        <v>11.778065353680345</v>
      </c>
      <c r="N13" s="12">
        <f t="shared" si="14"/>
        <v>8.2882266332690637</v>
      </c>
      <c r="O13" s="12">
        <f t="shared" si="14"/>
        <v>5.9941405848606637</v>
      </c>
      <c r="P13" s="12">
        <f t="shared" si="14"/>
        <v>4.5605959873704798</v>
      </c>
      <c r="Q13" s="12">
        <f>(2*Q12)/$J$6</f>
        <v>3.7980151633042536</v>
      </c>
      <c r="R13" s="12">
        <f t="shared" si="14"/>
        <v>3.1632311633098928</v>
      </c>
    </row>
    <row r="14" spans="1:18" ht="14.4" x14ac:dyDescent="0.3">
      <c r="A14" s="39"/>
      <c r="B14" s="13" t="str">
        <f t="shared" si="11"/>
        <v>tср</v>
      </c>
      <c r="C14" s="15">
        <f t="shared" ref="C14:H14" si="15">AVERAGE(C11:C13)</f>
        <v>2.813333333333333</v>
      </c>
      <c r="D14" s="15">
        <f t="shared" si="15"/>
        <v>3.03</v>
      </c>
      <c r="E14" s="15">
        <f t="shared" si="15"/>
        <v>3.68</v>
      </c>
      <c r="F14" s="9">
        <f t="shared" si="15"/>
        <v>4.2666666666666666</v>
      </c>
      <c r="G14" s="9">
        <f t="shared" si="15"/>
        <v>4.8500000000000005</v>
      </c>
      <c r="H14" s="16">
        <f t="shared" si="15"/>
        <v>5.4233333333333329</v>
      </c>
      <c r="K14" s="39"/>
      <c r="L14" s="11" t="s">
        <v>18</v>
      </c>
      <c r="M14" s="12">
        <f>(($J$6*($J$8*4+0.047)) *(9.81908-M12))/2</f>
        <v>0.20357684165766615</v>
      </c>
      <c r="N14" s="12">
        <f t="shared" ref="N14:R14" si="16">(($J$6*($J$8*4+0.047))*(9.81908-N12))/2</f>
        <v>0.2052881992388976</v>
      </c>
      <c r="O14" s="12">
        <f t="shared" si="16"/>
        <v>0.20641318003757428</v>
      </c>
      <c r="P14" s="12">
        <f t="shared" si="16"/>
        <v>0.20711616593792528</v>
      </c>
      <c r="Q14" s="12">
        <f t="shared" si="16"/>
        <v>0.20749012261017336</v>
      </c>
      <c r="R14" s="12">
        <f t="shared" si="16"/>
        <v>0.20780140989244261</v>
      </c>
    </row>
    <row r="15" spans="1:18" ht="14.4" x14ac:dyDescent="0.3">
      <c r="A15" s="37" t="s">
        <v>24</v>
      </c>
      <c r="B15" s="13" t="str">
        <f t="shared" ref="B15:B18" si="17">B3</f>
        <v>t1</v>
      </c>
      <c r="C15" s="9">
        <v>2.2200000000000002</v>
      </c>
      <c r="D15" s="9">
        <v>2.69</v>
      </c>
      <c r="E15" s="9">
        <v>3.06</v>
      </c>
      <c r="F15" s="9">
        <v>3.74</v>
      </c>
      <c r="G15" s="9">
        <v>3.94</v>
      </c>
      <c r="H15" s="9">
        <v>4.38</v>
      </c>
    </row>
    <row r="16" spans="1:18" ht="14.4" x14ac:dyDescent="0.3">
      <c r="A16" s="38"/>
      <c r="B16" s="13" t="str">
        <f t="shared" si="17"/>
        <v>t2</v>
      </c>
      <c r="C16" s="9">
        <v>2.3199999999999998</v>
      </c>
      <c r="D16" s="9">
        <v>2.75</v>
      </c>
      <c r="E16" s="9">
        <v>3.22</v>
      </c>
      <c r="F16" s="9">
        <v>3.78</v>
      </c>
      <c r="G16" s="9">
        <v>4.16</v>
      </c>
      <c r="H16" s="9">
        <v>4.49</v>
      </c>
    </row>
    <row r="17" spans="1:23" ht="14.4" x14ac:dyDescent="0.3">
      <c r="A17" s="38"/>
      <c r="B17" s="13" t="str">
        <f t="shared" si="17"/>
        <v>t3</v>
      </c>
      <c r="C17" s="9">
        <v>2.2799999999999998</v>
      </c>
      <c r="D17" s="9">
        <v>2.69</v>
      </c>
      <c r="E17" s="9">
        <v>3.28</v>
      </c>
      <c r="F17" s="9">
        <v>3.44</v>
      </c>
      <c r="G17" s="9">
        <v>3.91</v>
      </c>
      <c r="H17" s="9">
        <v>4.29</v>
      </c>
      <c r="J17" s="5" t="s">
        <v>25</v>
      </c>
      <c r="K17" s="52" t="s">
        <v>26</v>
      </c>
      <c r="L17" s="45"/>
      <c r="M17" s="53" t="s">
        <v>27</v>
      </c>
      <c r="N17" s="45"/>
    </row>
    <row r="18" spans="1:23" ht="14.4" x14ac:dyDescent="0.3">
      <c r="A18" s="39"/>
      <c r="B18" s="13" t="str">
        <f t="shared" si="17"/>
        <v>tср</v>
      </c>
      <c r="C18" s="15">
        <f t="shared" ref="C18:H18" si="18">AVERAGE(C15:C17)</f>
        <v>2.2733333333333334</v>
      </c>
      <c r="D18" s="9">
        <f t="shared" si="18"/>
        <v>2.7099999999999995</v>
      </c>
      <c r="E18" s="15">
        <f t="shared" si="18"/>
        <v>3.186666666666667</v>
      </c>
      <c r="F18" s="15">
        <f t="shared" si="18"/>
        <v>3.6533333333333329</v>
      </c>
      <c r="G18" s="15">
        <f t="shared" si="18"/>
        <v>4.003333333333333</v>
      </c>
      <c r="H18" s="15">
        <f t="shared" si="18"/>
        <v>4.3866666666666667</v>
      </c>
      <c r="I18" s="18"/>
      <c r="J18" s="9">
        <f t="shared" ref="J18:J20" si="19">POWER(C3-$C$6,2)</f>
        <v>2.6677777777777995E-2</v>
      </c>
      <c r="K18" s="54">
        <f>SQRT(SUM(J18:J20)/6)</f>
        <v>0.24223496398698877</v>
      </c>
      <c r="L18" s="55"/>
      <c r="M18" s="54">
        <f>4.3*K18</f>
        <v>1.0416103451440517</v>
      </c>
      <c r="N18" s="55"/>
    </row>
    <row r="19" spans="1:23" ht="14.4" x14ac:dyDescent="0.3">
      <c r="J19" s="9">
        <f t="shared" si="19"/>
        <v>9.8177777777777864E-2</v>
      </c>
      <c r="K19" s="56"/>
      <c r="L19" s="57"/>
      <c r="M19" s="56"/>
      <c r="N19" s="57"/>
    </row>
    <row r="20" spans="1:23" ht="14.4" x14ac:dyDescent="0.3">
      <c r="J20" s="19">
        <f t="shared" si="19"/>
        <v>0.22721111111111059</v>
      </c>
      <c r="K20" s="58"/>
      <c r="L20" s="48"/>
      <c r="M20" s="58"/>
      <c r="N20" s="48"/>
    </row>
    <row r="21" spans="1:23" ht="15.75" customHeight="1" x14ac:dyDescent="0.3">
      <c r="J21" s="3"/>
      <c r="K21" s="20"/>
      <c r="L21" s="21"/>
      <c r="N21" s="22"/>
      <c r="O21" s="23"/>
    </row>
    <row r="22" spans="1:23" ht="15.75" customHeight="1" x14ac:dyDescent="0.3">
      <c r="J22" s="18"/>
      <c r="K22" s="59" t="s">
        <v>28</v>
      </c>
      <c r="L22" s="44"/>
      <c r="M22" s="44"/>
      <c r="N22" s="44"/>
      <c r="O22" s="44"/>
      <c r="P22" s="45"/>
      <c r="T22" s="24"/>
    </row>
    <row r="23" spans="1:23" ht="15.75" customHeight="1" x14ac:dyDescent="0.3">
      <c r="J23" s="18"/>
      <c r="K23" s="25" t="str">
        <f t="shared" ref="K23:P23" si="20">M2</f>
        <v>1 риска</v>
      </c>
      <c r="L23" s="25" t="str">
        <f t="shared" si="20"/>
        <v>2 риска</v>
      </c>
      <c r="M23" s="25" t="str">
        <f t="shared" si="20"/>
        <v>3 риска</v>
      </c>
      <c r="N23" s="25" t="str">
        <f t="shared" si="20"/>
        <v>4 риска</v>
      </c>
      <c r="O23" s="25" t="str">
        <f t="shared" si="20"/>
        <v>5 риска</v>
      </c>
      <c r="P23" s="25" t="str">
        <f t="shared" si="20"/>
        <v>6 риска</v>
      </c>
      <c r="S23" s="5" t="s">
        <v>29</v>
      </c>
      <c r="T23" s="26" t="s">
        <v>30</v>
      </c>
      <c r="U23" s="5" t="s">
        <v>31</v>
      </c>
      <c r="V23" s="5" t="s">
        <v>32</v>
      </c>
      <c r="W23" s="5" t="s">
        <v>33</v>
      </c>
    </row>
    <row r="24" spans="1:23" ht="15.75" customHeight="1" x14ac:dyDescent="0.3">
      <c r="J24" s="27" t="s">
        <v>32</v>
      </c>
      <c r="K24" s="15">
        <f t="shared" ref="K24:P24" si="21">((M5-K26)*(M4-K27) + (M8-K26)*(M7-K27) + (M11-K26)*(M10-K27) + (M14-K26)*(M13-K27))/(POWER(M4-K27, 2)+POWER(M7-K27, 2)+POWER(M10-K27, 2)+POWER(M13-K27, 2))</f>
        <v>1.6708674111831672E-2</v>
      </c>
      <c r="L24" s="15">
        <f t="shared" si="21"/>
        <v>2.1816592629136652E-2</v>
      </c>
      <c r="M24" s="15">
        <f t="shared" si="21"/>
        <v>3.4868680054618968E-2</v>
      </c>
      <c r="N24" s="15">
        <f t="shared" si="21"/>
        <v>4.194329520816429E-2</v>
      </c>
      <c r="O24" s="15">
        <f t="shared" si="21"/>
        <v>4.8788656983892238E-2</v>
      </c>
      <c r="P24" s="15">
        <f t="shared" si="21"/>
        <v>5.6567164306117482E-2</v>
      </c>
      <c r="S24" s="9">
        <v>1</v>
      </c>
      <c r="T24" s="9">
        <f t="shared" ref="T24:T29" si="22">(57+(S24-1)*25+20)/1000</f>
        <v>7.6999999999999999E-2</v>
      </c>
      <c r="U24" s="9">
        <f t="shared" ref="U24:U29" si="23">T24*T24</f>
        <v>5.9290000000000002E-3</v>
      </c>
      <c r="V24" s="15">
        <f>K24</f>
        <v>1.6708674111831672E-2</v>
      </c>
      <c r="W24" s="9">
        <f>POWER(V24-($S$57+$S$56*U24),2)</f>
        <v>5.7310516006923824E-6</v>
      </c>
    </row>
    <row r="25" spans="1:23" ht="15.75" customHeight="1" x14ac:dyDescent="0.3">
      <c r="J25" s="27" t="s">
        <v>34</v>
      </c>
      <c r="K25" s="15">
        <f t="shared" ref="K25:P25" si="24">K26-K24*K27</f>
        <v>1.4233695441490252E-2</v>
      </c>
      <c r="L25" s="15">
        <f t="shared" si="24"/>
        <v>2.0724261468280353E-2</v>
      </c>
      <c r="M25" s="15">
        <f t="shared" si="24"/>
        <v>-1.127712848492668E-4</v>
      </c>
      <c r="N25" s="15">
        <f t="shared" si="24"/>
        <v>1.664085071089548E-2</v>
      </c>
      <c r="O25" s="15">
        <f t="shared" si="24"/>
        <v>2.7034232455004553E-2</v>
      </c>
      <c r="P25" s="15">
        <f t="shared" si="24"/>
        <v>3.4708975546923954E-2</v>
      </c>
      <c r="S25" s="9">
        <v>2</v>
      </c>
      <c r="T25" s="9">
        <f t="shared" si="22"/>
        <v>0.10199999999999999</v>
      </c>
      <c r="U25" s="9">
        <f t="shared" si="23"/>
        <v>1.0403999999999998E-2</v>
      </c>
      <c r="V25" s="15">
        <f>L24</f>
        <v>2.1816592629136652E-2</v>
      </c>
      <c r="W25" s="9">
        <f t="shared" ref="W25:W29" si="25">POWER(V25-($S$57+$S$56*U25),2)</f>
        <v>5.9476369545514774E-6</v>
      </c>
    </row>
    <row r="26" spans="1:23" ht="15.75" customHeight="1" x14ac:dyDescent="0.3">
      <c r="J26" s="27" t="s">
        <v>35</v>
      </c>
      <c r="K26" s="15">
        <f t="shared" ref="K26:P26" si="26">AVERAGE(M5, M8, M11, M14)</f>
        <v>0.13218916717154255</v>
      </c>
      <c r="L26" s="15">
        <f t="shared" si="26"/>
        <v>0.13288419726204312</v>
      </c>
      <c r="M26" s="15">
        <f t="shared" si="26"/>
        <v>0.13341398610442995</v>
      </c>
      <c r="N26" s="15">
        <f t="shared" si="26"/>
        <v>0.13377395883534207</v>
      </c>
      <c r="O26" s="15">
        <f t="shared" si="26"/>
        <v>0.13398882427126152</v>
      </c>
      <c r="P26" s="15">
        <f t="shared" si="26"/>
        <v>0.13414649237692072</v>
      </c>
      <c r="S26" s="9">
        <v>3</v>
      </c>
      <c r="T26" s="9">
        <f t="shared" si="22"/>
        <v>0.127</v>
      </c>
      <c r="U26" s="9">
        <f t="shared" si="23"/>
        <v>1.6129000000000001E-2</v>
      </c>
      <c r="V26" s="15">
        <f>M24</f>
        <v>3.4868680054618968E-2</v>
      </c>
      <c r="W26" s="9">
        <f t="shared" si="25"/>
        <v>1.6170560014872894E-5</v>
      </c>
    </row>
    <row r="27" spans="1:23" ht="15.75" customHeight="1" x14ac:dyDescent="0.3">
      <c r="J27" s="27" t="s">
        <v>36</v>
      </c>
      <c r="K27" s="15">
        <f t="shared" ref="K27:P27" si="27">AVERAGE(M4, M7, M10, M13)</f>
        <v>7.0595351217321429</v>
      </c>
      <c r="L27" s="15">
        <f t="shared" si="27"/>
        <v>5.1410381859525636</v>
      </c>
      <c r="M27" s="15">
        <f t="shared" si="27"/>
        <v>3.8294181821657816</v>
      </c>
      <c r="N27" s="15">
        <f t="shared" si="27"/>
        <v>2.7926539281931895</v>
      </c>
      <c r="O27" s="15">
        <f t="shared" si="27"/>
        <v>2.1922020081751468</v>
      </c>
      <c r="P27" s="15">
        <f t="shared" si="27"/>
        <v>1.7578663885621548</v>
      </c>
      <c r="S27" s="9">
        <v>4</v>
      </c>
      <c r="T27" s="9">
        <f t="shared" si="22"/>
        <v>0.152</v>
      </c>
      <c r="U27" s="9">
        <f t="shared" si="23"/>
        <v>2.3104E-2</v>
      </c>
      <c r="V27" s="15">
        <f>N24</f>
        <v>4.194329520816429E-2</v>
      </c>
      <c r="W27" s="9">
        <f t="shared" si="25"/>
        <v>9.3912893435014649E-6</v>
      </c>
    </row>
    <row r="28" spans="1:23" ht="15.75" customHeight="1" x14ac:dyDescent="0.3">
      <c r="S28" s="9">
        <v>5</v>
      </c>
      <c r="T28" s="9">
        <f t="shared" si="22"/>
        <v>0.17699999999999999</v>
      </c>
      <c r="U28" s="9">
        <f t="shared" si="23"/>
        <v>3.1328999999999996E-2</v>
      </c>
      <c r="V28" s="15">
        <f>O24</f>
        <v>4.8788656983892238E-2</v>
      </c>
      <c r="W28" s="9">
        <f t="shared" si="25"/>
        <v>1.929088228230807E-7</v>
      </c>
    </row>
    <row r="29" spans="1:23" ht="15.75" customHeight="1" x14ac:dyDescent="0.3">
      <c r="S29" s="9">
        <v>6</v>
      </c>
      <c r="T29" s="9">
        <f t="shared" si="22"/>
        <v>0.20200000000000001</v>
      </c>
      <c r="U29" s="9">
        <f t="shared" si="23"/>
        <v>4.0804000000000007E-2</v>
      </c>
      <c r="V29" s="15">
        <f>P24</f>
        <v>5.6567164306117482E-2</v>
      </c>
      <c r="W29" s="9">
        <f t="shared" si="25"/>
        <v>7.2482594462121548E-6</v>
      </c>
    </row>
    <row r="30" spans="1:23" ht="15.75" customHeight="1" x14ac:dyDescent="0.3">
      <c r="T30" s="5" t="s">
        <v>37</v>
      </c>
      <c r="U30" s="9">
        <f t="shared" ref="U30:V30" si="28">AVERAGE(U24:U29)</f>
        <v>2.1283166666666669E-2</v>
      </c>
      <c r="V30" s="15">
        <f t="shared" si="28"/>
        <v>3.6782177215626884E-2</v>
      </c>
      <c r="W30" s="9"/>
    </row>
    <row r="31" spans="1:23" ht="15.75" customHeight="1" x14ac:dyDescent="0.25"/>
    <row r="32" spans="1:23" ht="15.75" customHeight="1" x14ac:dyDescent="0.3">
      <c r="J32" s="28"/>
    </row>
    <row r="33" spans="10:17" ht="15.75" customHeight="1" x14ac:dyDescent="0.25"/>
    <row r="34" spans="10:17" ht="15.75" customHeight="1" x14ac:dyDescent="0.25"/>
    <row r="35" spans="10:17" ht="15.75" customHeight="1" x14ac:dyDescent="0.25"/>
    <row r="36" spans="10:17" ht="15.75" customHeight="1" x14ac:dyDescent="0.3">
      <c r="N36" s="50" t="s">
        <v>38</v>
      </c>
      <c r="O36" s="45"/>
      <c r="P36" s="29" t="s">
        <v>39</v>
      </c>
      <c r="Q36" s="29"/>
    </row>
    <row r="37" spans="10:17" ht="15.75" customHeight="1" x14ac:dyDescent="0.3">
      <c r="N37" s="5" t="s">
        <v>40</v>
      </c>
      <c r="O37" s="25">
        <f>S57</f>
        <v>1.2275693797035653E-2</v>
      </c>
      <c r="P37" s="51">
        <f t="shared" ref="P37:P38" si="29">2.57*T63</f>
        <v>3.3151287452415905E-2</v>
      </c>
      <c r="Q37" s="45"/>
    </row>
    <row r="38" spans="10:17" ht="15.75" customHeight="1" x14ac:dyDescent="0.3">
      <c r="N38" s="5" t="s">
        <v>41</v>
      </c>
      <c r="O38" s="5">
        <f>S56/4</f>
        <v>0.28786227870137465</v>
      </c>
      <c r="P38" s="51">
        <f t="shared" si="29"/>
        <v>1.9801310246899239E-5</v>
      </c>
      <c r="Q38" s="45"/>
    </row>
    <row r="39" spans="10:17" ht="15.75" customHeight="1" x14ac:dyDescent="0.3">
      <c r="J39" s="30"/>
      <c r="K39" s="30"/>
    </row>
    <row r="40" spans="10:17" ht="15.75" customHeight="1" x14ac:dyDescent="0.3">
      <c r="J40" s="30"/>
      <c r="K40" s="30"/>
    </row>
    <row r="41" spans="10:17" ht="15.75" customHeight="1" x14ac:dyDescent="0.3">
      <c r="J41" s="30"/>
      <c r="K41" s="30"/>
    </row>
    <row r="42" spans="10:17" ht="15.75" customHeight="1" x14ac:dyDescent="0.3">
      <c r="J42" s="30"/>
      <c r="K42" s="30"/>
    </row>
    <row r="43" spans="10:17" ht="15.75" customHeight="1" x14ac:dyDescent="0.3">
      <c r="J43" s="30"/>
      <c r="K43" s="30"/>
    </row>
    <row r="44" spans="10:17" ht="15.75" customHeight="1" x14ac:dyDescent="0.3">
      <c r="J44" s="30"/>
      <c r="K44" s="30"/>
    </row>
    <row r="45" spans="10:17" ht="15.75" customHeight="1" x14ac:dyDescent="0.3">
      <c r="J45" s="30"/>
      <c r="K45" s="30"/>
    </row>
    <row r="46" spans="10:17" ht="15.75" customHeight="1" x14ac:dyDescent="0.25"/>
    <row r="47" spans="10:17" ht="15.75" customHeight="1" x14ac:dyDescent="0.25"/>
    <row r="48" spans="10:17" ht="15.75" customHeight="1" x14ac:dyDescent="0.25"/>
    <row r="49" spans="3:20" ht="15.75" customHeight="1" x14ac:dyDescent="0.25"/>
    <row r="50" spans="3:20" ht="15.75" customHeight="1" x14ac:dyDescent="0.25"/>
    <row r="51" spans="3:20" ht="15.75" customHeight="1" x14ac:dyDescent="0.25"/>
    <row r="52" spans="3:20" ht="15.75" customHeight="1" x14ac:dyDescent="0.25"/>
    <row r="53" spans="3:20" ht="15.75" customHeight="1" x14ac:dyDescent="0.25"/>
    <row r="54" spans="3:20" ht="15.75" customHeight="1" x14ac:dyDescent="0.25"/>
    <row r="55" spans="3:20" ht="15.75" customHeight="1" x14ac:dyDescent="0.3">
      <c r="C55" s="31">
        <f>M4</f>
        <v>3.1345831795480295</v>
      </c>
      <c r="D55" s="31">
        <f>M7</f>
        <v>5.6349345909314765</v>
      </c>
      <c r="E55" s="31">
        <f>M10</f>
        <v>7.69055736276872</v>
      </c>
      <c r="F55" s="31">
        <f>M13</f>
        <v>11.778065353680345</v>
      </c>
    </row>
    <row r="56" spans="3:20" ht="15.75" customHeight="1" x14ac:dyDescent="0.3">
      <c r="C56" s="31">
        <f>M5</f>
        <v>5.9856232347971106E-2</v>
      </c>
      <c r="D56" s="31">
        <f>M8</f>
        <v>0.10853182632588046</v>
      </c>
      <c r="E56" s="31">
        <f>M11</f>
        <v>0.15679176835465242</v>
      </c>
      <c r="F56" s="31">
        <f>M14</f>
        <v>0.20357684165766615</v>
      </c>
      <c r="O56" s="5" t="s">
        <v>42</v>
      </c>
      <c r="P56" s="5" t="s">
        <v>43</v>
      </c>
      <c r="R56" s="32" t="s">
        <v>44</v>
      </c>
      <c r="S56" s="32">
        <f>((U24-U30)*(V24-V30)+(U25-U30)*(V25-V30)+(U26-U30)*(V26-V30)+(U27-U30)*(V27-V30)+(U28-U30)*(V28-V30)+(U29-U30)*(V29-V30))/(POWER(U24-U30,2)+POWER(U25-U30,2)+POWER(U26-U30,2)+POWER(U27-U30,2)+POWER(U28-U30,2)+POWER(U29-U30,2))</f>
        <v>1.1514491148054986</v>
      </c>
      <c r="T56" s="32"/>
    </row>
    <row r="57" spans="3:20" ht="15.75" customHeight="1" x14ac:dyDescent="0.3">
      <c r="C57" s="32"/>
      <c r="D57" s="32"/>
      <c r="E57" s="32"/>
      <c r="F57" s="32"/>
      <c r="H57" s="32">
        <v>-1</v>
      </c>
      <c r="I57" s="33">
        <f t="shared" ref="I57:N57" si="30">$H$57*K24+K25</f>
        <v>-2.4749786703414205E-3</v>
      </c>
      <c r="J57" s="33">
        <f t="shared" si="30"/>
        <v>-1.092331160856299E-3</v>
      </c>
      <c r="K57" s="33">
        <f t="shared" si="30"/>
        <v>-3.4981451339468235E-2</v>
      </c>
      <c r="L57" s="33">
        <f t="shared" si="30"/>
        <v>-2.530244449726881E-2</v>
      </c>
      <c r="M57" s="33">
        <f t="shared" si="30"/>
        <v>-2.1754424528887685E-2</v>
      </c>
      <c r="N57" s="33">
        <f t="shared" si="30"/>
        <v>-2.1858188759193528E-2</v>
      </c>
      <c r="O57" s="9">
        <v>1E-3</v>
      </c>
      <c r="P57" s="9">
        <f>SQRT(POWER((2/POWER(C6,2))*O57,2)+POWER((4*J4/POWER(C6,3))*L18,2))</f>
        <v>1.0299344732800668E-4</v>
      </c>
      <c r="R57" s="32" t="s">
        <v>45</v>
      </c>
      <c r="S57" s="33">
        <f>V30-S56*U30</f>
        <v>1.2275693797035653E-2</v>
      </c>
      <c r="T57" s="32"/>
    </row>
    <row r="58" spans="3:20" ht="15.75" customHeight="1" x14ac:dyDescent="0.3">
      <c r="C58" s="34">
        <f t="shared" ref="C58:C59" si="31">N4</f>
        <v>1.9952517126425182</v>
      </c>
      <c r="D58" s="34">
        <f t="shared" ref="D58:D59" si="32">N7</f>
        <v>3.6506528077069347</v>
      </c>
      <c r="E58" s="34">
        <f t="shared" ref="E58:E59" si="33">N10</f>
        <v>6.6300215901917356</v>
      </c>
      <c r="F58" s="34">
        <f t="shared" ref="F58:F59" si="34">N13</f>
        <v>8.2882266332690637</v>
      </c>
      <c r="H58" s="32">
        <v>11</v>
      </c>
      <c r="I58" s="33">
        <f t="shared" ref="I58:N58" si="35">$H$58*K24+K25</f>
        <v>0.19802911067163864</v>
      </c>
      <c r="J58" s="33">
        <f t="shared" si="35"/>
        <v>0.26070678038878353</v>
      </c>
      <c r="K58" s="33">
        <f t="shared" si="35"/>
        <v>0.38344270931595936</v>
      </c>
      <c r="L58" s="33">
        <f t="shared" si="35"/>
        <v>0.47801709800070269</v>
      </c>
      <c r="M58" s="33">
        <f t="shared" si="35"/>
        <v>0.56370945927781924</v>
      </c>
      <c r="N58" s="33">
        <f t="shared" si="35"/>
        <v>0.65694778291421629</v>
      </c>
      <c r="O58" s="5" t="s">
        <v>46</v>
      </c>
      <c r="P58" s="5" t="s">
        <v>47</v>
      </c>
      <c r="R58" s="32" t="s">
        <v>48</v>
      </c>
      <c r="S58" s="32">
        <f>POWER(U24-U30,2)+POWER(U25-U30,2)+POWER(U26-U30,2)+POWER(U27-U30,2)+POWER(U28-U30,2)+POWER(U29-U30,2)</f>
        <v>8.6596927083333359E-4</v>
      </c>
      <c r="T58" s="32"/>
    </row>
    <row r="59" spans="3:20" ht="15.75" customHeight="1" x14ac:dyDescent="0.3">
      <c r="C59" s="34">
        <f t="shared" si="31"/>
        <v>6.0017154942351235E-2</v>
      </c>
      <c r="D59" s="34">
        <f t="shared" si="32"/>
        <v>0.10904302295172011</v>
      </c>
      <c r="E59" s="34">
        <f t="shared" si="33"/>
        <v>0.15718841191520352</v>
      </c>
      <c r="F59" s="34">
        <f t="shared" si="34"/>
        <v>0.2052881992388976</v>
      </c>
      <c r="O59" s="9">
        <v>5.0000000000000001E-4</v>
      </c>
      <c r="P59" s="9">
        <f>SQRT(POWER((2/POWER(M3,2))*O59,2)+POWER((4*J6/POWER(M3,3))*P57,2))</f>
        <v>0.19892650460680572</v>
      </c>
      <c r="R59" s="32"/>
      <c r="S59" s="32">
        <v>0</v>
      </c>
      <c r="T59" s="33">
        <f t="shared" ref="T59:T60" si="36">S59*$S$56+$S$57</f>
        <v>1.2275693797035653E-2</v>
      </c>
    </row>
    <row r="60" spans="3:20" ht="15.75" customHeight="1" x14ac:dyDescent="0.3">
      <c r="R60" s="32"/>
      <c r="S60" s="32">
        <v>0.1</v>
      </c>
      <c r="T60" s="33">
        <f t="shared" si="36"/>
        <v>0.12742060527758553</v>
      </c>
    </row>
    <row r="61" spans="3:20" ht="15.75" customHeight="1" x14ac:dyDescent="0.3">
      <c r="C61" s="35">
        <f t="shared" ref="C61:C62" si="37">O4</f>
        <v>1.8669297793035631</v>
      </c>
      <c r="D61" s="35">
        <f t="shared" ref="D61:D62" si="38">O7</f>
        <v>2.9618624943583574</v>
      </c>
      <c r="E61" s="35">
        <f t="shared" ref="E61:E62" si="39">O10</f>
        <v>4.4947398701405437</v>
      </c>
      <c r="F61" s="35">
        <f t="shared" ref="F61:F62" si="40">O13</f>
        <v>5.9941405848606637</v>
      </c>
    </row>
    <row r="62" spans="3:20" ht="15.75" customHeight="1" x14ac:dyDescent="0.3">
      <c r="C62" s="35">
        <f t="shared" si="37"/>
        <v>6.0035279517181836E-2</v>
      </c>
      <c r="D62" s="35">
        <f t="shared" si="38"/>
        <v>0.10922047117861591</v>
      </c>
      <c r="E62" s="35">
        <f t="shared" si="39"/>
        <v>0.15798701368434784</v>
      </c>
      <c r="F62" s="35">
        <f t="shared" si="40"/>
        <v>0.20641318003757428</v>
      </c>
    </row>
    <row r="63" spans="3:20" ht="15.75" customHeight="1" x14ac:dyDescent="0.3">
      <c r="S63" s="36" t="s">
        <v>49</v>
      </c>
      <c r="T63" s="36">
        <f>(1/S58)*(SUM(W24:W29)/(6-2))</f>
        <v>1.2899333639072337E-2</v>
      </c>
    </row>
    <row r="64" spans="3:20" ht="15.75" customHeight="1" x14ac:dyDescent="0.3">
      <c r="C64" s="35">
        <f t="shared" ref="C64:C65" si="41">P4</f>
        <v>1.0410123504713817</v>
      </c>
      <c r="D64" s="35">
        <f t="shared" ref="D64:D65" si="42">P7</f>
        <v>2.2253422934091565</v>
      </c>
      <c r="E64" s="35">
        <f t="shared" ref="E64:E65" si="43">P10</f>
        <v>3.3436650815217392</v>
      </c>
      <c r="F64" s="35">
        <f t="shared" ref="F64:F65" si="44">P13</f>
        <v>4.5605959873704798</v>
      </c>
      <c r="S64" s="36" t="s">
        <v>50</v>
      </c>
      <c r="T64" s="36">
        <f>((1/6)+(U30*U30)/S58)*(SUM(W24:W29)/4)</f>
        <v>7.7047899793382258E-6</v>
      </c>
    </row>
    <row r="65" spans="3:6" ht="15.75" customHeight="1" x14ac:dyDescent="0.3">
      <c r="C65" s="35">
        <f t="shared" si="41"/>
        <v>6.0151934572582375E-2</v>
      </c>
      <c r="D65" s="35">
        <f t="shared" si="42"/>
        <v>0.10941021572234504</v>
      </c>
      <c r="E65" s="35">
        <f t="shared" si="43"/>
        <v>0.15841751910851562</v>
      </c>
      <c r="F65" s="35">
        <f t="shared" si="44"/>
        <v>0.20711616593792528</v>
      </c>
    </row>
    <row r="66" spans="3:6" ht="15.75" customHeight="1" x14ac:dyDescent="0.25"/>
    <row r="67" spans="3:6" ht="15.75" customHeight="1" x14ac:dyDescent="0.3">
      <c r="C67" s="35">
        <f t="shared" ref="C67:C68" si="45">R4</f>
        <v>0.61359459139158334</v>
      </c>
      <c r="D67" s="35">
        <f t="shared" ref="D67:D68" si="46">R7</f>
        <v>1.1851294471747358</v>
      </c>
      <c r="E67" s="35">
        <f t="shared" ref="E67:E68" si="47">R10</f>
        <v>2.069510352372407</v>
      </c>
      <c r="F67" s="35">
        <f t="shared" ref="F67:F68" si="48">R13</f>
        <v>3.1632311633098928</v>
      </c>
    </row>
    <row r="68" spans="3:6" ht="15.75" customHeight="1" x14ac:dyDescent="0.3">
      <c r="C68" s="35">
        <f t="shared" si="45"/>
        <v>6.0212304339128081E-2</v>
      </c>
      <c r="D68" s="35">
        <f t="shared" si="46"/>
        <v>0.10967819847643048</v>
      </c>
      <c r="E68" s="35">
        <f t="shared" si="47"/>
        <v>0.15889405679968169</v>
      </c>
      <c r="F68" s="35">
        <f t="shared" si="48"/>
        <v>0.20780140989244261</v>
      </c>
    </row>
    <row r="69" spans="3:6" ht="15.75" customHeight="1" x14ac:dyDescent="0.25"/>
    <row r="70" spans="3:6" ht="15.75" customHeight="1" x14ac:dyDescent="0.3">
      <c r="C70" s="35">
        <f t="shared" ref="C70:C71" si="49">Q4</f>
        <v>0.82813431486791889</v>
      </c>
      <c r="D70" s="35">
        <f t="shared" ref="D70:D71" si="50">Q7</f>
        <v>1.55494189101938</v>
      </c>
      <c r="E70" s="35">
        <f t="shared" ref="E70:E71" si="51">Q10</f>
        <v>2.5877166635090356</v>
      </c>
      <c r="F70" s="35">
        <f t="shared" ref="F70:F71" si="52">Q13</f>
        <v>3.7980151633042536</v>
      </c>
    </row>
    <row r="71" spans="3:6" ht="15.75" customHeight="1" x14ac:dyDescent="0.3">
      <c r="C71" s="35">
        <f t="shared" si="49"/>
        <v>6.0182002104965118E-2</v>
      </c>
      <c r="D71" s="35">
        <f t="shared" si="50"/>
        <v>0.10958292628520989</v>
      </c>
      <c r="E71" s="35">
        <f t="shared" si="51"/>
        <v>0.15870024608469763</v>
      </c>
      <c r="F71" s="35">
        <f t="shared" si="52"/>
        <v>0.20749012261017336</v>
      </c>
    </row>
    <row r="72" spans="3:6" ht="15.75" customHeight="1" x14ac:dyDescent="0.25"/>
    <row r="73" spans="3:6" ht="15.75" customHeight="1" x14ac:dyDescent="0.25"/>
    <row r="74" spans="3:6" ht="15.75" customHeight="1" x14ac:dyDescent="0.25"/>
    <row r="75" spans="3:6" ht="15.75" customHeight="1" x14ac:dyDescent="0.25"/>
    <row r="76" spans="3:6" ht="15.75" customHeight="1" x14ac:dyDescent="0.25"/>
    <row r="77" spans="3:6" ht="15.75" customHeight="1" x14ac:dyDescent="0.25"/>
    <row r="78" spans="3:6" ht="15.75" customHeight="1" x14ac:dyDescent="0.25"/>
    <row r="79" spans="3:6" ht="15.75" customHeight="1" x14ac:dyDescent="0.25"/>
    <row r="80" spans="3:6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1">
    <mergeCell ref="K6:K8"/>
    <mergeCell ref="N36:O36"/>
    <mergeCell ref="P37:Q37"/>
    <mergeCell ref="P38:Q38"/>
    <mergeCell ref="K9:K11"/>
    <mergeCell ref="K12:K14"/>
    <mergeCell ref="K17:L17"/>
    <mergeCell ref="M17:N17"/>
    <mergeCell ref="K18:L20"/>
    <mergeCell ref="M18:N20"/>
    <mergeCell ref="K22:P22"/>
    <mergeCell ref="B1:B2"/>
    <mergeCell ref="C1:H1"/>
    <mergeCell ref="M1:R1"/>
    <mergeCell ref="K2:L2"/>
    <mergeCell ref="K3:K5"/>
    <mergeCell ref="A3:A6"/>
    <mergeCell ref="A7:A10"/>
    <mergeCell ref="A11:A14"/>
    <mergeCell ref="A15:A18"/>
    <mergeCell ref="A1:A2"/>
  </mergeCells>
  <pageMargins left="0.7" right="0.7" top="0.75" bottom="0.75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oreushka</cp:lastModifiedBy>
  <dcterms:created xsi:type="dcterms:W3CDTF">2020-10-19T16:15:41Z</dcterms:created>
  <dcterms:modified xsi:type="dcterms:W3CDTF">2020-12-28T13:37:09Z</dcterms:modified>
</cp:coreProperties>
</file>