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днс\Downloads\"/>
    </mc:Choice>
  </mc:AlternateContent>
  <xr:revisionPtr revIDLastSave="0" documentId="13_ncr:1_{294F65BC-D606-48CD-8543-2328EA434AC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D29" i="1"/>
  <c r="D28" i="1"/>
  <c r="D27" i="1"/>
  <c r="D26" i="1"/>
  <c r="D25" i="1"/>
  <c r="D24" i="1"/>
  <c r="E23" i="1"/>
  <c r="D23" i="1"/>
  <c r="C28" i="1"/>
  <c r="C27" i="1"/>
  <c r="C26" i="1"/>
  <c r="C25" i="1"/>
  <c r="C24" i="1"/>
  <c r="C23" i="1"/>
  <c r="C29" i="1"/>
  <c r="B29" i="1"/>
  <c r="B28" i="1"/>
  <c r="B27" i="1"/>
  <c r="B26" i="1"/>
  <c r="B25" i="1"/>
  <c r="B24" i="1"/>
  <c r="B23" i="1"/>
  <c r="A29" i="1"/>
  <c r="A28" i="1"/>
  <c r="A27" i="1"/>
  <c r="A26" i="1"/>
  <c r="A25" i="1"/>
  <c r="A24" i="1"/>
  <c r="A23" i="1"/>
  <c r="B8" i="1" l="1"/>
  <c r="J2" i="1" s="1"/>
  <c r="M29" i="1"/>
  <c r="M30" i="1" s="1"/>
  <c r="M31" i="1" s="1"/>
  <c r="M32" i="1" s="1"/>
  <c r="M33" i="1" s="1"/>
  <c r="M28" i="1"/>
  <c r="H26" i="1"/>
  <c r="H29" i="1" s="1"/>
  <c r="H20" i="1"/>
  <c r="G20" i="1"/>
  <c r="F20" i="1"/>
  <c r="E20" i="1"/>
  <c r="D20" i="1"/>
  <c r="C20" i="1"/>
  <c r="B20" i="1"/>
  <c r="H19" i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K16" i="1"/>
  <c r="H9" i="1"/>
  <c r="H10" i="1" s="1"/>
  <c r="K8" i="1" s="1"/>
  <c r="G9" i="1"/>
  <c r="G10" i="1" s="1"/>
  <c r="K7" i="1" s="1"/>
  <c r="F9" i="1"/>
  <c r="F10" i="1" s="1"/>
  <c r="K6" i="1" s="1"/>
  <c r="E9" i="1"/>
  <c r="E10" i="1" s="1"/>
  <c r="K5" i="1" s="1"/>
  <c r="D9" i="1"/>
  <c r="D10" i="1" s="1"/>
  <c r="K4" i="1" s="1"/>
  <c r="C9" i="1"/>
  <c r="C10" i="1" s="1"/>
  <c r="K3" i="1" s="1"/>
  <c r="B9" i="1"/>
  <c r="B10" i="1" s="1"/>
  <c r="K2" i="1" s="1"/>
  <c r="H8" i="1"/>
  <c r="J8" i="1" s="1"/>
  <c r="G8" i="1"/>
  <c r="J7" i="1" s="1"/>
  <c r="F8" i="1"/>
  <c r="J6" i="1" s="1"/>
  <c r="E8" i="1"/>
  <c r="D8" i="1"/>
  <c r="J4" i="1" s="1"/>
  <c r="C8" i="1"/>
  <c r="J3" i="1" s="1"/>
  <c r="J5" i="1"/>
  <c r="M5" i="1" l="1"/>
  <c r="M7" i="1"/>
  <c r="L7" i="1"/>
  <c r="M8" i="1"/>
  <c r="L8" i="1"/>
  <c r="M2" i="1"/>
  <c r="L2" i="1"/>
  <c r="M3" i="1"/>
  <c r="L3" i="1"/>
  <c r="M4" i="1"/>
  <c r="L4" i="1"/>
  <c r="M6" i="1"/>
  <c r="L6" i="1"/>
  <c r="J29" i="1"/>
  <c r="H32" i="1"/>
  <c r="L5" i="1"/>
  <c r="J26" i="1"/>
  <c r="O2" i="1" l="1"/>
  <c r="N2" i="1"/>
  <c r="J32" i="1"/>
  <c r="H35" i="1"/>
  <c r="P2" i="1" l="1"/>
  <c r="Q3" i="1" s="1"/>
  <c r="J35" i="1"/>
  <c r="H38" i="1"/>
  <c r="Q6" i="1" l="1"/>
  <c r="Q4" i="1"/>
  <c r="Q7" i="1"/>
  <c r="Q8" i="1"/>
  <c r="Q5" i="1"/>
  <c r="Q2" i="1"/>
  <c r="K13" i="1"/>
  <c r="K15" i="1" s="1"/>
  <c r="I37" i="1" s="1"/>
  <c r="P30" i="1" s="1"/>
  <c r="J38" i="1"/>
  <c r="H41" i="1"/>
  <c r="R2" i="1" l="1"/>
  <c r="S2" i="1" s="1"/>
  <c r="T2" i="1" s="1"/>
  <c r="U2" i="1" s="1"/>
  <c r="K14" i="1" s="1"/>
  <c r="I44" i="1"/>
  <c r="N33" i="1" s="1"/>
  <c r="I32" i="1"/>
  <c r="N29" i="1" s="1"/>
  <c r="I42" i="1"/>
  <c r="O32" i="1" s="1"/>
  <c r="I43" i="1"/>
  <c r="P32" i="1" s="1"/>
  <c r="I46" i="1"/>
  <c r="P33" i="1" s="1"/>
  <c r="I36" i="1"/>
  <c r="O30" i="1" s="1"/>
  <c r="I39" i="1"/>
  <c r="O31" i="1" s="1"/>
  <c r="I31" i="1"/>
  <c r="P28" i="1" s="1"/>
  <c r="I33" i="1"/>
  <c r="O29" i="1" s="1"/>
  <c r="I35" i="1"/>
  <c r="N30" i="1" s="1"/>
  <c r="I29" i="1"/>
  <c r="N28" i="1" s="1"/>
  <c r="I38" i="1"/>
  <c r="N31" i="1" s="1"/>
  <c r="I40" i="1"/>
  <c r="P31" i="1" s="1"/>
  <c r="I41" i="1"/>
  <c r="N32" i="1" s="1"/>
  <c r="I45" i="1"/>
  <c r="O33" i="1" s="1"/>
  <c r="I30" i="1"/>
  <c r="O28" i="1" s="1"/>
  <c r="I27" i="1"/>
  <c r="O27" i="1" s="1"/>
  <c r="I34" i="1"/>
  <c r="P29" i="1" s="1"/>
  <c r="I26" i="1"/>
  <c r="N27" i="1" s="1"/>
  <c r="I28" i="1"/>
  <c r="P27" i="1" s="1"/>
  <c r="K37" i="1"/>
  <c r="S30" i="1" s="1"/>
  <c r="J41" i="1"/>
  <c r="H44" i="1"/>
  <c r="J44" i="1" s="1"/>
  <c r="K40" i="1" l="1"/>
  <c r="S31" i="1" s="1"/>
  <c r="K29" i="1"/>
  <c r="Q28" i="1" s="1"/>
  <c r="K33" i="1"/>
  <c r="R29" i="1" s="1"/>
  <c r="K31" i="1"/>
  <c r="S28" i="1" s="1"/>
  <c r="K32" i="1"/>
  <c r="Q29" i="1" s="1"/>
  <c r="K34" i="1"/>
  <c r="S29" i="1" s="1"/>
  <c r="K27" i="1"/>
  <c r="R27" i="1" s="1"/>
  <c r="K39" i="1"/>
  <c r="R31" i="1" s="1"/>
  <c r="K35" i="1"/>
  <c r="Q30" i="1" s="1"/>
  <c r="K38" i="1"/>
  <c r="Q31" i="1" s="1"/>
  <c r="K36" i="1"/>
  <c r="R30" i="1" s="1"/>
  <c r="K28" i="1"/>
  <c r="S27" i="1" s="1"/>
  <c r="K26" i="1"/>
  <c r="Q27" i="1" s="1"/>
  <c r="K30" i="1"/>
  <c r="R28" i="1" s="1"/>
  <c r="K43" i="1"/>
  <c r="S32" i="1" s="1"/>
  <c r="K42" i="1"/>
  <c r="R32" i="1" s="1"/>
  <c r="K41" i="1"/>
  <c r="Q32" i="1" s="1"/>
  <c r="K46" i="1"/>
  <c r="S33" i="1" s="1"/>
  <c r="K45" i="1"/>
  <c r="R33" i="1" s="1"/>
  <c r="K44" i="1"/>
  <c r="Q33" i="1" s="1"/>
</calcChain>
</file>

<file path=xl/sharedStrings.xml><?xml version="1.0" encoding="utf-8"?>
<sst xmlns="http://schemas.openxmlformats.org/spreadsheetml/2006/main" count="52" uniqueCount="41">
  <si>
    <t>h0 = 10см</t>
  </si>
  <si>
    <t>hi</t>
  </si>
  <si>
    <t>dhi</t>
  </si>
  <si>
    <t>𝑔⟨𝑡⟩𝑖^2/2,м</t>
  </si>
  <si>
    <t>X^2</t>
  </si>
  <si>
    <t>X*Y</t>
  </si>
  <si>
    <t>Sum X^2</t>
  </si>
  <si>
    <t>Sum X*Y</t>
  </si>
  <si>
    <t>𝛼</t>
  </si>
  <si>
    <t>(Y-𝛼X)^2</t>
  </si>
  <si>
    <t>Sum (Y-𝛼X)^2</t>
  </si>
  <si>
    <t>𝜎𝛼</t>
  </si>
  <si>
    <t>d𝛼</t>
  </si>
  <si>
    <t>𝛿𝛼</t>
  </si>
  <si>
    <t>t1,мс</t>
  </si>
  <si>
    <t>t2,мс</t>
  </si>
  <si>
    <t>t3,мс</t>
  </si>
  <si>
    <t>t4,мс</t>
  </si>
  <si>
    <t>t5,мс</t>
  </si>
  <si>
    <t>dℎ𝑖,м</t>
  </si>
  <si>
    <t>⟨𝑡⟩,с</t>
  </si>
  <si>
    <t>g</t>
  </si>
  <si>
    <t>dIc</t>
  </si>
  <si>
    <t>Ic</t>
  </si>
  <si>
    <t>Iтеор</t>
  </si>
  <si>
    <t>𝑣1,м/с</t>
  </si>
  <si>
    <t>𝑣2,м/с</t>
  </si>
  <si>
    <t>𝑣3,м/с</t>
  </si>
  <si>
    <t>H</t>
  </si>
  <si>
    <t>𝐸кин,𝑖</t>
  </si>
  <si>
    <t>𝐸пот</t>
  </si>
  <si>
    <t>𝐸полн,i</t>
  </si>
  <si>
    <t>Eкин1</t>
  </si>
  <si>
    <t>Eкин2</t>
  </si>
  <si>
    <t>Eкин3</t>
  </si>
  <si>
    <t>Eполн1</t>
  </si>
  <si>
    <t>Eполн2</t>
  </si>
  <si>
    <t>Eполн3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</si>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</sst>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b/>
      <i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Sans-serif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3" fillId="0" borderId="0" xfId="0" applyFont="1" applyAlignme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/>
    <xf numFmtId="0" fontId="3" fillId="3" borderId="1" xfId="0" applyFont="1" applyFill="1" applyBorder="1" applyAlignment="1">
      <alignment horizontal="center"/>
    </xf>
    <xf numFmtId="0" fontId="3" fillId="0" borderId="8" xfId="0" applyFont="1" applyBorder="1" applyAlignment="1"/>
    <xf numFmtId="0" fontId="3" fillId="4" borderId="1" xfId="0" applyFont="1" applyFill="1" applyBorder="1" applyAlignment="1">
      <alignment horizontal="center"/>
    </xf>
    <xf numFmtId="0" fontId="3" fillId="4" borderId="0" xfId="0" applyFont="1" applyFill="1" applyAlignment="1"/>
    <xf numFmtId="0" fontId="3" fillId="4" borderId="1" xfId="0" applyFont="1" applyFill="1" applyBorder="1" applyAlignment="1">
      <alignment horizontal="center"/>
    </xf>
    <xf numFmtId="0" fontId="3" fillId="4" borderId="0" xfId="0" applyFont="1" applyFill="1" applyAlignment="1">
      <alignment horizontal="right"/>
    </xf>
    <xf numFmtId="0" fontId="3" fillId="4" borderId="1" xfId="0" applyFont="1" applyFill="1" applyBorder="1" applyAlignment="1">
      <alignment horizontal="right"/>
    </xf>
    <xf numFmtId="0" fontId="4" fillId="0" borderId="1" xfId="0" applyFont="1" applyBorder="1" applyAlignment="1"/>
    <xf numFmtId="0" fontId="3" fillId="0" borderId="0" xfId="0" applyFont="1" applyAlignment="1"/>
    <xf numFmtId="0" fontId="3" fillId="0" borderId="1" xfId="0" applyFont="1" applyBorder="1" applyAlignment="1">
      <alignment horizontal="center"/>
    </xf>
    <xf numFmtId="0" fontId="3" fillId="0" borderId="6" xfId="0" applyFont="1" applyFill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Лист1!$J$25</c:f>
              <c:strCache>
                <c:ptCount val="1"/>
                <c:pt idx="0">
                  <c:v>𝐸пот</c:v>
                </c:pt>
              </c:strCache>
            </c:strRef>
          </c:tx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Лист1!$H$26:$H$46</c:f>
              <c:numCache>
                <c:formatCode>General</c:formatCode>
                <c:ptCount val="21"/>
                <c:pt idx="0">
                  <c:v>0.9</c:v>
                </c:pt>
                <c:pt idx="3">
                  <c:v>0.8</c:v>
                </c:pt>
                <c:pt idx="6">
                  <c:v>0.70000000000000007</c:v>
                </c:pt>
                <c:pt idx="9">
                  <c:v>0.60000000000000009</c:v>
                </c:pt>
                <c:pt idx="12">
                  <c:v>0.50000000000000011</c:v>
                </c:pt>
                <c:pt idx="15">
                  <c:v>0.40000000000000013</c:v>
                </c:pt>
                <c:pt idx="18">
                  <c:v>0.30000000000000016</c:v>
                </c:pt>
              </c:numCache>
            </c:numRef>
          </c:xVal>
          <c:yVal>
            <c:numRef>
              <c:f>Лист1!$J$26:$J$46</c:f>
              <c:numCache>
                <c:formatCode>General</c:formatCode>
                <c:ptCount val="21"/>
                <c:pt idx="0">
                  <c:v>4.1538599999999999</c:v>
                </c:pt>
                <c:pt idx="3">
                  <c:v>3.6923200000000005</c:v>
                </c:pt>
                <c:pt idx="6">
                  <c:v>3.2307800000000002</c:v>
                </c:pt>
                <c:pt idx="9">
                  <c:v>2.7692400000000004</c:v>
                </c:pt>
                <c:pt idx="12">
                  <c:v>2.3077000000000005</c:v>
                </c:pt>
                <c:pt idx="15">
                  <c:v>1.8461600000000007</c:v>
                </c:pt>
                <c:pt idx="18">
                  <c:v>1.3846200000000009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69-49DA-942A-22A0CA03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191715"/>
        <c:axId val="1229781746"/>
      </c:scatterChart>
      <c:valAx>
        <c:axId val="17391917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29781746"/>
        <c:crosses val="autoZero"/>
        <c:crossBetween val="midCat"/>
      </c:valAx>
      <c:valAx>
        <c:axId val="1229781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</a:t>
                </a: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пот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3919171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Лист1!$A$23:$A$29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Лист1!$B$23:$B$29</c:f>
              <c:numCache>
                <c:formatCode>General</c:formatCode>
                <c:ptCount val="7"/>
                <c:pt idx="0">
                  <c:v>33.574144009676012</c:v>
                </c:pt>
                <c:pt idx="1">
                  <c:v>67.815828096524001</c:v>
                </c:pt>
                <c:pt idx="2">
                  <c:v>102.03658068839603</c:v>
                </c:pt>
                <c:pt idx="3">
                  <c:v>136.36907914342402</c:v>
                </c:pt>
                <c:pt idx="4">
                  <c:v>170.56501846502402</c:v>
                </c:pt>
                <c:pt idx="5">
                  <c:v>204.68906243993601</c:v>
                </c:pt>
                <c:pt idx="6">
                  <c:v>239.23224382964395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67-480F-ADFB-8F6FF5252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191715"/>
        <c:axId val="1229781746"/>
      </c:scatterChart>
      <c:valAx>
        <c:axId val="17391917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29781746"/>
        <c:crosses val="autoZero"/>
        <c:crossBetween val="midCat"/>
      </c:valAx>
      <c:valAx>
        <c:axId val="1229781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𝑔⟨𝑡⟩𝑖^2/2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3919171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Лист1!$A$23:$A$29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Лист1!$C$23:$C$29</c:f>
              <c:numCache>
                <c:formatCode>General</c:formatCode>
                <c:ptCount val="7"/>
                <c:pt idx="0">
                  <c:v>2.9681061071714147E-2</c:v>
                </c:pt>
                <c:pt idx="1">
                  <c:v>2.5427792309376994E-2</c:v>
                </c:pt>
                <c:pt idx="2">
                  <c:v>2.0926128282521526E-2</c:v>
                </c:pt>
                <c:pt idx="3">
                  <c:v>1.6993157332055565E-2</c:v>
                </c:pt>
                <c:pt idx="4">
                  <c:v>1.2718573618214936E-2</c:v>
                </c:pt>
                <c:pt idx="5">
                  <c:v>8.4482724629728629E-3</c:v>
                </c:pt>
                <c:pt idx="6">
                  <c:v>4.2321820893783191E-3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80-486A-9EC0-3225D0D26C51}"/>
            </c:ext>
          </c:extLst>
        </c:ser>
        <c:ser>
          <c:idx val="1"/>
          <c:order val="1"/>
          <c:xVal>
            <c:numRef>
              <c:f>Лист1!$A$23:$A$29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Лист1!$D$23:$D$29</c:f>
              <c:numCache>
                <c:formatCode>General</c:formatCode>
                <c:ptCount val="7"/>
                <c:pt idx="0">
                  <c:v>2.7168077373820067E-2</c:v>
                </c:pt>
                <c:pt idx="1">
                  <c:v>2.3217771841994101E-2</c:v>
                </c:pt>
                <c:pt idx="2">
                  <c:v>1.8656841946968324E-2</c:v>
                </c:pt>
                <c:pt idx="3">
                  <c:v>1.4470910427835659E-2</c:v>
                </c:pt>
                <c:pt idx="4">
                  <c:v>1.0349652629687251E-2</c:v>
                </c:pt>
                <c:pt idx="5">
                  <c:v>6.016460041261191E-3</c:v>
                </c:pt>
                <c:pt idx="6">
                  <c:v>1.7870794751892545E-3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80-486A-9EC0-3225D0D26C51}"/>
            </c:ext>
          </c:extLst>
        </c:ser>
        <c:ser>
          <c:idx val="2"/>
          <c:order val="2"/>
          <c:xVal>
            <c:numRef>
              <c:f>Лист1!$A$23:$A$29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Лист1!$E$23:$E$29</c:f>
              <c:numCache>
                <c:formatCode>General</c:formatCode>
                <c:ptCount val="7"/>
                <c:pt idx="0">
                  <c:v>2.7168077373820067E-2</c:v>
                </c:pt>
                <c:pt idx="1">
                  <c:v>2.2810450416288919E-2</c:v>
                </c:pt>
                <c:pt idx="2">
                  <c:v>1.8806395192015227E-2</c:v>
                </c:pt>
                <c:pt idx="3">
                  <c:v>1.4369892164665159E-2</c:v>
                </c:pt>
                <c:pt idx="4">
                  <c:v>1.0288502674109376E-2</c:v>
                </c:pt>
                <c:pt idx="5">
                  <c:v>5.9356126726471479E-3</c:v>
                </c:pt>
                <c:pt idx="6">
                  <c:v>1.7652460884950375E-3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80-486A-9EC0-3225D0D26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191715"/>
        <c:axId val="1229781746"/>
      </c:scatterChart>
      <c:valAx>
        <c:axId val="17391917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29781746"/>
        <c:crosses val="autoZero"/>
        <c:crossBetween val="midCat"/>
      </c:valAx>
      <c:valAx>
        <c:axId val="1229781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</a:t>
                </a: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кин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3919171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40</xdr:row>
      <xdr:rowOff>3810</xdr:rowOff>
    </xdr:from>
    <xdr:ext cx="5715000" cy="3533775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0</xdr:colOff>
      <xdr:row>55</xdr:row>
      <xdr:rowOff>0</xdr:rowOff>
    </xdr:from>
    <xdr:ext cx="5715000" cy="3533775"/>
    <xdr:graphicFrame macro="">
      <xdr:nvGraphicFramePr>
        <xdr:cNvPr id="4" name="Chart 2" title="Диаграмма">
          <a:extLst>
            <a:ext uri="{FF2B5EF4-FFF2-40B4-BE49-F238E27FC236}">
              <a16:creationId xmlns:a16="http://schemas.microsoft.com/office/drawing/2014/main" id="{9BB291DC-44C8-4124-B2BA-AEA456AD4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845820</xdr:colOff>
      <xdr:row>59</xdr:row>
      <xdr:rowOff>152400</xdr:rowOff>
    </xdr:from>
    <xdr:ext cx="5715000" cy="3533775"/>
    <xdr:graphicFrame macro="">
      <xdr:nvGraphicFramePr>
        <xdr:cNvPr id="6" name="Chart 2" title="Диаграмма">
          <a:extLst>
            <a:ext uri="{FF2B5EF4-FFF2-40B4-BE49-F238E27FC236}">
              <a16:creationId xmlns:a16="http://schemas.microsoft.com/office/drawing/2014/main" id="{26594D06-8025-429D-916B-250167114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46"/>
  <sheetViews>
    <sheetView tabSelected="1" topLeftCell="A53" workbookViewId="0">
      <selection activeCell="H75" sqref="H75"/>
    </sheetView>
  </sheetViews>
  <sheetFormatPr defaultColWidth="14.44140625" defaultRowHeight="15.75" customHeight="1"/>
  <sheetData>
    <row r="1" spans="1:22">
      <c r="A1" s="1" t="s">
        <v>0</v>
      </c>
      <c r="B1" s="23" t="s">
        <v>1</v>
      </c>
      <c r="C1" s="24"/>
      <c r="D1" s="24"/>
      <c r="E1" s="24"/>
      <c r="F1" s="24"/>
      <c r="G1" s="24"/>
      <c r="H1" s="25"/>
      <c r="I1" s="2"/>
      <c r="J1" s="3" t="s">
        <v>2</v>
      </c>
      <c r="K1" s="3" t="s">
        <v>3</v>
      </c>
      <c r="L1" s="3" t="s">
        <v>4</v>
      </c>
      <c r="M1" s="4" t="s">
        <v>5</v>
      </c>
      <c r="N1" s="4" t="s">
        <v>6</v>
      </c>
      <c r="O1" s="5" t="s">
        <v>7</v>
      </c>
      <c r="P1" s="5" t="s">
        <v>8</v>
      </c>
      <c r="Q1" s="3" t="s">
        <v>9</v>
      </c>
      <c r="R1" s="3" t="s">
        <v>10</v>
      </c>
      <c r="S1" s="3" t="s">
        <v>11</v>
      </c>
      <c r="T1" s="5" t="s">
        <v>12</v>
      </c>
      <c r="U1" s="4" t="s">
        <v>13</v>
      </c>
      <c r="V1" s="2"/>
    </row>
    <row r="2" spans="1:22">
      <c r="A2" s="6"/>
      <c r="B2" s="7">
        <v>20</v>
      </c>
      <c r="C2" s="7">
        <v>30</v>
      </c>
      <c r="D2" s="7">
        <v>40</v>
      </c>
      <c r="E2" s="7">
        <v>50</v>
      </c>
      <c r="F2" s="7">
        <v>60</v>
      </c>
      <c r="G2" s="7">
        <v>70</v>
      </c>
      <c r="H2" s="7">
        <v>80</v>
      </c>
      <c r="I2" s="2"/>
      <c r="J2" s="7">
        <f>B8</f>
        <v>0.1</v>
      </c>
      <c r="K2" s="7">
        <f>B10</f>
        <v>33.574144009676012</v>
      </c>
      <c r="L2" s="7">
        <f t="shared" ref="L2:L8" si="0">J2*J2</f>
        <v>1.0000000000000002E-2</v>
      </c>
      <c r="M2" s="7">
        <f t="shared" ref="M2:M8" si="1">J2*K2</f>
        <v>3.3574144009676012</v>
      </c>
      <c r="N2" s="20">
        <f t="shared" ref="N2:O2" si="2">SUM(L2:L8)</f>
        <v>1.4</v>
      </c>
      <c r="O2" s="20">
        <f t="shared" si="2"/>
        <v>477.63770326138524</v>
      </c>
      <c r="P2" s="20">
        <f>O2/N2</f>
        <v>341.16978804384661</v>
      </c>
      <c r="Q2" s="7">
        <f t="shared" ref="Q2:Q8" si="3">POWER(K2-$P$2*J2,2)</f>
        <v>0.29466961434638611</v>
      </c>
      <c r="R2" s="20">
        <f>SUM(Q2:Q8)</f>
        <v>0.74954224850626083</v>
      </c>
      <c r="S2" s="20">
        <f>SQRT(R2/6*N2)</f>
        <v>0.41820233298981907</v>
      </c>
      <c r="T2" s="20">
        <f>S2*2</f>
        <v>0.83640466597963814</v>
      </c>
      <c r="U2" s="20">
        <f>T2/P2*100</f>
        <v>0.24515789360344672</v>
      </c>
      <c r="V2" s="2"/>
    </row>
    <row r="3" spans="1:22">
      <c r="A3" s="6" t="s">
        <v>14</v>
      </c>
      <c r="B3" s="7">
        <v>2613.3000000000002</v>
      </c>
      <c r="C3" s="7">
        <v>3718.6</v>
      </c>
      <c r="D3" s="7">
        <v>4554.8</v>
      </c>
      <c r="E3" s="7">
        <v>5263.6</v>
      </c>
      <c r="F3" s="7">
        <v>5896.5</v>
      </c>
      <c r="G3" s="7">
        <v>6457.7</v>
      </c>
      <c r="H3" s="7">
        <v>6984</v>
      </c>
      <c r="I3" s="2"/>
      <c r="J3" s="7">
        <f>C8</f>
        <v>0.2</v>
      </c>
      <c r="K3" s="7">
        <f>C10</f>
        <v>67.815828096524001</v>
      </c>
      <c r="L3" s="7">
        <f t="shared" si="0"/>
        <v>4.0000000000000008E-2</v>
      </c>
      <c r="M3" s="7">
        <f t="shared" si="1"/>
        <v>13.563165619304801</v>
      </c>
      <c r="N3" s="21"/>
      <c r="O3" s="21"/>
      <c r="P3" s="21"/>
      <c r="Q3" s="7">
        <f t="shared" si="3"/>
        <v>0.17483228901051692</v>
      </c>
      <c r="R3" s="21"/>
      <c r="S3" s="21"/>
      <c r="T3" s="21"/>
      <c r="U3" s="21"/>
      <c r="V3" s="2"/>
    </row>
    <row r="4" spans="1:22">
      <c r="A4" s="6" t="s">
        <v>15</v>
      </c>
      <c r="B4" s="7">
        <v>2615.6</v>
      </c>
      <c r="C4" s="7">
        <v>3715.5</v>
      </c>
      <c r="D4" s="7">
        <v>4562.3999999999996</v>
      </c>
      <c r="E4" s="7">
        <v>5273.1</v>
      </c>
      <c r="F4" s="7">
        <v>5897.5</v>
      </c>
      <c r="G4" s="7">
        <v>6457.8</v>
      </c>
      <c r="H4" s="7">
        <v>6976.8</v>
      </c>
      <c r="I4" s="2"/>
      <c r="J4" s="7">
        <f>D8</f>
        <v>0.3</v>
      </c>
      <c r="K4" s="7">
        <f>D10</f>
        <v>102.03658068839603</v>
      </c>
      <c r="L4" s="7">
        <f t="shared" si="0"/>
        <v>0.09</v>
      </c>
      <c r="M4" s="7">
        <f t="shared" si="1"/>
        <v>30.610974206518808</v>
      </c>
      <c r="N4" s="21"/>
      <c r="O4" s="21"/>
      <c r="P4" s="21"/>
      <c r="Q4" s="7">
        <f t="shared" si="3"/>
        <v>9.8819521688092965E-2</v>
      </c>
      <c r="R4" s="21"/>
      <c r="S4" s="21"/>
      <c r="T4" s="21"/>
      <c r="U4" s="21"/>
      <c r="V4" s="2"/>
    </row>
    <row r="5" spans="1:22">
      <c r="A5" s="6" t="s">
        <v>16</v>
      </c>
      <c r="B5" s="19">
        <v>2612.6999999999998</v>
      </c>
      <c r="C5" s="7">
        <v>3719.2</v>
      </c>
      <c r="D5" s="7">
        <v>4558.5</v>
      </c>
      <c r="E5" s="7">
        <v>5270.5</v>
      </c>
      <c r="F5" s="7">
        <v>5891.3</v>
      </c>
      <c r="G5" s="7">
        <v>6454.2</v>
      </c>
      <c r="H5" s="7">
        <v>6983.3</v>
      </c>
      <c r="I5" s="2"/>
      <c r="J5" s="7">
        <f>E8</f>
        <v>0.4</v>
      </c>
      <c r="K5" s="7">
        <f>E10</f>
        <v>136.36907914342402</v>
      </c>
      <c r="L5" s="7">
        <f t="shared" si="0"/>
        <v>0.16000000000000003</v>
      </c>
      <c r="M5" s="7">
        <f t="shared" si="1"/>
        <v>54.547631657369607</v>
      </c>
      <c r="N5" s="21"/>
      <c r="O5" s="21"/>
      <c r="P5" s="21"/>
      <c r="Q5" s="7">
        <f t="shared" si="3"/>
        <v>9.7685695463953382E-3</v>
      </c>
      <c r="R5" s="21"/>
      <c r="S5" s="21"/>
      <c r="T5" s="21"/>
      <c r="U5" s="21"/>
      <c r="V5" s="2"/>
    </row>
    <row r="6" spans="1:22">
      <c r="A6" s="6" t="s">
        <v>17</v>
      </c>
      <c r="B6" s="7">
        <v>2616.9</v>
      </c>
      <c r="C6" s="7">
        <v>3715.7</v>
      </c>
      <c r="D6" s="7">
        <v>4557.1000000000004</v>
      </c>
      <c r="E6" s="7">
        <v>5272.4</v>
      </c>
      <c r="F6" s="7">
        <v>5889.5</v>
      </c>
      <c r="G6" s="19">
        <v>6452.3</v>
      </c>
      <c r="H6" s="7">
        <v>6982.2</v>
      </c>
      <c r="I6" s="2"/>
      <c r="J6" s="7">
        <f>F8</f>
        <v>0.5</v>
      </c>
      <c r="K6" s="7">
        <f>F10</f>
        <v>170.56501846502402</v>
      </c>
      <c r="L6" s="7">
        <f t="shared" si="0"/>
        <v>0.25</v>
      </c>
      <c r="M6" s="7">
        <f t="shared" si="1"/>
        <v>85.282509232512012</v>
      </c>
      <c r="N6" s="21"/>
      <c r="O6" s="21"/>
      <c r="P6" s="21"/>
      <c r="Q6" s="7">
        <f t="shared" si="3"/>
        <v>3.9503776205649478E-4</v>
      </c>
      <c r="R6" s="21"/>
      <c r="S6" s="21"/>
      <c r="T6" s="21"/>
      <c r="U6" s="21"/>
      <c r="V6" s="2"/>
    </row>
    <row r="7" spans="1:22">
      <c r="A7" s="6" t="s">
        <v>18</v>
      </c>
      <c r="B7" s="7">
        <v>2616.1999999999998</v>
      </c>
      <c r="C7" s="7">
        <v>3713.1</v>
      </c>
      <c r="D7" s="7">
        <v>4560.5</v>
      </c>
      <c r="E7" s="7">
        <v>5270.8</v>
      </c>
      <c r="F7" s="7">
        <v>5894.8</v>
      </c>
      <c r="G7" s="7">
        <v>6461.2</v>
      </c>
      <c r="H7" s="7">
        <v>6974.8</v>
      </c>
      <c r="I7" s="2"/>
      <c r="J7" s="7">
        <f>G8</f>
        <v>0.6</v>
      </c>
      <c r="K7" s="7">
        <f>G10</f>
        <v>204.68906243993601</v>
      </c>
      <c r="L7" s="7">
        <f t="shared" si="0"/>
        <v>0.36</v>
      </c>
      <c r="M7" s="7">
        <f t="shared" si="1"/>
        <v>122.81343746396161</v>
      </c>
      <c r="N7" s="21"/>
      <c r="O7" s="21"/>
      <c r="P7" s="21"/>
      <c r="Q7" s="7">
        <f t="shared" si="3"/>
        <v>1.6410599899835727E-4</v>
      </c>
      <c r="R7" s="21"/>
      <c r="S7" s="21"/>
      <c r="T7" s="21"/>
      <c r="U7" s="21"/>
      <c r="V7" s="2"/>
    </row>
    <row r="8" spans="1:22">
      <c r="A8" s="6" t="s">
        <v>19</v>
      </c>
      <c r="B8" s="7">
        <f t="shared" ref="B8:H8" si="4">(B2-10)/100</f>
        <v>0.1</v>
      </c>
      <c r="C8" s="7">
        <f t="shared" si="4"/>
        <v>0.2</v>
      </c>
      <c r="D8" s="7">
        <f t="shared" si="4"/>
        <v>0.3</v>
      </c>
      <c r="E8" s="7">
        <f t="shared" si="4"/>
        <v>0.4</v>
      </c>
      <c r="F8" s="7">
        <f t="shared" si="4"/>
        <v>0.5</v>
      </c>
      <c r="G8" s="7">
        <f t="shared" si="4"/>
        <v>0.6</v>
      </c>
      <c r="H8" s="7">
        <f t="shared" si="4"/>
        <v>0.7</v>
      </c>
      <c r="I8" s="2"/>
      <c r="J8" s="7">
        <f>H8</f>
        <v>0.7</v>
      </c>
      <c r="K8" s="7">
        <f>H10</f>
        <v>239.23224382964395</v>
      </c>
      <c r="L8" s="7">
        <f t="shared" si="0"/>
        <v>0.48999999999999994</v>
      </c>
      <c r="M8" s="7">
        <f t="shared" si="1"/>
        <v>167.46257068075076</v>
      </c>
      <c r="N8" s="22"/>
      <c r="O8" s="22"/>
      <c r="P8" s="22"/>
      <c r="Q8" s="7">
        <f t="shared" si="3"/>
        <v>0.17089311015381459</v>
      </c>
      <c r="R8" s="22"/>
      <c r="S8" s="22"/>
      <c r="T8" s="22"/>
      <c r="U8" s="22"/>
      <c r="V8" s="2"/>
    </row>
    <row r="9" spans="1:22">
      <c r="A9" s="8" t="s">
        <v>20</v>
      </c>
      <c r="B9" s="7">
        <f t="shared" ref="B9:H9" si="5">AVERAGE(B3:B7)/1000</f>
        <v>2.6149400000000003</v>
      </c>
      <c r="C9" s="7">
        <f t="shared" si="5"/>
        <v>3.7164199999999998</v>
      </c>
      <c r="D9" s="7">
        <f t="shared" si="5"/>
        <v>4.5586600000000006</v>
      </c>
      <c r="E9" s="7">
        <f t="shared" si="5"/>
        <v>5.2700800000000001</v>
      </c>
      <c r="F9" s="7">
        <f t="shared" si="5"/>
        <v>5.8939200000000005</v>
      </c>
      <c r="G9" s="7">
        <f t="shared" si="5"/>
        <v>6.4566400000000002</v>
      </c>
      <c r="H9" s="7">
        <f t="shared" si="5"/>
        <v>6.9802199999999992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6" t="s">
        <v>3</v>
      </c>
      <c r="B10" s="7">
        <f t="shared" ref="B10:H10" si="6">B9*B9*$A$12/2</f>
        <v>33.574144009676012</v>
      </c>
      <c r="C10" s="7">
        <f t="shared" si="6"/>
        <v>67.815828096524001</v>
      </c>
      <c r="D10" s="7">
        <f t="shared" si="6"/>
        <v>102.03658068839603</v>
      </c>
      <c r="E10" s="7">
        <f t="shared" si="6"/>
        <v>136.36907914342402</v>
      </c>
      <c r="F10" s="7">
        <f t="shared" si="6"/>
        <v>170.56501846502402</v>
      </c>
      <c r="G10" s="7">
        <f t="shared" si="6"/>
        <v>204.68906243993601</v>
      </c>
      <c r="H10" s="7">
        <f t="shared" si="6"/>
        <v>239.23224382964395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9" t="s">
        <v>21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7">
        <v>9.82</v>
      </c>
      <c r="B12" s="10"/>
      <c r="C12" s="10"/>
      <c r="D12" s="10"/>
      <c r="E12" s="10"/>
      <c r="F12" s="10"/>
      <c r="G12" s="10"/>
      <c r="H12" s="10"/>
      <c r="I12" s="2"/>
      <c r="J12" s="6"/>
      <c r="K12" s="6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1" t="s">
        <v>0</v>
      </c>
      <c r="B13" s="23" t="s">
        <v>1</v>
      </c>
      <c r="C13" s="24"/>
      <c r="D13" s="24"/>
      <c r="E13" s="24"/>
      <c r="F13" s="24"/>
      <c r="G13" s="24"/>
      <c r="H13" s="25"/>
      <c r="I13" s="2"/>
      <c r="J13" s="5" t="s">
        <v>8</v>
      </c>
      <c r="K13" s="11">
        <f>P2</f>
        <v>341.16978804384661</v>
      </c>
      <c r="L13" s="12"/>
      <c r="M13" s="1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6"/>
      <c r="B14" s="7">
        <v>20</v>
      </c>
      <c r="C14" s="7">
        <v>30</v>
      </c>
      <c r="D14" s="7">
        <v>40</v>
      </c>
      <c r="E14" s="7">
        <v>50</v>
      </c>
      <c r="F14" s="7">
        <v>60</v>
      </c>
      <c r="G14" s="7">
        <v>70</v>
      </c>
      <c r="H14" s="7">
        <v>80</v>
      </c>
      <c r="I14" s="2"/>
      <c r="J14" s="5" t="s">
        <v>13</v>
      </c>
      <c r="K14" s="11">
        <f>U2</f>
        <v>0.24515789360344672</v>
      </c>
      <c r="L14" s="12"/>
      <c r="M14" s="12" t="s">
        <v>22</v>
      </c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6" t="s">
        <v>14</v>
      </c>
      <c r="B15" s="7">
        <v>52.7</v>
      </c>
      <c r="C15" s="7">
        <v>37.299999999999997</v>
      </c>
      <c r="D15" s="7">
        <v>30.4</v>
      </c>
      <c r="E15" s="7">
        <v>26.3</v>
      </c>
      <c r="F15" s="7">
        <v>23.7</v>
      </c>
      <c r="G15" s="7">
        <v>21.5</v>
      </c>
      <c r="H15" s="7">
        <v>19.899999999999999</v>
      </c>
      <c r="I15" s="2"/>
      <c r="J15" s="3" t="s">
        <v>23</v>
      </c>
      <c r="K15" s="13">
        <f>(K13-1)*0.47*0.0025*0.0025</f>
        <v>9.9924875237879934E-4</v>
      </c>
      <c r="L15" s="2"/>
      <c r="M15" s="14">
        <v>7.9947799999999995E-4</v>
      </c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6" t="s">
        <v>15</v>
      </c>
      <c r="B16" s="7">
        <v>81.099999999999994</v>
      </c>
      <c r="C16" s="7">
        <v>44.2</v>
      </c>
      <c r="D16" s="7">
        <v>33.700000000000003</v>
      </c>
      <c r="E16" s="7">
        <v>28.5</v>
      </c>
      <c r="F16" s="7">
        <v>25.1</v>
      </c>
      <c r="G16" s="7">
        <v>22.5</v>
      </c>
      <c r="H16" s="7">
        <v>20.8</v>
      </c>
      <c r="I16" s="2"/>
      <c r="J16" s="3" t="s">
        <v>24</v>
      </c>
      <c r="K16" s="15">
        <f>0.065*0.065*0.47</f>
        <v>1.9857500000000001E-3</v>
      </c>
      <c r="L16" s="12"/>
      <c r="M16" s="1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6" t="s">
        <v>16</v>
      </c>
      <c r="B17" s="7">
        <v>81.599999999999994</v>
      </c>
      <c r="C17" s="7">
        <v>44.5</v>
      </c>
      <c r="D17" s="7">
        <v>33.799999999999997</v>
      </c>
      <c r="E17" s="7">
        <v>28.6</v>
      </c>
      <c r="F17" s="7">
        <v>25</v>
      </c>
      <c r="G17" s="7">
        <v>22.7</v>
      </c>
      <c r="H17" s="7">
        <v>20.8</v>
      </c>
      <c r="I17" s="2"/>
      <c r="J17" s="12"/>
      <c r="K17" s="12"/>
      <c r="L17" s="12"/>
      <c r="M17" s="12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16" t="s">
        <v>25</v>
      </c>
      <c r="B18" s="7">
        <f t="shared" ref="B18:H18" si="7">5/B15</f>
        <v>9.4876660341555966E-2</v>
      </c>
      <c r="C18" s="7">
        <f t="shared" si="7"/>
        <v>0.13404825737265416</v>
      </c>
      <c r="D18" s="7">
        <f t="shared" si="7"/>
        <v>0.16447368421052633</v>
      </c>
      <c r="E18" s="7">
        <f t="shared" si="7"/>
        <v>0.19011406844106463</v>
      </c>
      <c r="F18" s="7">
        <f t="shared" si="7"/>
        <v>0.2109704641350211</v>
      </c>
      <c r="G18" s="7">
        <f t="shared" si="7"/>
        <v>0.23255813953488372</v>
      </c>
      <c r="H18" s="7">
        <f t="shared" si="7"/>
        <v>0.25125628140703521</v>
      </c>
      <c r="I18" s="2"/>
      <c r="J18" s="12"/>
      <c r="K18" s="12"/>
      <c r="L18" s="12"/>
      <c r="M18" s="1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6" t="s">
        <v>26</v>
      </c>
      <c r="B19" s="7">
        <f t="shared" ref="B19:H19" si="8">5/B16</f>
        <v>6.1652281134401979E-2</v>
      </c>
      <c r="C19" s="7">
        <f t="shared" si="8"/>
        <v>0.11312217194570134</v>
      </c>
      <c r="D19" s="7">
        <f t="shared" si="8"/>
        <v>0.14836795252225518</v>
      </c>
      <c r="E19" s="7">
        <f t="shared" si="8"/>
        <v>0.17543859649122806</v>
      </c>
      <c r="F19" s="7">
        <f t="shared" si="8"/>
        <v>0.19920318725099601</v>
      </c>
      <c r="G19" s="7">
        <f t="shared" si="8"/>
        <v>0.22222222222222221</v>
      </c>
      <c r="H19" s="7">
        <f t="shared" si="8"/>
        <v>0.24038461538461536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>
      <c r="A20" s="6" t="s">
        <v>27</v>
      </c>
      <c r="B20" s="7">
        <f t="shared" ref="B20:H20" si="9">5/B17</f>
        <v>6.1274509803921573E-2</v>
      </c>
      <c r="C20" s="7">
        <f t="shared" si="9"/>
        <v>0.11235955056179775</v>
      </c>
      <c r="D20" s="7">
        <f t="shared" si="9"/>
        <v>0.14792899408284024</v>
      </c>
      <c r="E20" s="7">
        <f t="shared" si="9"/>
        <v>0.17482517482517482</v>
      </c>
      <c r="F20" s="7">
        <f t="shared" si="9"/>
        <v>0.2</v>
      </c>
      <c r="G20" s="7">
        <f t="shared" si="9"/>
        <v>0.22026431718061676</v>
      </c>
      <c r="H20" s="7">
        <f t="shared" si="9"/>
        <v>0.24038461538461536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A22" s="17" t="s">
        <v>1</v>
      </c>
      <c r="B22" s="17" t="s">
        <v>3</v>
      </c>
      <c r="C22" s="2" t="s">
        <v>38</v>
      </c>
      <c r="D22" s="2" t="s">
        <v>39</v>
      </c>
      <c r="E22" s="2" t="s">
        <v>40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>
      <c r="A23" s="2">
        <f>$B$2</f>
        <v>20</v>
      </c>
      <c r="B23" s="17">
        <f>$B$10</f>
        <v>33.574144009676012</v>
      </c>
      <c r="C23" s="2">
        <f>$I$44</f>
        <v>2.9681061071714147E-2</v>
      </c>
      <c r="D23" s="17">
        <f>$I$45</f>
        <v>2.7168077373820067E-2</v>
      </c>
      <c r="E23" s="17">
        <f>$I$46</f>
        <v>2.7168077373820067E-2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>
      <c r="A24" s="17">
        <f>$C$2</f>
        <v>30</v>
      </c>
      <c r="B24" s="17">
        <f>$C$10</f>
        <v>67.815828096524001</v>
      </c>
      <c r="C24" s="17">
        <f>$I$41</f>
        <v>2.5427792309376994E-2</v>
      </c>
      <c r="D24" s="17">
        <f>$I$42</f>
        <v>2.3217771841994101E-2</v>
      </c>
      <c r="E24" s="17">
        <f>$I$43</f>
        <v>2.2810450416288919E-2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>
      <c r="A25" s="17">
        <f>$D$2</f>
        <v>40</v>
      </c>
      <c r="B25" s="17">
        <f>$D$10</f>
        <v>102.03658068839603</v>
      </c>
      <c r="C25" s="17">
        <f>$I$38</f>
        <v>2.0926128282521526E-2</v>
      </c>
      <c r="D25" s="17">
        <f>$I$39</f>
        <v>1.8656841946968324E-2</v>
      </c>
      <c r="E25" s="17">
        <f>$I$40</f>
        <v>1.8806395192015227E-2</v>
      </c>
      <c r="F25" s="2"/>
      <c r="G25" s="2"/>
      <c r="H25" s="3" t="s">
        <v>28</v>
      </c>
      <c r="I25" s="3" t="s">
        <v>29</v>
      </c>
      <c r="J25" s="3" t="s">
        <v>30</v>
      </c>
      <c r="K25" s="3" t="s">
        <v>31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>
      <c r="A26" s="17">
        <f>$E$2</f>
        <v>50</v>
      </c>
      <c r="B26" s="17">
        <f>$E$10</f>
        <v>136.36907914342402</v>
      </c>
      <c r="C26" s="17">
        <f>$I$35</f>
        <v>1.6993157332055565E-2</v>
      </c>
      <c r="D26" s="17">
        <f>$I$36</f>
        <v>1.4470910427835659E-2</v>
      </c>
      <c r="E26" s="17">
        <f>$I$37</f>
        <v>1.4369892164665159E-2</v>
      </c>
      <c r="F26" s="2"/>
      <c r="G26" s="2"/>
      <c r="H26" s="20">
        <f>1-0.1</f>
        <v>0.9</v>
      </c>
      <c r="I26" s="18">
        <f t="shared" ref="I26:I28" si="10">0.47*(($K$15/(0.47*2.5*2.5))+1)*B18*B18</f>
        <v>4.2321820893783191E-3</v>
      </c>
      <c r="J26" s="20">
        <f>0.47*$A$12*H26</f>
        <v>4.1538599999999999</v>
      </c>
      <c r="K26" s="18">
        <f t="shared" ref="K26:K28" si="11">$J$26+I26</f>
        <v>4.1580921820893781</v>
      </c>
      <c r="L26" s="2"/>
      <c r="M26" s="3" t="s">
        <v>28</v>
      </c>
      <c r="N26" s="3" t="s">
        <v>32</v>
      </c>
      <c r="O26" s="3" t="s">
        <v>33</v>
      </c>
      <c r="P26" s="3" t="s">
        <v>34</v>
      </c>
      <c r="Q26" s="3" t="s">
        <v>35</v>
      </c>
      <c r="R26" s="3" t="s">
        <v>36</v>
      </c>
      <c r="S26" s="3" t="s">
        <v>37</v>
      </c>
      <c r="T26" s="2"/>
      <c r="U26" s="2"/>
      <c r="V26" s="2"/>
    </row>
    <row r="27" spans="1:22">
      <c r="A27" s="17">
        <f>$F$2</f>
        <v>60</v>
      </c>
      <c r="B27" s="17">
        <f>$F$10</f>
        <v>170.56501846502402</v>
      </c>
      <c r="C27" s="17">
        <f>$I$32</f>
        <v>1.2718573618214936E-2</v>
      </c>
      <c r="D27" s="17">
        <f>$I$33</f>
        <v>1.0349652629687251E-2</v>
      </c>
      <c r="E27" s="17">
        <f>$I$34</f>
        <v>1.0288502674109376E-2</v>
      </c>
      <c r="F27" s="2"/>
      <c r="G27" s="2"/>
      <c r="H27" s="21"/>
      <c r="I27" s="18">
        <f t="shared" si="10"/>
        <v>1.7870794751892545E-3</v>
      </c>
      <c r="J27" s="21"/>
      <c r="K27" s="18">
        <f t="shared" si="11"/>
        <v>4.1556470794751892</v>
      </c>
      <c r="L27" s="2"/>
      <c r="M27" s="7">
        <v>0.9</v>
      </c>
      <c r="N27" s="7">
        <f>I26</f>
        <v>4.2321820893783191E-3</v>
      </c>
      <c r="O27" s="7">
        <f>I27</f>
        <v>1.7870794751892545E-3</v>
      </c>
      <c r="P27" s="7">
        <f>I28</f>
        <v>1.7652460884950375E-3</v>
      </c>
      <c r="Q27" s="7">
        <f>K26</f>
        <v>4.1580921820893781</v>
      </c>
      <c r="R27" s="7">
        <f>K27</f>
        <v>4.1556470794751892</v>
      </c>
      <c r="S27" s="7">
        <f>K28</f>
        <v>4.155625246088495</v>
      </c>
      <c r="T27" s="2"/>
      <c r="U27" s="2"/>
      <c r="V27" s="2"/>
    </row>
    <row r="28" spans="1:22">
      <c r="A28" s="17">
        <f>$G$2</f>
        <v>70</v>
      </c>
      <c r="B28" s="17">
        <f>$G$10</f>
        <v>204.68906243993601</v>
      </c>
      <c r="C28" s="17">
        <f>$I$29</f>
        <v>8.4482724629728629E-3</v>
      </c>
      <c r="D28" s="17">
        <f>$I$30</f>
        <v>6.016460041261191E-3</v>
      </c>
      <c r="E28" s="17">
        <f>$I$31</f>
        <v>5.9356126726471479E-3</v>
      </c>
      <c r="F28" s="2"/>
      <c r="G28" s="2"/>
      <c r="H28" s="22"/>
      <c r="I28" s="18">
        <f t="shared" si="10"/>
        <v>1.7652460884950375E-3</v>
      </c>
      <c r="J28" s="22"/>
      <c r="K28" s="18">
        <f t="shared" si="11"/>
        <v>4.155625246088495</v>
      </c>
      <c r="L28" s="2"/>
      <c r="M28" s="7">
        <f t="shared" ref="M28:M33" si="12">M27-0.1</f>
        <v>0.8</v>
      </c>
      <c r="N28" s="7">
        <f>I29</f>
        <v>8.4482724629728629E-3</v>
      </c>
      <c r="O28" s="7">
        <f>I30</f>
        <v>6.016460041261191E-3</v>
      </c>
      <c r="P28" s="7">
        <f>I31</f>
        <v>5.9356126726471479E-3</v>
      </c>
      <c r="Q28" s="7">
        <f>K29</f>
        <v>3.7007682724629736</v>
      </c>
      <c r="R28" s="7">
        <f>K30</f>
        <v>3.6983364600412618</v>
      </c>
      <c r="S28" s="7">
        <f>K31</f>
        <v>3.6982556126726478</v>
      </c>
      <c r="T28" s="2"/>
      <c r="U28" s="2"/>
      <c r="V28" s="2"/>
    </row>
    <row r="29" spans="1:22">
      <c r="A29" s="17">
        <f>$H$2</f>
        <v>80</v>
      </c>
      <c r="B29" s="17">
        <f>$H$10</f>
        <v>239.23224382964395</v>
      </c>
      <c r="C29" s="17">
        <f t="shared" ref="C24:C29" si="13">$I$26</f>
        <v>4.2321820893783191E-3</v>
      </c>
      <c r="D29" s="17">
        <f>$I$27</f>
        <v>1.7870794751892545E-3</v>
      </c>
      <c r="E29" s="17">
        <f>$I$28</f>
        <v>1.7652460884950375E-3</v>
      </c>
      <c r="F29" s="2"/>
      <c r="G29" s="2"/>
      <c r="H29" s="20">
        <f>H26-0.1</f>
        <v>0.8</v>
      </c>
      <c r="I29" s="18">
        <f t="shared" ref="I29:I31" si="14">0.47*(($K$15/(0.47*2.5*2.5))+1)*C18*C18</f>
        <v>8.4482724629728629E-3</v>
      </c>
      <c r="J29" s="20">
        <f>0.47*$A$12*H29</f>
        <v>3.6923200000000005</v>
      </c>
      <c r="K29" s="18">
        <f t="shared" ref="K29:K31" si="15">$J$29+I29</f>
        <v>3.7007682724629736</v>
      </c>
      <c r="L29" s="2"/>
      <c r="M29" s="7">
        <f t="shared" si="12"/>
        <v>0.70000000000000007</v>
      </c>
      <c r="N29" s="7">
        <f>I32</f>
        <v>1.2718573618214936E-2</v>
      </c>
      <c r="O29" s="7">
        <f>I33</f>
        <v>1.0349652629687251E-2</v>
      </c>
      <c r="P29" s="7">
        <f>I34</f>
        <v>1.0288502674109376E-2</v>
      </c>
      <c r="Q29" s="7">
        <f>K32</f>
        <v>3.2434985736182154</v>
      </c>
      <c r="R29" s="7">
        <f>K33</f>
        <v>3.2411296526296876</v>
      </c>
      <c r="S29" s="7">
        <f>K34</f>
        <v>3.2410685026741097</v>
      </c>
      <c r="T29" s="2"/>
      <c r="U29" s="2"/>
      <c r="V29" s="2"/>
    </row>
    <row r="30" spans="1:22">
      <c r="A30" s="2"/>
      <c r="B30" s="2"/>
      <c r="C30" s="2"/>
      <c r="D30" s="2"/>
      <c r="E30" s="2"/>
      <c r="F30" s="2"/>
      <c r="G30" s="2"/>
      <c r="H30" s="21"/>
      <c r="I30" s="18">
        <f t="shared" si="14"/>
        <v>6.016460041261191E-3</v>
      </c>
      <c r="J30" s="21"/>
      <c r="K30" s="18">
        <f t="shared" si="15"/>
        <v>3.6983364600412618</v>
      </c>
      <c r="L30" s="2"/>
      <c r="M30" s="7">
        <f t="shared" si="12"/>
        <v>0.60000000000000009</v>
      </c>
      <c r="N30" s="7">
        <f>I35</f>
        <v>1.6993157332055565E-2</v>
      </c>
      <c r="O30" s="7">
        <f>I36</f>
        <v>1.4470910427835659E-2</v>
      </c>
      <c r="P30" s="7">
        <f>I37</f>
        <v>1.4369892164665159E-2</v>
      </c>
      <c r="Q30" s="7">
        <f>K35</f>
        <v>2.786233157332056</v>
      </c>
      <c r="R30" s="7">
        <f>K36</f>
        <v>2.7837109104278359</v>
      </c>
      <c r="S30" s="7">
        <f>K37</f>
        <v>2.7836098921646655</v>
      </c>
      <c r="T30" s="2"/>
      <c r="U30" s="2"/>
      <c r="V30" s="2"/>
    </row>
    <row r="31" spans="1:22">
      <c r="A31" s="2"/>
      <c r="B31" s="2"/>
      <c r="C31" s="2"/>
      <c r="D31" s="2"/>
      <c r="E31" s="2"/>
      <c r="F31" s="2"/>
      <c r="G31" s="2"/>
      <c r="H31" s="22"/>
      <c r="I31" s="18">
        <f t="shared" si="14"/>
        <v>5.9356126726471479E-3</v>
      </c>
      <c r="J31" s="22"/>
      <c r="K31" s="18">
        <f t="shared" si="15"/>
        <v>3.6982556126726478</v>
      </c>
      <c r="L31" s="2"/>
      <c r="M31" s="7">
        <f t="shared" si="12"/>
        <v>0.50000000000000011</v>
      </c>
      <c r="N31" s="7">
        <f>I38</f>
        <v>2.0926128282521526E-2</v>
      </c>
      <c r="O31" s="7">
        <f>I39</f>
        <v>1.8656841946968324E-2</v>
      </c>
      <c r="P31" s="7">
        <f>I40</f>
        <v>1.8806395192015227E-2</v>
      </c>
      <c r="Q31" s="7">
        <f>K38</f>
        <v>2.3286261282825222</v>
      </c>
      <c r="R31" s="7">
        <f>K39</f>
        <v>2.3263568419469687</v>
      </c>
      <c r="S31" s="7">
        <f>K40</f>
        <v>2.3265063951920157</v>
      </c>
      <c r="T31" s="2"/>
      <c r="U31" s="2"/>
      <c r="V31" s="2"/>
    </row>
    <row r="32" spans="1:22">
      <c r="A32" s="2"/>
      <c r="B32" s="2"/>
      <c r="C32" s="2"/>
      <c r="D32" s="2"/>
      <c r="E32" s="2"/>
      <c r="F32" s="2"/>
      <c r="G32" s="2"/>
      <c r="H32" s="20">
        <f>H29-0.1</f>
        <v>0.70000000000000007</v>
      </c>
      <c r="I32" s="18">
        <f t="shared" ref="I32:I34" si="16">0.47*(($K$15/(0.47*2.5*2.5))+1)*D18*D18</f>
        <v>1.2718573618214936E-2</v>
      </c>
      <c r="J32" s="20">
        <f>0.47*$A$12*H32</f>
        <v>3.2307800000000002</v>
      </c>
      <c r="K32" s="18">
        <f t="shared" ref="K32:K34" si="17">$J$32+I32</f>
        <v>3.2434985736182154</v>
      </c>
      <c r="L32" s="2"/>
      <c r="M32" s="7">
        <f t="shared" si="12"/>
        <v>0.40000000000000013</v>
      </c>
      <c r="N32" s="7">
        <f>I41</f>
        <v>2.5427792309376994E-2</v>
      </c>
      <c r="O32" s="7">
        <f>I42</f>
        <v>2.3217771841994101E-2</v>
      </c>
      <c r="P32" s="7">
        <f>I43</f>
        <v>2.2810450416288919E-2</v>
      </c>
      <c r="Q32" s="7">
        <f>K41</f>
        <v>1.8715877923093778</v>
      </c>
      <c r="R32" s="7">
        <f>K42</f>
        <v>1.8693777718419948</v>
      </c>
      <c r="S32" s="7">
        <f>K43</f>
        <v>1.8689704504162896</v>
      </c>
      <c r="T32" s="2"/>
      <c r="U32" s="2"/>
      <c r="V32" s="2"/>
    </row>
    <row r="33" spans="1:22">
      <c r="A33" s="2"/>
      <c r="B33" s="2"/>
      <c r="C33" s="2"/>
      <c r="D33" s="2"/>
      <c r="E33" s="2"/>
      <c r="F33" s="2"/>
      <c r="G33" s="2"/>
      <c r="H33" s="21"/>
      <c r="I33" s="18">
        <f t="shared" si="16"/>
        <v>1.0349652629687251E-2</v>
      </c>
      <c r="J33" s="21"/>
      <c r="K33" s="18">
        <f t="shared" si="17"/>
        <v>3.2411296526296876</v>
      </c>
      <c r="L33" s="2"/>
      <c r="M33" s="7">
        <f t="shared" si="12"/>
        <v>0.30000000000000016</v>
      </c>
      <c r="N33" s="7">
        <f>I44</f>
        <v>2.9681061071714147E-2</v>
      </c>
      <c r="O33" s="7">
        <f>I45</f>
        <v>2.7168077373820067E-2</v>
      </c>
      <c r="P33" s="7">
        <f>I46</f>
        <v>2.7168077373820067E-2</v>
      </c>
      <c r="Q33" s="7">
        <f>K44</f>
        <v>1.414301061071715</v>
      </c>
      <c r="R33" s="7">
        <f>K45</f>
        <v>1.4117880773738209</v>
      </c>
      <c r="S33" s="7">
        <f>K46</f>
        <v>1.4117880773738209</v>
      </c>
      <c r="T33" s="2"/>
      <c r="U33" s="2"/>
      <c r="V33" s="2"/>
    </row>
    <row r="34" spans="1:22">
      <c r="A34" s="2"/>
      <c r="B34" s="2"/>
      <c r="C34" s="2"/>
      <c r="D34" s="2"/>
      <c r="E34" s="2"/>
      <c r="F34" s="2"/>
      <c r="G34" s="2"/>
      <c r="H34" s="22"/>
      <c r="I34" s="18">
        <f t="shared" si="16"/>
        <v>1.0288502674109376E-2</v>
      </c>
      <c r="J34" s="22"/>
      <c r="K34" s="18">
        <f t="shared" si="17"/>
        <v>3.2410685026741097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>
      <c r="A35" s="2"/>
      <c r="B35" s="2"/>
      <c r="C35" s="2"/>
      <c r="D35" s="2"/>
      <c r="E35" s="2"/>
      <c r="F35" s="2"/>
      <c r="G35" s="2"/>
      <c r="H35" s="20">
        <f>H32-0.1</f>
        <v>0.60000000000000009</v>
      </c>
      <c r="I35" s="18">
        <f t="shared" ref="I35:I37" si="18">0.47*(($K$15/(0.47*2.5*2.5))+1)*E18*E18</f>
        <v>1.6993157332055565E-2</v>
      </c>
      <c r="J35" s="20">
        <f>0.47*$A$12*H35</f>
        <v>2.7692400000000004</v>
      </c>
      <c r="K35" s="18">
        <f t="shared" ref="K35:K37" si="19">$J$35+I35</f>
        <v>2.786233157332056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>
      <c r="A36" s="2"/>
      <c r="B36" s="2"/>
      <c r="C36" s="2"/>
      <c r="D36" s="2"/>
      <c r="E36" s="2"/>
      <c r="F36" s="2"/>
      <c r="G36" s="2"/>
      <c r="H36" s="21"/>
      <c r="I36" s="18">
        <f t="shared" si="18"/>
        <v>1.4470910427835659E-2</v>
      </c>
      <c r="J36" s="21"/>
      <c r="K36" s="18">
        <f t="shared" si="19"/>
        <v>2.7837109104278359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>
      <c r="A37" s="2"/>
      <c r="B37" s="2"/>
      <c r="C37" s="2"/>
      <c r="D37" s="2"/>
      <c r="E37" s="2"/>
      <c r="F37" s="2"/>
      <c r="G37" s="2"/>
      <c r="H37" s="22"/>
      <c r="I37" s="18">
        <f t="shared" si="18"/>
        <v>1.4369892164665159E-2</v>
      </c>
      <c r="J37" s="22"/>
      <c r="K37" s="18">
        <f t="shared" si="19"/>
        <v>2.7836098921646655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>
      <c r="A38" s="2"/>
      <c r="B38" s="2"/>
      <c r="C38" s="2"/>
      <c r="D38" s="2"/>
      <c r="E38" s="2"/>
      <c r="F38" s="2"/>
      <c r="G38" s="2"/>
      <c r="H38" s="20">
        <f>H35-0.1</f>
        <v>0.50000000000000011</v>
      </c>
      <c r="I38" s="18">
        <f t="shared" ref="I38:I40" si="20">0.47*(($K$15/(0.47*2.5*2.5))+1)*F18*F18</f>
        <v>2.0926128282521526E-2</v>
      </c>
      <c r="J38" s="20">
        <f>0.47*$A$12*H38</f>
        <v>2.3077000000000005</v>
      </c>
      <c r="K38" s="18">
        <f t="shared" ref="K38:K40" si="21">$J$38+I38</f>
        <v>2.3286261282825222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>
      <c r="A39" s="2"/>
      <c r="B39" s="2"/>
      <c r="C39" s="2"/>
      <c r="D39" s="2"/>
      <c r="E39" s="2"/>
      <c r="F39" s="2"/>
      <c r="G39" s="2"/>
      <c r="H39" s="21"/>
      <c r="I39" s="18">
        <f t="shared" si="20"/>
        <v>1.8656841946968324E-2</v>
      </c>
      <c r="J39" s="21"/>
      <c r="K39" s="18">
        <f t="shared" si="21"/>
        <v>2.3263568419469687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>
      <c r="A40" s="2"/>
      <c r="B40" s="2"/>
      <c r="C40" s="2"/>
      <c r="D40" s="2"/>
      <c r="E40" s="2"/>
      <c r="F40" s="2"/>
      <c r="G40" s="2"/>
      <c r="H40" s="22"/>
      <c r="I40" s="18">
        <f t="shared" si="20"/>
        <v>1.8806395192015227E-2</v>
      </c>
      <c r="J40" s="22"/>
      <c r="K40" s="18">
        <f t="shared" si="21"/>
        <v>2.3265063951920157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>
      <c r="A41" s="2"/>
      <c r="B41" s="2"/>
      <c r="C41" s="2"/>
      <c r="D41" s="2"/>
      <c r="E41" s="2"/>
      <c r="F41" s="2"/>
      <c r="G41" s="2"/>
      <c r="H41" s="20">
        <f>H38-0.1</f>
        <v>0.40000000000000013</v>
      </c>
      <c r="I41" s="18">
        <f t="shared" ref="I41:I43" si="22">0.47*(($K$15/(0.47*2.5*2.5))+1)*G18*G18</f>
        <v>2.5427792309376994E-2</v>
      </c>
      <c r="J41" s="20">
        <f>0.47*$A$12*H41</f>
        <v>1.8461600000000007</v>
      </c>
      <c r="K41" s="18">
        <f t="shared" ref="K41:K43" si="23">$J$41+I41</f>
        <v>1.8715877923093778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>
      <c r="A42" s="2"/>
      <c r="B42" s="2"/>
      <c r="C42" s="2"/>
      <c r="D42" s="2"/>
      <c r="E42" s="2"/>
      <c r="F42" s="2"/>
      <c r="G42" s="2"/>
      <c r="H42" s="21"/>
      <c r="I42" s="18">
        <f t="shared" si="22"/>
        <v>2.3217771841994101E-2</v>
      </c>
      <c r="J42" s="21"/>
      <c r="K42" s="18">
        <f t="shared" si="23"/>
        <v>1.8693777718419948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>
      <c r="A43" s="2"/>
      <c r="B43" s="2"/>
      <c r="C43" s="2"/>
      <c r="D43" s="2"/>
      <c r="E43" s="2"/>
      <c r="F43" s="2"/>
      <c r="G43" s="2"/>
      <c r="H43" s="22"/>
      <c r="I43" s="18">
        <f t="shared" si="22"/>
        <v>2.2810450416288919E-2</v>
      </c>
      <c r="J43" s="22"/>
      <c r="K43" s="18">
        <f t="shared" si="23"/>
        <v>1.8689704504162896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>
      <c r="A44" s="2"/>
      <c r="B44" s="2"/>
      <c r="C44" s="2"/>
      <c r="D44" s="2"/>
      <c r="E44" s="2"/>
      <c r="F44" s="2"/>
      <c r="G44" s="2"/>
      <c r="H44" s="20">
        <f>H41-0.1</f>
        <v>0.30000000000000016</v>
      </c>
      <c r="I44" s="18">
        <f t="shared" ref="I44:I46" si="24">0.47*(($K$15/(0.47*2.5*2.5))+1)*H18*H18</f>
        <v>2.9681061071714147E-2</v>
      </c>
      <c r="J44" s="20">
        <f>0.47*$A$12*H44</f>
        <v>1.3846200000000009</v>
      </c>
      <c r="K44" s="18">
        <f t="shared" ref="K44:K46" si="25">$J$44+I44</f>
        <v>1.414301061071715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>
      <c r="A45" s="2"/>
      <c r="B45" s="2"/>
      <c r="C45" s="2"/>
      <c r="D45" s="2"/>
      <c r="E45" s="2"/>
      <c r="F45" s="2"/>
      <c r="G45" s="2"/>
      <c r="H45" s="21"/>
      <c r="I45" s="18">
        <f t="shared" si="24"/>
        <v>2.7168077373820067E-2</v>
      </c>
      <c r="J45" s="21"/>
      <c r="K45" s="18">
        <f t="shared" si="25"/>
        <v>1.4117880773738209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>
      <c r="A46" s="2"/>
      <c r="B46" s="2"/>
      <c r="C46" s="2"/>
      <c r="D46" s="2"/>
      <c r="E46" s="2"/>
      <c r="F46" s="2"/>
      <c r="G46" s="2"/>
      <c r="H46" s="22"/>
      <c r="I46" s="18">
        <f t="shared" si="24"/>
        <v>2.7168077373820067E-2</v>
      </c>
      <c r="J46" s="22"/>
      <c r="K46" s="18">
        <f t="shared" si="25"/>
        <v>1.4117880773738209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</sheetData>
  <mergeCells count="23">
    <mergeCell ref="T2:T8"/>
    <mergeCell ref="U2:U8"/>
    <mergeCell ref="B1:H1"/>
    <mergeCell ref="B13:H13"/>
    <mergeCell ref="H26:H28"/>
    <mergeCell ref="J26:J28"/>
    <mergeCell ref="N2:N8"/>
    <mergeCell ref="O2:O8"/>
    <mergeCell ref="P2:P8"/>
    <mergeCell ref="R2:R8"/>
    <mergeCell ref="S2:S8"/>
    <mergeCell ref="H29:H31"/>
    <mergeCell ref="J29:J31"/>
    <mergeCell ref="J32:J34"/>
    <mergeCell ref="J41:J43"/>
    <mergeCell ref="J44:J46"/>
    <mergeCell ref="H32:H34"/>
    <mergeCell ref="H35:H37"/>
    <mergeCell ref="J35:J37"/>
    <mergeCell ref="H38:H40"/>
    <mergeCell ref="J38:J40"/>
    <mergeCell ref="H41:H43"/>
    <mergeCell ref="H44:H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oreushka</cp:lastModifiedBy>
  <dcterms:modified xsi:type="dcterms:W3CDTF">2020-12-29T21:14:36Z</dcterms:modified>
</cp:coreProperties>
</file>