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Эдуард\Videos\Phis\"/>
    </mc:Choice>
  </mc:AlternateContent>
  <xr:revisionPtr revIDLastSave="0" documentId="13_ncr:1_{2BBA23F7-B685-48BB-8F5C-E495471015C6}" xr6:coauthVersionLast="45" xr6:coauthVersionMax="45" xr10:uidLastSave="{00000000-0000-0000-0000-000000000000}"/>
  <bookViews>
    <workbookView xWindow="11490" yWindow="1395" windowWidth="14355" windowHeight="8325" xr2:uid="{E21F67CB-E74A-4CEA-A7F1-D647FF27F911}"/>
  </bookViews>
  <sheets>
    <sheet name="Металлич образец" sheetId="1" r:id="rId1"/>
    <sheet name="Полупроводни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2" l="1"/>
  <c r="H26" i="2"/>
  <c r="D18" i="2"/>
  <c r="D18" i="1"/>
  <c r="D19" i="1"/>
  <c r="D20" i="1"/>
  <c r="G4" i="2"/>
  <c r="E19" i="2"/>
  <c r="E20" i="2"/>
  <c r="E21" i="2"/>
  <c r="E22" i="2"/>
  <c r="E23" i="2"/>
  <c r="E18" i="2"/>
  <c r="D19" i="2"/>
  <c r="D20" i="2"/>
  <c r="D21" i="2"/>
  <c r="D22" i="2"/>
  <c r="D23" i="2"/>
  <c r="E18" i="1"/>
  <c r="F18" i="1" s="1"/>
  <c r="G18" i="1" s="1"/>
  <c r="H18" i="1" s="1"/>
  <c r="D21" i="1"/>
  <c r="D22" i="1"/>
  <c r="D23" i="1"/>
  <c r="C18" i="1"/>
  <c r="B20" i="1"/>
  <c r="B21" i="1"/>
  <c r="B22" i="1"/>
  <c r="B23" i="1"/>
  <c r="B19" i="1"/>
  <c r="B18" i="1"/>
  <c r="E14" i="1"/>
  <c r="F14" i="1"/>
  <c r="H5" i="2"/>
  <c r="H6" i="2"/>
  <c r="H7" i="2"/>
  <c r="H8" i="2"/>
  <c r="H9" i="2"/>
  <c r="H10" i="2"/>
  <c r="H11" i="2"/>
  <c r="H12" i="2"/>
  <c r="H13" i="2"/>
  <c r="H14" i="2"/>
  <c r="H4" i="2"/>
  <c r="G5" i="2"/>
  <c r="G8" i="2"/>
  <c r="G9" i="2"/>
  <c r="G12" i="2"/>
  <c r="G13" i="2"/>
  <c r="F5" i="2"/>
  <c r="F6" i="2"/>
  <c r="G6" i="2" s="1"/>
  <c r="F7" i="2"/>
  <c r="G7" i="2" s="1"/>
  <c r="F8" i="2"/>
  <c r="F9" i="2"/>
  <c r="F10" i="2"/>
  <c r="G10" i="2" s="1"/>
  <c r="F11" i="2"/>
  <c r="G11" i="2" s="1"/>
  <c r="F12" i="2"/>
  <c r="F13" i="2"/>
  <c r="F14" i="2"/>
  <c r="G14" i="2" s="1"/>
  <c r="F4" i="2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G18" i="2" l="1"/>
  <c r="F18" i="2"/>
  <c r="H22" i="2" l="1"/>
  <c r="H18" i="2"/>
  <c r="J18" i="2" s="1"/>
  <c r="H20" i="2"/>
  <c r="H23" i="2"/>
  <c r="H21" i="2"/>
  <c r="I22" i="2"/>
  <c r="I19" i="2"/>
  <c r="I18" i="2"/>
  <c r="I23" i="2"/>
  <c r="I21" i="2"/>
  <c r="I20" i="2"/>
  <c r="H19" i="2"/>
  <c r="K18" i="2" l="1"/>
  <c r="M18" i="2" s="1"/>
  <c r="O18" i="2" s="1"/>
  <c r="L18" i="2"/>
  <c r="N18" i="2" s="1"/>
  <c r="P18" i="2" s="1"/>
</calcChain>
</file>

<file path=xl/sharedStrings.xml><?xml version="1.0" encoding="utf-8"?>
<sst xmlns="http://schemas.openxmlformats.org/spreadsheetml/2006/main" count="37" uniqueCount="34">
  <si>
    <t>Таблица 1: Металлический образец</t>
  </si>
  <si>
    <t>T,К</t>
  </si>
  <si>
    <t>I,мкА</t>
  </si>
  <si>
    <t>U,В</t>
  </si>
  <si>
    <t>R,кОм</t>
  </si>
  <si>
    <t>t, °C</t>
  </si>
  <si>
    <t>ln R</t>
  </si>
  <si>
    <t>10^3/T,1/K</t>
  </si>
  <si>
    <t>R,Ом</t>
  </si>
  <si>
    <t>Таблица 2: Полупроводниковый образец</t>
  </si>
  <si>
    <t>СКО</t>
  </si>
  <si>
    <t>a-a cr</t>
  </si>
  <si>
    <t>доверительный интервал</t>
  </si>
  <si>
    <t>относительную погрешность измерения,%</t>
  </si>
  <si>
    <t>i,j</t>
  </si>
  <si>
    <t>a (i,j)</t>
  </si>
  <si>
    <t xml:space="preserve">i/j </t>
  </si>
  <si>
    <t>&lt;E&gt; Ev</t>
  </si>
  <si>
    <t>E -&lt;e&gt; Dj</t>
  </si>
  <si>
    <t>E -&lt;e&gt; Ev</t>
  </si>
  <si>
    <t>CKO DJ</t>
  </si>
  <si>
    <t>CKO Ev</t>
  </si>
  <si>
    <t>Довер инт Дж</t>
  </si>
  <si>
    <t>Довер инт Эв</t>
  </si>
  <si>
    <t>Dj</t>
  </si>
  <si>
    <t>Ev</t>
  </si>
  <si>
    <t>Отн погр  %</t>
  </si>
  <si>
    <t>&lt;a&gt; °C^-1</t>
  </si>
  <si>
    <t>E, эВ</t>
  </si>
  <si>
    <t>E,дж</t>
  </si>
  <si>
    <t>&lt;E&gt; Дж</t>
  </si>
  <si>
    <t>Полупроводник:</t>
  </si>
  <si>
    <t>германий</t>
  </si>
  <si>
    <t>Металл:  медь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</si>
</sst>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"/>
    <numFmt numFmtId="167" formatCode="0.000000"/>
    <numFmt numFmtId="168" formatCode="0.00000"/>
    <numFmt numFmtId="169" formatCode="0.0000"/>
    <numFmt numFmtId="172" formatCode="0.0000E+00"/>
    <numFmt numFmtId="177" formatCode="_-* #,##0.0000_-;\-* #,##0.0000_-;_-* &quot;-&quot;??_-;_-@_-"/>
    <numFmt numFmtId="179" formatCode="_-* #,##0.000000_-;\-* #,##0.000000_-;_-* &quot;-&quot;??_-;_-@_-"/>
    <numFmt numFmtId="181" formatCode="_-* #,##0.00000000_-;\-* #,##0.00000000_-;_-* &quot;-&quot;??_-;_-@_-"/>
    <numFmt numFmtId="186" formatCode="_-* #,##0.0000\ _₽_-;\-* #,##0.0000\ _₽_-;_-* &quot;-&quot;??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7" fontId="0" fillId="0" borderId="1" xfId="0" applyNumberFormat="1" applyBorder="1"/>
    <xf numFmtId="16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172" fontId="0" fillId="0" borderId="1" xfId="0" applyNumberFormat="1" applyBorder="1" applyAlignment="1">
      <alignment horizontal="center" vertical="center" wrapText="1"/>
    </xf>
    <xf numFmtId="17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 wrapText="1"/>
    </xf>
    <xf numFmtId="172" fontId="0" fillId="0" borderId="1" xfId="0" applyNumberFormat="1" applyBorder="1" applyAlignment="1">
      <alignment horizontal="center" vertical="center"/>
    </xf>
    <xf numFmtId="181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177" fontId="0" fillId="0" borderId="1" xfId="1" applyNumberFormat="1" applyFont="1" applyBorder="1" applyAlignment="1">
      <alignment horizontal="center" vertical="center" wrapText="1"/>
    </xf>
    <xf numFmtId="179" fontId="0" fillId="0" borderId="1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72" fontId="0" fillId="0" borderId="0" xfId="0" applyNumberFormat="1"/>
    <xf numFmtId="177" fontId="0" fillId="0" borderId="1" xfId="1" applyNumberFormat="1" applyFont="1" applyBorder="1" applyAlignment="1">
      <alignment horizontal="center" vertical="center" wrapText="1"/>
    </xf>
    <xf numFmtId="186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(t)</a:t>
            </a:r>
          </a:p>
        </c:rich>
      </c:tx>
      <c:layout>
        <c:manualLayout>
          <c:xMode val="edge"/>
          <c:yMode val="edge"/>
          <c:x val="0.462236001749781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'Металлич образец'!$E$4:$E$14</c:f>
              <c:strCache>
                <c:ptCount val="11"/>
                <c:pt idx="0">
                  <c:v>1,563</c:v>
                </c:pt>
                <c:pt idx="1">
                  <c:v>1,517</c:v>
                </c:pt>
                <c:pt idx="2">
                  <c:v>1,481</c:v>
                </c:pt>
                <c:pt idx="3">
                  <c:v>1,438</c:v>
                </c:pt>
                <c:pt idx="4">
                  <c:v>1,391</c:v>
                </c:pt>
                <c:pt idx="5">
                  <c:v>1,343</c:v>
                </c:pt>
                <c:pt idx="6">
                  <c:v>1,300</c:v>
                </c:pt>
                <c:pt idx="7">
                  <c:v>1,250</c:v>
                </c:pt>
                <c:pt idx="8">
                  <c:v>1,215</c:v>
                </c:pt>
                <c:pt idx="9">
                  <c:v>1,162</c:v>
                </c:pt>
                <c:pt idx="10">
                  <c:v>1,118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'Металлич образец'!$F$4:$F$14</c:f>
              <c:numCache>
                <c:formatCode>0</c:formatCode>
                <c:ptCount val="11"/>
                <c:pt idx="0">
                  <c:v>119</c:v>
                </c:pt>
                <c:pt idx="1">
                  <c:v>107</c:v>
                </c:pt>
                <c:pt idx="2">
                  <c:v>97</c:v>
                </c:pt>
                <c:pt idx="3">
                  <c:v>87</c:v>
                </c:pt>
                <c:pt idx="4">
                  <c:v>77</c:v>
                </c:pt>
                <c:pt idx="5">
                  <c:v>67</c:v>
                </c:pt>
                <c:pt idx="6">
                  <c:v>57</c:v>
                </c:pt>
                <c:pt idx="7">
                  <c:v>47</c:v>
                </c:pt>
                <c:pt idx="8">
                  <c:v>37</c:v>
                </c:pt>
                <c:pt idx="9">
                  <c:v>27</c:v>
                </c:pt>
                <c:pt idx="10">
                  <c:v>17</c:v>
                </c:pt>
              </c:numCache>
            </c:numRef>
          </c:cat>
          <c:val>
            <c:numRef>
              <c:f>'Металлич образец'!$E$4:$E$14</c:f>
              <c:numCache>
                <c:formatCode>0.000</c:formatCode>
                <c:ptCount val="11"/>
                <c:pt idx="0">
                  <c:v>1.5626911314984708</c:v>
                </c:pt>
                <c:pt idx="1">
                  <c:v>1.5172413793103448</c:v>
                </c:pt>
                <c:pt idx="2">
                  <c:v>1.4808259587020649</c:v>
                </c:pt>
                <c:pt idx="3">
                  <c:v>1.4384949348769898</c:v>
                </c:pt>
                <c:pt idx="4">
                  <c:v>1.3909348441926346</c:v>
                </c:pt>
                <c:pt idx="5">
                  <c:v>1.3434903047091413</c:v>
                </c:pt>
                <c:pt idx="6">
                  <c:v>1.299864314789688</c:v>
                </c:pt>
                <c:pt idx="7">
                  <c:v>1.2503311258278145</c:v>
                </c:pt>
                <c:pt idx="8">
                  <c:v>1.2153047989623866</c:v>
                </c:pt>
                <c:pt idx="9">
                  <c:v>1.1622306717363751</c:v>
                </c:pt>
                <c:pt idx="10">
                  <c:v>1.117719950433705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5-4BE0-9CFA-ED1EE576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73000"/>
        <c:axId val="649778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'Металлич образец'!$F$4:$F$14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119</c:v>
                      </c:pt>
                      <c:pt idx="1">
                        <c:v>107</c:v>
                      </c:pt>
                      <c:pt idx="2">
                        <c:v>97</c:v>
                      </c:pt>
                      <c:pt idx="3">
                        <c:v>87</c:v>
                      </c:pt>
                      <c:pt idx="4">
                        <c:v>77</c:v>
                      </c:pt>
                      <c:pt idx="5">
                        <c:v>67</c:v>
                      </c:pt>
                      <c:pt idx="6">
                        <c:v>57</c:v>
                      </c:pt>
                      <c:pt idx="7">
                        <c:v>47</c:v>
                      </c:pt>
                      <c:pt idx="8">
                        <c:v>37</c:v>
                      </c:pt>
                      <c:pt idx="9">
                        <c:v>27</c:v>
                      </c:pt>
                      <c:pt idx="10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'Металлич образец'!$F$4:$F$14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119</c:v>
                      </c:pt>
                      <c:pt idx="1">
                        <c:v>107</c:v>
                      </c:pt>
                      <c:pt idx="2">
                        <c:v>97</c:v>
                      </c:pt>
                      <c:pt idx="3">
                        <c:v>87</c:v>
                      </c:pt>
                      <c:pt idx="4">
                        <c:v>77</c:v>
                      </c:pt>
                      <c:pt idx="5">
                        <c:v>67</c:v>
                      </c:pt>
                      <c:pt idx="6">
                        <c:v>57</c:v>
                      </c:pt>
                      <c:pt idx="7">
                        <c:v>47</c:v>
                      </c:pt>
                      <c:pt idx="8">
                        <c:v>37</c:v>
                      </c:pt>
                      <c:pt idx="9">
                        <c:v>27</c:v>
                      </c:pt>
                      <c:pt idx="10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F5-4BE0-9CFA-ED1EE576FEDE}"/>
                  </c:ext>
                </c:extLst>
              </c15:ser>
            </c15:filteredLineSeries>
          </c:ext>
        </c:extLst>
      </c:lineChart>
      <c:catAx>
        <c:axId val="6497730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778248"/>
        <c:crosses val="autoZero"/>
        <c:auto val="1"/>
        <c:lblAlgn val="ctr"/>
        <c:lblOffset val="100"/>
        <c:noMultiLvlLbl val="0"/>
      </c:catAx>
      <c:valAx>
        <c:axId val="64977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77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R</a:t>
            </a:r>
            <a:r>
              <a:rPr lang="en-US" baseline="0"/>
              <a:t> (1</a:t>
            </a:r>
          </a:p>
          <a:p>
            <a:pPr>
              <a:defRPr/>
            </a:pPr>
            <a:r>
              <a:rPr lang="en-US" baseline="0"/>
              <a:t>/T)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19486111111111112"/>
          <c:w val="0.8712939632545931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Полупроводник!$H$4:$H$14</c:f>
              <c:numCache>
                <c:formatCode>0.0000</c:formatCode>
                <c:ptCount val="11"/>
                <c:pt idx="0">
                  <c:v>3.4364261168384878</c:v>
                </c:pt>
                <c:pt idx="1">
                  <c:v>3.3333333333333335</c:v>
                </c:pt>
                <c:pt idx="2">
                  <c:v>3.225806451612903</c:v>
                </c:pt>
                <c:pt idx="3">
                  <c:v>3.125</c:v>
                </c:pt>
                <c:pt idx="4">
                  <c:v>3.0303030303030303</c:v>
                </c:pt>
                <c:pt idx="5">
                  <c:v>2.9411764705882355</c:v>
                </c:pt>
                <c:pt idx="6">
                  <c:v>2.8571428571428572</c:v>
                </c:pt>
                <c:pt idx="7">
                  <c:v>2.7777777777777777</c:v>
                </c:pt>
                <c:pt idx="8">
                  <c:v>2.7027027027027026</c:v>
                </c:pt>
                <c:pt idx="9">
                  <c:v>2.6315789473684212</c:v>
                </c:pt>
                <c:pt idx="10">
                  <c:v>2.5641025641025643</c:v>
                </c:pt>
              </c:numCache>
            </c:numRef>
          </c:cat>
          <c:val>
            <c:numRef>
              <c:f>Полупроводник!$G$4:$G$14</c:f>
              <c:numCache>
                <c:formatCode>0.0000</c:formatCode>
                <c:ptCount val="11"/>
                <c:pt idx="0">
                  <c:v>6.5955253536391369</c:v>
                </c:pt>
                <c:pt idx="1">
                  <c:v>6.1693515068340714</c:v>
                </c:pt>
                <c:pt idx="2">
                  <c:v>5.7209187568991888</c:v>
                </c:pt>
                <c:pt idx="3">
                  <c:v>5.3179901321467415</c:v>
                </c:pt>
                <c:pt idx="4">
                  <c:v>4.897103707297231</c:v>
                </c:pt>
                <c:pt idx="5">
                  <c:v>4.5075611545966563</c:v>
                </c:pt>
                <c:pt idx="6">
                  <c:v>4.1538176733684562</c:v>
                </c:pt>
                <c:pt idx="7">
                  <c:v>3.8134713316996502</c:v>
                </c:pt>
                <c:pt idx="8">
                  <c:v>3.4753557964500024</c:v>
                </c:pt>
                <c:pt idx="9">
                  <c:v>3.1804915818598856</c:v>
                </c:pt>
                <c:pt idx="10">
                  <c:v>2.9275545490238808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6-4631-8FDE-C5123DD74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69064"/>
        <c:axId val="649761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Полупроводник!$H$4:$H$14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3.4364261168384878</c:v>
                      </c:pt>
                      <c:pt idx="1">
                        <c:v>3.3333333333333335</c:v>
                      </c:pt>
                      <c:pt idx="2">
                        <c:v>3.225806451612903</c:v>
                      </c:pt>
                      <c:pt idx="3">
                        <c:v>3.125</c:v>
                      </c:pt>
                      <c:pt idx="4">
                        <c:v>3.0303030303030303</c:v>
                      </c:pt>
                      <c:pt idx="5">
                        <c:v>2.9411764705882355</c:v>
                      </c:pt>
                      <c:pt idx="6">
                        <c:v>2.8571428571428572</c:v>
                      </c:pt>
                      <c:pt idx="7">
                        <c:v>2.7777777777777777</c:v>
                      </c:pt>
                      <c:pt idx="8">
                        <c:v>2.7027027027027026</c:v>
                      </c:pt>
                      <c:pt idx="9">
                        <c:v>2.6315789473684212</c:v>
                      </c:pt>
                      <c:pt idx="10">
                        <c:v>2.5641025641025643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Полупроводник!$H$4:$H$14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3.4364261168384878</c:v>
                      </c:pt>
                      <c:pt idx="1">
                        <c:v>3.3333333333333335</c:v>
                      </c:pt>
                      <c:pt idx="2">
                        <c:v>3.225806451612903</c:v>
                      </c:pt>
                      <c:pt idx="3">
                        <c:v>3.125</c:v>
                      </c:pt>
                      <c:pt idx="4">
                        <c:v>3.0303030303030303</c:v>
                      </c:pt>
                      <c:pt idx="5">
                        <c:v>2.9411764705882355</c:v>
                      </c:pt>
                      <c:pt idx="6">
                        <c:v>2.8571428571428572</c:v>
                      </c:pt>
                      <c:pt idx="7">
                        <c:v>2.7777777777777777</c:v>
                      </c:pt>
                      <c:pt idx="8">
                        <c:v>2.7027027027027026</c:v>
                      </c:pt>
                      <c:pt idx="9">
                        <c:v>2.6315789473684212</c:v>
                      </c:pt>
                      <c:pt idx="10">
                        <c:v>2.5641025641025643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D6-4631-8FDE-C5123DD740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Полупроводник!$G$4:$G$14</c15:sqref>
                        </c15:formulaRef>
                      </c:ext>
                    </c:extLst>
                    <c:strCache>
                      <c:ptCount val="11"/>
                      <c:pt idx="0">
                        <c:v>6,5955</c:v>
                      </c:pt>
                      <c:pt idx="1">
                        <c:v>6,1694</c:v>
                      </c:pt>
                      <c:pt idx="2">
                        <c:v>5,7209</c:v>
                      </c:pt>
                      <c:pt idx="3">
                        <c:v>5,3180</c:v>
                      </c:pt>
                      <c:pt idx="4">
                        <c:v>4,8971</c:v>
                      </c:pt>
                      <c:pt idx="5">
                        <c:v>4,5076</c:v>
                      </c:pt>
                      <c:pt idx="6">
                        <c:v>4,1538</c:v>
                      </c:pt>
                      <c:pt idx="7">
                        <c:v>3,8135</c:v>
                      </c:pt>
                      <c:pt idx="8">
                        <c:v>3,4754</c:v>
                      </c:pt>
                      <c:pt idx="9">
                        <c:v>3,1805</c:v>
                      </c:pt>
                      <c:pt idx="10">
                        <c:v>2,9276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DED6-4631-8FDE-C5123DD740F0}"/>
                  </c:ext>
                </c:extLst>
              </c15:ser>
            </c15:filteredLineSeries>
          </c:ext>
        </c:extLst>
      </c:lineChart>
      <c:catAx>
        <c:axId val="649769064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761520"/>
        <c:crosses val="autoZero"/>
        <c:auto val="1"/>
        <c:lblAlgn val="ctr"/>
        <c:lblOffset val="100"/>
        <c:noMultiLvlLbl val="0"/>
      </c:catAx>
      <c:valAx>
        <c:axId val="6497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7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38100</xdr:rowOff>
    </xdr:from>
    <xdr:to>
      <xdr:col>13</xdr:col>
      <xdr:colOff>523875</xdr:colOff>
      <xdr:row>15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1BC872-03BC-461D-AE56-AEA7BA2E1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66675</xdr:colOff>
      <xdr:row>16</xdr:row>
      <xdr:rowOff>238125</xdr:rowOff>
    </xdr:from>
    <xdr:to>
      <xdr:col>6</xdr:col>
      <xdr:colOff>523818</xdr:colOff>
      <xdr:row>16</xdr:row>
      <xdr:rowOff>495268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602534F-5AA1-402B-A9F8-BC1240C7C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3286125"/>
          <a:ext cx="457143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</xdr:row>
      <xdr:rowOff>133350</xdr:rowOff>
    </xdr:from>
    <xdr:to>
      <xdr:col>15</xdr:col>
      <xdr:colOff>452437</xdr:colOff>
      <xdr:row>14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E3C08F-D685-4762-B678-6E0871387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238125</xdr:colOff>
      <xdr:row>16</xdr:row>
      <xdr:rowOff>171450</xdr:rowOff>
    </xdr:from>
    <xdr:to>
      <xdr:col>13</xdr:col>
      <xdr:colOff>533400</xdr:colOff>
      <xdr:row>16</xdr:row>
      <xdr:rowOff>365073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D598D37-3CC5-415A-82B4-EA688DF53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3219450"/>
          <a:ext cx="295275" cy="193623"/>
        </a:xfrm>
        <a:prstGeom prst="rect">
          <a:avLst/>
        </a:prstGeom>
      </xdr:spPr>
    </xdr:pic>
    <xdr:clientData/>
  </xdr:twoCellAnchor>
  <xdr:twoCellAnchor editAs="oneCell">
    <xdr:from>
      <xdr:col>14</xdr:col>
      <xdr:colOff>238125</xdr:colOff>
      <xdr:row>16</xdr:row>
      <xdr:rowOff>190500</xdr:rowOff>
    </xdr:from>
    <xdr:to>
      <xdr:col>14</xdr:col>
      <xdr:colOff>499586</xdr:colOff>
      <xdr:row>16</xdr:row>
      <xdr:rowOff>361950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F7CB776-51E0-4573-88D3-ADA8A49A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3225" y="3238500"/>
          <a:ext cx="261461" cy="1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E905-A7DC-4A2D-9AB2-434B81D043EA}">
  <dimension ref="A2:J23"/>
  <sheetViews>
    <sheetView tabSelected="1" topLeftCell="E4" workbookViewId="0">
      <selection activeCell="E18" sqref="E18:E23"/>
    </sheetView>
  </sheetViews>
  <sheetFormatPr defaultRowHeight="15" x14ac:dyDescent="0.25"/>
  <cols>
    <col min="1" max="1" width="5.140625" customWidth="1"/>
    <col min="4" max="4" width="12" bestFit="1" customWidth="1"/>
    <col min="5" max="5" width="12.28515625" bestFit="1" customWidth="1"/>
    <col min="6" max="6" width="11.7109375" customWidth="1"/>
    <col min="7" max="7" width="16.28515625" customWidth="1"/>
    <col min="8" max="8" width="15" customWidth="1"/>
    <col min="10" max="10" width="29.5703125" customWidth="1"/>
  </cols>
  <sheetData>
    <row r="2" spans="1:6" x14ac:dyDescent="0.25">
      <c r="A2" s="3" t="s">
        <v>0</v>
      </c>
      <c r="B2" s="3"/>
      <c r="C2" s="3"/>
      <c r="D2" s="3"/>
      <c r="E2" s="3"/>
      <c r="F2" s="3"/>
    </row>
    <row r="3" spans="1:6" x14ac:dyDescent="0.2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5">
      <c r="A4" s="2">
        <v>1</v>
      </c>
      <c r="B4" s="1">
        <v>392</v>
      </c>
      <c r="C4" s="1">
        <v>654</v>
      </c>
      <c r="D4" s="6">
        <v>1.022</v>
      </c>
      <c r="E4" s="6">
        <f>D4/(C4*10^-3)</f>
        <v>1.5626911314984708</v>
      </c>
      <c r="F4" s="7">
        <f>B4-273</f>
        <v>119</v>
      </c>
    </row>
    <row r="5" spans="1:6" x14ac:dyDescent="0.25">
      <c r="A5" s="2">
        <v>2</v>
      </c>
      <c r="B5" s="1">
        <v>380</v>
      </c>
      <c r="C5" s="1">
        <v>667</v>
      </c>
      <c r="D5" s="6">
        <v>1.012</v>
      </c>
      <c r="E5" s="6">
        <f t="shared" ref="E5:E14" si="0">D5/(C5*10^-3)</f>
        <v>1.5172413793103448</v>
      </c>
      <c r="F5" s="7">
        <f t="shared" ref="F5:F14" si="1">B5-273</f>
        <v>107</v>
      </c>
    </row>
    <row r="6" spans="1:6" x14ac:dyDescent="0.25">
      <c r="A6" s="2">
        <v>3</v>
      </c>
      <c r="B6" s="1">
        <v>370</v>
      </c>
      <c r="C6" s="1">
        <v>678</v>
      </c>
      <c r="D6" s="6">
        <v>1.004</v>
      </c>
      <c r="E6" s="6">
        <f t="shared" si="0"/>
        <v>1.4808259587020649</v>
      </c>
      <c r="F6" s="7">
        <f t="shared" si="1"/>
        <v>97</v>
      </c>
    </row>
    <row r="7" spans="1:6" x14ac:dyDescent="0.25">
      <c r="A7" s="2">
        <v>4</v>
      </c>
      <c r="B7" s="1">
        <v>360</v>
      </c>
      <c r="C7" s="1">
        <v>691</v>
      </c>
      <c r="D7" s="6">
        <v>0.99399999999999999</v>
      </c>
      <c r="E7" s="6">
        <f t="shared" si="0"/>
        <v>1.4384949348769898</v>
      </c>
      <c r="F7" s="7">
        <f t="shared" si="1"/>
        <v>87</v>
      </c>
    </row>
    <row r="8" spans="1:6" x14ac:dyDescent="0.25">
      <c r="A8" s="2">
        <v>5</v>
      </c>
      <c r="B8" s="1">
        <v>350</v>
      </c>
      <c r="C8" s="1">
        <v>706</v>
      </c>
      <c r="D8" s="6">
        <v>0.98199999999999998</v>
      </c>
      <c r="E8" s="6">
        <f t="shared" si="0"/>
        <v>1.3909348441926346</v>
      </c>
      <c r="F8" s="7">
        <f t="shared" si="1"/>
        <v>77</v>
      </c>
    </row>
    <row r="9" spans="1:6" x14ac:dyDescent="0.25">
      <c r="A9" s="2">
        <v>6</v>
      </c>
      <c r="B9" s="1">
        <v>340</v>
      </c>
      <c r="C9" s="1">
        <v>722</v>
      </c>
      <c r="D9" s="6">
        <v>0.97</v>
      </c>
      <c r="E9" s="6">
        <f t="shared" si="0"/>
        <v>1.3434903047091413</v>
      </c>
      <c r="F9" s="7">
        <f t="shared" si="1"/>
        <v>67</v>
      </c>
    </row>
    <row r="10" spans="1:6" x14ac:dyDescent="0.25">
      <c r="A10" s="2">
        <v>7</v>
      </c>
      <c r="B10" s="1">
        <v>330</v>
      </c>
      <c r="C10" s="1">
        <v>737</v>
      </c>
      <c r="D10" s="6">
        <v>0.95799999999999996</v>
      </c>
      <c r="E10" s="6">
        <f t="shared" si="0"/>
        <v>1.299864314789688</v>
      </c>
      <c r="F10" s="7">
        <f t="shared" si="1"/>
        <v>57</v>
      </c>
    </row>
    <row r="11" spans="1:6" x14ac:dyDescent="0.25">
      <c r="A11" s="2">
        <v>8</v>
      </c>
      <c r="B11" s="1">
        <v>320</v>
      </c>
      <c r="C11" s="1">
        <v>755</v>
      </c>
      <c r="D11" s="6">
        <v>0.94399999999999995</v>
      </c>
      <c r="E11" s="6">
        <f t="shared" si="0"/>
        <v>1.2503311258278145</v>
      </c>
      <c r="F11" s="7">
        <f t="shared" si="1"/>
        <v>47</v>
      </c>
    </row>
    <row r="12" spans="1:6" x14ac:dyDescent="0.25">
      <c r="A12" s="2">
        <v>9</v>
      </c>
      <c r="B12" s="1">
        <v>310</v>
      </c>
      <c r="C12" s="1">
        <v>771</v>
      </c>
      <c r="D12" s="6">
        <v>0.93700000000000006</v>
      </c>
      <c r="E12" s="6">
        <f t="shared" si="0"/>
        <v>1.2153047989623866</v>
      </c>
      <c r="F12" s="7">
        <f t="shared" si="1"/>
        <v>37</v>
      </c>
    </row>
    <row r="13" spans="1:6" x14ac:dyDescent="0.25">
      <c r="A13" s="2">
        <v>10</v>
      </c>
      <c r="B13" s="1">
        <v>300</v>
      </c>
      <c r="C13" s="1">
        <v>789</v>
      </c>
      <c r="D13" s="6">
        <v>0.91700000000000004</v>
      </c>
      <c r="E13" s="6">
        <f t="shared" si="0"/>
        <v>1.1622306717363751</v>
      </c>
      <c r="F13" s="7">
        <f t="shared" si="1"/>
        <v>27</v>
      </c>
    </row>
    <row r="14" spans="1:6" x14ac:dyDescent="0.25">
      <c r="A14" s="2">
        <v>11</v>
      </c>
      <c r="B14" s="1">
        <v>290</v>
      </c>
      <c r="C14" s="1">
        <v>807</v>
      </c>
      <c r="D14" s="6">
        <v>0.90200000000000002</v>
      </c>
      <c r="E14" s="6">
        <f t="shared" si="0"/>
        <v>1.117719950433705</v>
      </c>
      <c r="F14" s="7">
        <f t="shared" si="1"/>
        <v>17</v>
      </c>
    </row>
    <row r="17" spans="1:10" ht="45" x14ac:dyDescent="0.25">
      <c r="A17" s="1" t="s">
        <v>14</v>
      </c>
      <c r="B17" s="1" t="s">
        <v>15</v>
      </c>
      <c r="C17" s="1" t="s">
        <v>27</v>
      </c>
      <c r="D17" s="1" t="s">
        <v>11</v>
      </c>
      <c r="E17" s="1" t="s">
        <v>10</v>
      </c>
      <c r="F17" s="12" t="s">
        <v>12</v>
      </c>
      <c r="G17" s="1"/>
      <c r="H17" s="12" t="s">
        <v>13</v>
      </c>
      <c r="J17" s="21" t="s">
        <v>33</v>
      </c>
    </row>
    <row r="18" spans="1:10" x14ac:dyDescent="0.25">
      <c r="A18" s="1">
        <v>1.6</v>
      </c>
      <c r="B18" s="1">
        <f>(E4-E9)/(E9*F4-E4*F9)</f>
        <v>3.9728258466436364E-3</v>
      </c>
      <c r="C18" s="10">
        <f>HARMEAN(B18:B23)</f>
        <v>4.2528796551364505E-3</v>
      </c>
      <c r="D18" s="1">
        <f>B18-C18</f>
        <v>-2.8005380849281409E-4</v>
      </c>
      <c r="E18" s="18">
        <f>SQRT((D18^2+D19^2+D20^2+D23^2+D21^2+D22^2)/30)</f>
        <v>7.430531964181142E-5</v>
      </c>
      <c r="F18" s="18">
        <f>E18*2.57</f>
        <v>1.9096467147945533E-4</v>
      </c>
      <c r="G18" s="19">
        <f>SQRT(F18^2)</f>
        <v>1.9096467147945533E-4</v>
      </c>
      <c r="H18" s="20">
        <f>G18*100/C18</f>
        <v>4.4902439515027464</v>
      </c>
    </row>
    <row r="19" spans="1:10" x14ac:dyDescent="0.25">
      <c r="A19" s="1">
        <v>2.7</v>
      </c>
      <c r="B19" s="8">
        <f>(E5-E10)/(E10*F5-E5*F10)</f>
        <v>4.1324298794426255E-3</v>
      </c>
      <c r="C19" s="10"/>
      <c r="D19" s="8">
        <f>B19-$C$18</f>
        <v>-1.2044977569382505E-4</v>
      </c>
      <c r="E19" s="18"/>
      <c r="F19" s="10"/>
      <c r="G19" s="19"/>
      <c r="H19" s="20"/>
    </row>
    <row r="20" spans="1:10" x14ac:dyDescent="0.25">
      <c r="A20" s="1">
        <v>3.8</v>
      </c>
      <c r="B20" s="8">
        <f t="shared" ref="B20:B23" si="2">(E6-E11)/(E11*F6-E6*F11)</f>
        <v>4.4597546341185396E-3</v>
      </c>
      <c r="C20" s="10"/>
      <c r="D20" s="8">
        <f t="shared" ref="D20:D23" si="3">B20-$C$18</f>
        <v>2.0687497898208909E-4</v>
      </c>
      <c r="E20" s="18"/>
      <c r="F20" s="10"/>
      <c r="G20" s="19"/>
      <c r="H20" s="20"/>
    </row>
    <row r="21" spans="1:10" x14ac:dyDescent="0.25">
      <c r="A21" s="1">
        <v>4.9000000000000004</v>
      </c>
      <c r="B21" s="8">
        <f t="shared" si="2"/>
        <v>4.2506573385065983E-3</v>
      </c>
      <c r="C21" s="10"/>
      <c r="D21" s="8">
        <f t="shared" si="3"/>
        <v>-2.2223166298521863E-6</v>
      </c>
      <c r="E21" s="18"/>
      <c r="F21" s="10"/>
      <c r="G21" s="19"/>
      <c r="H21" s="20"/>
    </row>
    <row r="22" spans="1:10" x14ac:dyDescent="0.25">
      <c r="A22" s="5">
        <v>5.0999999999999996</v>
      </c>
      <c r="B22" s="8">
        <f t="shared" si="2"/>
        <v>4.4035327811484757E-3</v>
      </c>
      <c r="C22" s="10"/>
      <c r="D22" s="8">
        <f t="shared" si="3"/>
        <v>1.5065312601202519E-4</v>
      </c>
      <c r="E22" s="18"/>
      <c r="F22" s="10"/>
      <c r="G22" s="19"/>
      <c r="H22" s="20"/>
    </row>
    <row r="23" spans="1:10" x14ac:dyDescent="0.25">
      <c r="A23" s="1">
        <v>6.11</v>
      </c>
      <c r="B23" s="8">
        <f t="shared" si="2"/>
        <v>4.3377417296980129E-3</v>
      </c>
      <c r="C23" s="10"/>
      <c r="D23" s="8">
        <f t="shared" si="3"/>
        <v>8.4862074561562438E-5</v>
      </c>
      <c r="E23" s="18"/>
      <c r="F23" s="10"/>
      <c r="G23" s="19"/>
      <c r="H23" s="20"/>
    </row>
  </sheetData>
  <mergeCells count="6">
    <mergeCell ref="A2:F2"/>
    <mergeCell ref="C18:C23"/>
    <mergeCell ref="E18:E23"/>
    <mergeCell ref="F18:F23"/>
    <mergeCell ref="G18:G23"/>
    <mergeCell ref="H18:H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514A-E0F7-45E5-B105-5EE5A6FA5985}">
  <dimension ref="B2:P26"/>
  <sheetViews>
    <sheetView zoomScale="68" zoomScaleNormal="68" workbookViewId="0">
      <selection activeCell="P18" sqref="P18:P23"/>
    </sheetView>
  </sheetViews>
  <sheetFormatPr defaultRowHeight="15" x14ac:dyDescent="0.25"/>
  <cols>
    <col min="4" max="4" width="15.28515625" customWidth="1"/>
    <col min="5" max="5" width="15.7109375" customWidth="1"/>
    <col min="6" max="6" width="12" bestFit="1" customWidth="1"/>
    <col min="7" max="7" width="17.5703125" customWidth="1"/>
    <col min="8" max="8" width="11.5703125" customWidth="1"/>
    <col min="9" max="9" width="10.7109375" customWidth="1"/>
    <col min="10" max="11" width="12" bestFit="1" customWidth="1"/>
    <col min="12" max="12" width="11.28515625" bestFit="1" customWidth="1"/>
    <col min="14" max="15" width="11.28515625" bestFit="1" customWidth="1"/>
    <col min="16" max="16" width="10.5703125" bestFit="1" customWidth="1"/>
  </cols>
  <sheetData>
    <row r="2" spans="2:8" x14ac:dyDescent="0.25">
      <c r="B2" s="3" t="s">
        <v>9</v>
      </c>
      <c r="C2" s="3"/>
      <c r="D2" s="3"/>
      <c r="E2" s="3"/>
      <c r="F2" s="3"/>
      <c r="G2" s="3"/>
      <c r="H2" s="3"/>
    </row>
    <row r="3" spans="2:8" x14ac:dyDescent="0.25">
      <c r="B3" s="1"/>
      <c r="C3" s="1" t="s">
        <v>1</v>
      </c>
      <c r="D3" s="1" t="s">
        <v>2</v>
      </c>
      <c r="E3" s="1" t="s">
        <v>3</v>
      </c>
      <c r="F3" s="1" t="s">
        <v>8</v>
      </c>
      <c r="G3" s="4" t="s">
        <v>6</v>
      </c>
      <c r="H3" s="4" t="s">
        <v>7</v>
      </c>
    </row>
    <row r="4" spans="2:8" x14ac:dyDescent="0.25">
      <c r="B4" s="1">
        <v>1</v>
      </c>
      <c r="C4" s="1">
        <v>291</v>
      </c>
      <c r="D4" s="1">
        <v>921</v>
      </c>
      <c r="E4" s="6">
        <v>0.67400000000000004</v>
      </c>
      <c r="F4" s="9">
        <f>E4/(D4*10^-6)</f>
        <v>731.81324647122699</v>
      </c>
      <c r="G4" s="9">
        <f>LN(F4)</f>
        <v>6.5955253536391369</v>
      </c>
      <c r="H4" s="9">
        <f>1000/C4</f>
        <v>3.4364261168384878</v>
      </c>
    </row>
    <row r="5" spans="2:8" x14ac:dyDescent="0.25">
      <c r="B5" s="1">
        <v>2</v>
      </c>
      <c r="C5" s="1">
        <v>300</v>
      </c>
      <c r="D5" s="1">
        <v>1130</v>
      </c>
      <c r="E5" s="6">
        <v>0.54</v>
      </c>
      <c r="F5" s="9">
        <f t="shared" ref="F5:F14" si="0">E5/(D5*10^-6)</f>
        <v>477.87610619469035</v>
      </c>
      <c r="G5" s="9">
        <f t="shared" ref="G5:G14" si="1">LN(F5)</f>
        <v>6.1693515068340714</v>
      </c>
      <c r="H5" s="9">
        <f t="shared" ref="H5:H14" si="2">1000/C5</f>
        <v>3.3333333333333335</v>
      </c>
    </row>
    <row r="6" spans="2:8" x14ac:dyDescent="0.25">
      <c r="B6" s="1">
        <v>3</v>
      </c>
      <c r="C6" s="1">
        <v>310</v>
      </c>
      <c r="D6" s="1">
        <v>1350</v>
      </c>
      <c r="E6" s="6">
        <v>0.41199999999999998</v>
      </c>
      <c r="F6" s="9">
        <f t="shared" si="0"/>
        <v>305.18518518518522</v>
      </c>
      <c r="G6" s="9">
        <f t="shared" si="1"/>
        <v>5.7209187568991888</v>
      </c>
      <c r="H6" s="9">
        <f t="shared" si="2"/>
        <v>3.225806451612903</v>
      </c>
    </row>
    <row r="7" spans="2:8" x14ac:dyDescent="0.25">
      <c r="B7" s="1">
        <v>4</v>
      </c>
      <c r="C7" s="1">
        <v>320</v>
      </c>
      <c r="D7" s="1">
        <v>1510</v>
      </c>
      <c r="E7" s="6">
        <v>0.308</v>
      </c>
      <c r="F7" s="9">
        <f t="shared" si="0"/>
        <v>203.97350993377486</v>
      </c>
      <c r="G7" s="9">
        <f t="shared" si="1"/>
        <v>5.3179901321467415</v>
      </c>
      <c r="H7" s="9">
        <f t="shared" si="2"/>
        <v>3.125</v>
      </c>
    </row>
    <row r="8" spans="2:8" x14ac:dyDescent="0.25">
      <c r="B8" s="1">
        <v>5</v>
      </c>
      <c r="C8" s="1">
        <v>330</v>
      </c>
      <c r="D8" s="1">
        <v>1643</v>
      </c>
      <c r="E8" s="6">
        <v>0.22</v>
      </c>
      <c r="F8" s="9">
        <f t="shared" si="0"/>
        <v>133.90139987827146</v>
      </c>
      <c r="G8" s="9">
        <f t="shared" si="1"/>
        <v>4.897103707297231</v>
      </c>
      <c r="H8" s="9">
        <f t="shared" si="2"/>
        <v>3.0303030303030303</v>
      </c>
    </row>
    <row r="9" spans="2:8" x14ac:dyDescent="0.25">
      <c r="B9" s="1">
        <v>6</v>
      </c>
      <c r="C9" s="1">
        <v>340</v>
      </c>
      <c r="D9" s="1">
        <v>1742</v>
      </c>
      <c r="E9" s="6">
        <v>0.158</v>
      </c>
      <c r="F9" s="9">
        <f t="shared" si="0"/>
        <v>90.700344431687725</v>
      </c>
      <c r="G9" s="9">
        <f t="shared" si="1"/>
        <v>4.5075611545966563</v>
      </c>
      <c r="H9" s="9">
        <f t="shared" si="2"/>
        <v>2.9411764705882355</v>
      </c>
    </row>
    <row r="10" spans="2:8" x14ac:dyDescent="0.25">
      <c r="B10" s="1">
        <v>7</v>
      </c>
      <c r="C10" s="1">
        <v>350</v>
      </c>
      <c r="D10" s="1">
        <v>1806</v>
      </c>
      <c r="E10" s="6">
        <v>0.115</v>
      </c>
      <c r="F10" s="9">
        <f t="shared" si="0"/>
        <v>63.676633444075314</v>
      </c>
      <c r="G10" s="9">
        <f t="shared" si="1"/>
        <v>4.1538176733684562</v>
      </c>
      <c r="H10" s="9">
        <f t="shared" si="2"/>
        <v>2.8571428571428572</v>
      </c>
    </row>
    <row r="11" spans="2:8" x14ac:dyDescent="0.25">
      <c r="B11" s="1">
        <v>8</v>
      </c>
      <c r="C11" s="1">
        <v>360</v>
      </c>
      <c r="D11" s="1">
        <v>1854</v>
      </c>
      <c r="E11" s="6">
        <v>8.4000000000000005E-2</v>
      </c>
      <c r="F11" s="9">
        <f t="shared" si="0"/>
        <v>45.307443365695796</v>
      </c>
      <c r="G11" s="9">
        <f t="shared" si="1"/>
        <v>3.8134713316996502</v>
      </c>
      <c r="H11" s="9">
        <f t="shared" si="2"/>
        <v>2.7777777777777777</v>
      </c>
    </row>
    <row r="12" spans="2:8" x14ac:dyDescent="0.25">
      <c r="B12" s="1">
        <v>9</v>
      </c>
      <c r="C12" s="1">
        <v>370</v>
      </c>
      <c r="D12" s="1">
        <v>1888</v>
      </c>
      <c r="E12" s="6">
        <v>6.0999999999999999E-2</v>
      </c>
      <c r="F12" s="9">
        <f t="shared" si="0"/>
        <v>32.309322033898304</v>
      </c>
      <c r="G12" s="9">
        <f t="shared" si="1"/>
        <v>3.4753557964500024</v>
      </c>
      <c r="H12" s="9">
        <f t="shared" si="2"/>
        <v>2.7027027027027026</v>
      </c>
    </row>
    <row r="13" spans="2:8" x14ac:dyDescent="0.25">
      <c r="B13" s="1">
        <v>10</v>
      </c>
      <c r="C13" s="1">
        <v>380</v>
      </c>
      <c r="D13" s="1">
        <v>1912</v>
      </c>
      <c r="E13" s="6">
        <v>4.5999999999999999E-2</v>
      </c>
      <c r="F13" s="9">
        <f t="shared" si="0"/>
        <v>24.058577405857744</v>
      </c>
      <c r="G13" s="9">
        <f t="shared" si="1"/>
        <v>3.1804915818598856</v>
      </c>
      <c r="H13" s="9">
        <f t="shared" si="2"/>
        <v>2.6315789473684212</v>
      </c>
    </row>
    <row r="14" spans="2:8" x14ac:dyDescent="0.25">
      <c r="B14" s="1">
        <v>11</v>
      </c>
      <c r="C14" s="1">
        <v>390</v>
      </c>
      <c r="D14" s="1">
        <v>1927</v>
      </c>
      <c r="E14" s="6">
        <v>3.5999999999999997E-2</v>
      </c>
      <c r="F14" s="9">
        <f t="shared" si="0"/>
        <v>18.681888946549041</v>
      </c>
      <c r="G14" s="9">
        <f t="shared" si="1"/>
        <v>2.9275545490238808</v>
      </c>
      <c r="H14" s="9">
        <f t="shared" si="2"/>
        <v>2.5641025641025643</v>
      </c>
    </row>
    <row r="17" spans="3:16" ht="30" x14ac:dyDescent="0.25">
      <c r="C17" s="11" t="s">
        <v>16</v>
      </c>
      <c r="D17" s="11" t="s">
        <v>29</v>
      </c>
      <c r="E17" s="11" t="s">
        <v>28</v>
      </c>
      <c r="F17" s="11" t="s">
        <v>30</v>
      </c>
      <c r="G17" s="11" t="s">
        <v>17</v>
      </c>
      <c r="H17" s="11" t="s">
        <v>18</v>
      </c>
      <c r="I17" s="11" t="s">
        <v>19</v>
      </c>
      <c r="J17" s="11" t="s">
        <v>20</v>
      </c>
      <c r="K17" s="11" t="s">
        <v>21</v>
      </c>
      <c r="L17" s="11" t="s">
        <v>22</v>
      </c>
      <c r="M17" s="11" t="s">
        <v>23</v>
      </c>
      <c r="N17" s="12" t="s">
        <v>24</v>
      </c>
      <c r="O17" s="12" t="s">
        <v>25</v>
      </c>
      <c r="P17" s="12" t="s">
        <v>26</v>
      </c>
    </row>
    <row r="18" spans="3:16" x14ac:dyDescent="0.25">
      <c r="C18" s="13">
        <v>1.6</v>
      </c>
      <c r="D18" s="1">
        <f t="shared" ref="D18:D23" si="3">2*1.380649*10^(-23)*LN(F4/F9)*C9*C4/(C9-C4)</f>
        <v>1.164158603754816E-19</v>
      </c>
      <c r="E18" s="24">
        <f>2*8.61733*10^(-5)*C4*C9*LN(F4/F9)/(C9-C4)</f>
        <v>0.72661037388173888</v>
      </c>
      <c r="F18" s="15">
        <f>AVERAGE(D18:D23)</f>
        <v>1.1765350373721887E-19</v>
      </c>
      <c r="G18" s="29">
        <f>AVERAGE(E18:E23)</f>
        <v>0.73433513323071142</v>
      </c>
      <c r="H18" s="14">
        <f>(D18-$F$18)^2</f>
        <v>1.5317610908523141E-42</v>
      </c>
      <c r="I18" s="25">
        <f>(E18-$G$18)^2</f>
        <v>5.9671906999538705E-5</v>
      </c>
      <c r="J18" s="16">
        <f>SQRT(SUM(H18:H23)/30)</f>
        <v>7.1823267579613197E-22</v>
      </c>
      <c r="K18" s="26">
        <f>SQRT(SUM(I18:I23)/30)</f>
        <v>4.4828540665428065E-3</v>
      </c>
      <c r="L18" s="16">
        <f>2.57*J18</f>
        <v>1.8458579767960592E-21</v>
      </c>
      <c r="M18" s="27">
        <f>2.57*K18</f>
        <v>1.1520934951015012E-2</v>
      </c>
      <c r="N18" s="16">
        <f>L18</f>
        <v>1.8458579767960592E-21</v>
      </c>
      <c r="O18" s="27">
        <f>M18</f>
        <v>1.1520934951015012E-2</v>
      </c>
      <c r="P18" s="29">
        <f>N18*100/F18</f>
        <v>1.5688933335286086</v>
      </c>
    </row>
    <row r="19" spans="3:16" x14ac:dyDescent="0.25">
      <c r="C19" s="13">
        <v>2.7</v>
      </c>
      <c r="D19" s="1">
        <f t="shared" si="3"/>
        <v>1.1687528040889963E-19</v>
      </c>
      <c r="E19" s="24">
        <f t="shared" ref="E19:E23" si="4">2*8.61733*10^(-5)*C5*C10*LN(F5/F10)/(C10-C5)</f>
        <v>0.72947784710380636</v>
      </c>
      <c r="F19" s="15"/>
      <c r="G19" s="29"/>
      <c r="H19" s="14">
        <f t="shared" ref="H19:H23" si="5">(D19-$F$18)^2</f>
        <v>6.0563154874027335E-43</v>
      </c>
      <c r="I19" s="25">
        <f t="shared" ref="I19:I23" si="6">(E19-$G$18)^2</f>
        <v>2.3593228518624341E-5</v>
      </c>
      <c r="J19" s="16"/>
      <c r="K19" s="26"/>
      <c r="L19" s="16"/>
      <c r="M19" s="27"/>
      <c r="N19" s="16"/>
      <c r="O19" s="27"/>
      <c r="P19" s="29"/>
    </row>
    <row r="20" spans="3:16" x14ac:dyDescent="0.25">
      <c r="C20" s="13">
        <v>3.8</v>
      </c>
      <c r="D20" s="1">
        <f t="shared" si="3"/>
        <v>1.1756012657008872E-19</v>
      </c>
      <c r="E20" s="24">
        <f t="shared" si="4"/>
        <v>0.73375231901534921</v>
      </c>
      <c r="F20" s="15"/>
      <c r="G20" s="29"/>
      <c r="H20" s="14">
        <f t="shared" si="5"/>
        <v>8.7192953412516266E-45</v>
      </c>
      <c r="I20" s="25">
        <f t="shared" si="6"/>
        <v>3.3967240962827449E-7</v>
      </c>
      <c r="J20" s="16"/>
      <c r="K20" s="26"/>
      <c r="L20" s="16"/>
      <c r="M20" s="27"/>
      <c r="N20" s="16"/>
      <c r="O20" s="27"/>
      <c r="P20" s="29"/>
    </row>
    <row r="21" spans="3:16" x14ac:dyDescent="0.25">
      <c r="C21" s="13">
        <v>4.9000000000000004</v>
      </c>
      <c r="D21" s="1">
        <f t="shared" si="3"/>
        <v>1.2048532013949261E-19</v>
      </c>
      <c r="E21" s="24">
        <f t="shared" si="4"/>
        <v>0.75200993431180119</v>
      </c>
      <c r="F21" s="15"/>
      <c r="G21" s="29"/>
      <c r="H21" s="14">
        <f t="shared" si="5"/>
        <v>8.0191841361866294E-42</v>
      </c>
      <c r="I21" s="25">
        <f t="shared" si="6"/>
        <v>3.123985932560919E-4</v>
      </c>
      <c r="J21" s="16"/>
      <c r="K21" s="26"/>
      <c r="L21" s="16"/>
      <c r="M21" s="27"/>
      <c r="N21" s="16"/>
      <c r="O21" s="27"/>
      <c r="P21" s="29"/>
    </row>
    <row r="22" spans="3:16" x14ac:dyDescent="0.25">
      <c r="C22" s="17">
        <v>5.0999999999999996</v>
      </c>
      <c r="D22" s="1">
        <f t="shared" si="3"/>
        <v>1.1888114692894695E-19</v>
      </c>
      <c r="E22" s="24">
        <f t="shared" si="4"/>
        <v>0.7419974764514532</v>
      </c>
      <c r="F22" s="15"/>
      <c r="G22" s="29"/>
      <c r="H22" s="14">
        <f t="shared" si="5"/>
        <v>1.5071078061963054E-42</v>
      </c>
      <c r="I22" s="25">
        <f t="shared" si="6"/>
        <v>5.8711503632447426E-5</v>
      </c>
      <c r="J22" s="16"/>
      <c r="K22" s="26"/>
      <c r="L22" s="16"/>
      <c r="M22" s="27"/>
      <c r="N22" s="16"/>
      <c r="O22" s="27"/>
      <c r="P22" s="29"/>
    </row>
    <row r="23" spans="3:16" x14ac:dyDescent="0.25">
      <c r="C23" s="13">
        <v>6.11</v>
      </c>
      <c r="D23" s="1">
        <f t="shared" si="3"/>
        <v>1.1570328800040374E-19</v>
      </c>
      <c r="E23" s="24">
        <f t="shared" si="4"/>
        <v>0.72216284862011959</v>
      </c>
      <c r="F23" s="15"/>
      <c r="G23" s="29"/>
      <c r="H23" s="14">
        <f t="shared" si="5"/>
        <v>3.8033414201213741E-42</v>
      </c>
      <c r="I23" s="25">
        <f t="shared" si="6"/>
        <v>1.4816451264125077E-4</v>
      </c>
      <c r="J23" s="16"/>
      <c r="K23" s="26"/>
      <c r="L23" s="16"/>
      <c r="M23" s="27"/>
      <c r="N23" s="16"/>
      <c r="O23" s="27"/>
      <c r="P23" s="29"/>
    </row>
    <row r="25" spans="3:16" x14ac:dyDescent="0.25">
      <c r="C25" s="23" t="s">
        <v>31</v>
      </c>
      <c r="D25" s="23"/>
      <c r="E25" s="22" t="s">
        <v>32</v>
      </c>
      <c r="P25" s="30">
        <f>M18*100/G18</f>
        <v>1.5688933335286024</v>
      </c>
    </row>
    <row r="26" spans="3:16" x14ac:dyDescent="0.25">
      <c r="H26" s="28">
        <f>SUM(H18:H23)</f>
        <v>1.5475745297438148E-41</v>
      </c>
    </row>
  </sheetData>
  <mergeCells count="11">
    <mergeCell ref="C25:D25"/>
    <mergeCell ref="L18:L23"/>
    <mergeCell ref="M18:M23"/>
    <mergeCell ref="N18:N23"/>
    <mergeCell ref="O18:O23"/>
    <mergeCell ref="P18:P23"/>
    <mergeCell ref="B2:H2"/>
    <mergeCell ref="F18:F23"/>
    <mergeCell ref="G18:G23"/>
    <mergeCell ref="J18:J23"/>
    <mergeCell ref="K18:K2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Металлич образец</vt:lpstr>
      <vt:lpstr>Полупроводник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</dc:creator>
  <cp:lastModifiedBy>Edna</cp:lastModifiedBy>
  <dcterms:created xsi:type="dcterms:W3CDTF">2020-04-20T15:08:10Z</dcterms:created>
  <dcterms:modified xsi:type="dcterms:W3CDTF">2020-04-21T08:37:18Z</dcterms:modified>
</cp:coreProperties>
</file>