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iwi/Desktop/"/>
    </mc:Choice>
  </mc:AlternateContent>
  <xr:revisionPtr revIDLastSave="0" documentId="13_ncr:1_{385ACB89-628E-D042-A42E-FE07190FB8F3}" xr6:coauthVersionLast="36" xr6:coauthVersionMax="36" xr10:uidLastSave="{00000000-0000-0000-0000-000000000000}"/>
  <bookViews>
    <workbookView xWindow="17140" yWindow="1120" windowWidth="34840" windowHeight="26420" tabRatio="500" xr2:uid="{00000000-000D-0000-FFFF-FFFF00000000}"/>
  </bookViews>
  <sheets>
    <sheet name="Sheet1" sheetId="1" r:id="rId1"/>
  </sheets>
  <definedNames>
    <definedName name="_xlnm.Print_Area" localSheetId="0">Sheet1!$A$1:$Y$152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9" i="1" l="1"/>
  <c r="L83" i="1"/>
  <c r="L85" i="1" s="1"/>
  <c r="U101" i="1"/>
  <c r="L76" i="1"/>
  <c r="L81" i="1" s="1"/>
  <c r="R81" i="1" s="1"/>
  <c r="Q95" i="1"/>
  <c r="U94" i="1" s="1"/>
  <c r="L130" i="1"/>
  <c r="Q126" i="1"/>
  <c r="S126" i="1" s="1"/>
  <c r="U122" i="1"/>
  <c r="U120" i="1"/>
  <c r="L124" i="1" s="1"/>
  <c r="L120" i="1"/>
  <c r="Q100" i="1"/>
  <c r="P23" i="1"/>
  <c r="P25" i="1" s="1"/>
  <c r="P22" i="1"/>
  <c r="P26" i="1" s="1"/>
  <c r="J16" i="1"/>
  <c r="L16" i="1" s="1"/>
  <c r="M105" i="1" l="1"/>
  <c r="L113" i="1" s="1"/>
  <c r="R132" i="1" s="1"/>
  <c r="M140" i="1" s="1"/>
  <c r="M145" i="1" s="1"/>
  <c r="M148" i="1" s="1"/>
  <c r="S148" i="1" s="1"/>
  <c r="N25" i="1"/>
  <c r="M142" i="1" l="1"/>
  <c r="S142" i="1" s="1"/>
  <c r="M134" i="1"/>
  <c r="R136" i="1" s="1"/>
</calcChain>
</file>

<file path=xl/sharedStrings.xml><?xml version="1.0" encoding="utf-8"?>
<sst xmlns="http://schemas.openxmlformats.org/spreadsheetml/2006/main" count="113" uniqueCount="85">
  <si>
    <t>Watts</t>
  </si>
  <si>
    <t>Q</t>
  </si>
  <si>
    <t>Heat Flux in BTU / watt-Hr</t>
  </si>
  <si>
    <t xml:space="preserve">coverting </t>
  </si>
  <si>
    <t>BTU : 1 Watt/HR</t>
  </si>
  <si>
    <t>* 3.41 =</t>
  </si>
  <si>
    <t>BTU/Hr</t>
  </si>
  <si>
    <t xml:space="preserve">Input values in tan boxes only </t>
  </si>
  <si>
    <t xml:space="preserve">equation to solve: </t>
  </si>
  <si>
    <t>Ti - Te = Q * Rt</t>
  </si>
  <si>
    <t>= Q</t>
  </si>
  <si>
    <t xml:space="preserve">Ti = Temp Internal  </t>
  </si>
  <si>
    <t xml:space="preserve">Te = Temp External </t>
  </si>
  <si>
    <t xml:space="preserve">Ti = </t>
  </si>
  <si>
    <t>Te =</t>
  </si>
  <si>
    <t>C          =</t>
  </si>
  <si>
    <t>F</t>
  </si>
  <si>
    <t xml:space="preserve">ΔT = Ti - Te </t>
  </si>
  <si>
    <t xml:space="preserve">ΔT = </t>
  </si>
  <si>
    <t>-</t>
  </si>
  <si>
    <t xml:space="preserve">resistor network calcs: </t>
  </si>
  <si>
    <t>Assume we will need 2 bolts for securing the internal heat sink.</t>
  </si>
  <si>
    <t xml:space="preserve">The image below shows equivalent thermal resistor values for each </t>
  </si>
  <si>
    <t xml:space="preserve">interface and each material path. </t>
  </si>
  <si>
    <t xml:space="preserve">R = L / (k*A) </t>
  </si>
  <si>
    <t>R5 = R9  and R6 = R10</t>
  </si>
  <si>
    <t>Area of R5 = exposed length of rod * perimeter in ft2</t>
  </si>
  <si>
    <t>Length of rod in inches =</t>
  </si>
  <si>
    <t>=</t>
  </si>
  <si>
    <t>ft</t>
  </si>
  <si>
    <t>inches</t>
  </si>
  <si>
    <t>Diameter of rod in inches =</t>
  </si>
  <si>
    <t xml:space="preserve"> perimeter of rod =</t>
  </si>
  <si>
    <t>R5 =</t>
  </si>
  <si>
    <t>Area of rod end =</t>
  </si>
  <si>
    <t xml:space="preserve">R6 = </t>
  </si>
  <si>
    <t xml:space="preserve">R56 = </t>
  </si>
  <si>
    <t>=  R910</t>
  </si>
  <si>
    <t xml:space="preserve">Continuing on with our reduction refer to diagram Network 3:  </t>
  </si>
  <si>
    <t xml:space="preserve">Again  R3 = R7 and R4 = R8 </t>
  </si>
  <si>
    <t xml:space="preserve">R4 is the entire rod length now so it must be longer than the above calculation: </t>
  </si>
  <si>
    <t>R4 =</t>
  </si>
  <si>
    <t xml:space="preserve">R3 is a little more involved since it has a surface interface in the aluminum heat sink: </t>
  </si>
  <si>
    <t>The heat sink thickness is =</t>
  </si>
  <si>
    <t>k = .346</t>
  </si>
  <si>
    <t>These are pushing heat into the water with a</t>
  </si>
  <si>
    <t>k = 26</t>
  </si>
  <si>
    <t>These are pushing heat into the copper nickel with a</t>
  </si>
  <si>
    <t>and the same perimeter as for R5</t>
  </si>
  <si>
    <t>R3 =</t>
  </si>
  <si>
    <t>= R7</t>
  </si>
  <si>
    <t>= R8</t>
  </si>
  <si>
    <t>assume thermal thickness is .005</t>
  </si>
  <si>
    <t>We further reduce the network of resistors by the formula to the left</t>
  </si>
  <si>
    <t>R3456 =</t>
  </si>
  <si>
    <t>= R78910</t>
  </si>
  <si>
    <t>&gt;&gt;&gt;&gt;&gt;&gt;</t>
  </si>
  <si>
    <t xml:space="preserve">Further reducing the R3456 adnd R78910 into an equivalent thermal resistor we get: </t>
  </si>
  <si>
    <t xml:space="preserve">R grp1 = </t>
  </si>
  <si>
    <t>The heat sink is R2 and made of Aluminum with a k = 118.53</t>
  </si>
  <si>
    <t>L we will estimate as being slightly longer than half the Vicor and 1/2 the rod diameter ~  3 inch</t>
  </si>
  <si>
    <t xml:space="preserve">L = </t>
  </si>
  <si>
    <t>A is the width of the heat sink times the thickness</t>
  </si>
  <si>
    <t xml:space="preserve">  Width =</t>
  </si>
  <si>
    <t>Thk =</t>
  </si>
  <si>
    <t>R2 =</t>
  </si>
  <si>
    <t>The Vicor base is the area of R1 for the calc =</t>
  </si>
  <si>
    <t>sq in</t>
  </si>
  <si>
    <t>Sq ft</t>
  </si>
  <si>
    <t>[BTU/ HR F] ^ -1</t>
  </si>
  <si>
    <t>We'll say the thermal grease is the limiting thermal coefficient  k = .381</t>
  </si>
  <si>
    <t>R1 =</t>
  </si>
  <si>
    <t>R total =</t>
  </si>
  <si>
    <t xml:space="preserve"> R1 + R2 + Rgrp1 </t>
  </si>
  <si>
    <t xml:space="preserve">R total = </t>
  </si>
  <si>
    <t xml:space="preserve">Back to our original equation:  </t>
  </si>
  <si>
    <t>Maximum</t>
  </si>
  <si>
    <t xml:space="preserve">Delta T = Q * Rt = </t>
  </si>
  <si>
    <t xml:space="preserve">This must be a positive number to work properly: </t>
  </si>
  <si>
    <t xml:space="preserve">Delta Max - Delta T = </t>
  </si>
  <si>
    <t>Red = Bad      Green = Good</t>
  </si>
  <si>
    <t xml:space="preserve">If we doubled the number of rods again:  </t>
  </si>
  <si>
    <t xml:space="preserve">R new = </t>
  </si>
  <si>
    <t>now 6 rods:</t>
  </si>
  <si>
    <t>Thermal Analysis Spreadsheet for a Heat Sink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</si>
</sst>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6"/>
      <color theme="1"/>
      <name val="Calibri"/>
      <scheme val="minor"/>
    </font>
    <font>
      <b/>
      <sz val="20"/>
      <color theme="1"/>
      <name val="Calibri"/>
      <scheme val="minor"/>
    </font>
    <font>
      <sz val="1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6"/>
      <color theme="1"/>
      <name val="Calibri"/>
      <scheme val="minor"/>
    </font>
    <font>
      <b/>
      <i/>
      <sz val="12"/>
      <color theme="1"/>
      <name val="Calibri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1" fillId="3" borderId="0" xfId="0" applyFont="1" applyFill="1"/>
    <xf numFmtId="0" fontId="3" fillId="2" borderId="0" xfId="0" applyFont="1" applyFill="1"/>
    <xf numFmtId="0" fontId="3" fillId="3" borderId="0" xfId="0" applyFont="1" applyFill="1"/>
    <xf numFmtId="0" fontId="3" fillId="2" borderId="0" xfId="0" applyFont="1" applyFill="1" applyAlignment="1">
      <alignment horizontal="right"/>
    </xf>
    <xf numFmtId="0" fontId="3" fillId="2" borderId="0" xfId="0" quotePrefix="1" applyFont="1" applyFill="1"/>
    <xf numFmtId="0" fontId="3" fillId="4" borderId="0" xfId="0" applyFont="1" applyFill="1"/>
    <xf numFmtId="0" fontId="6" fillId="3" borderId="0" xfId="0" applyFont="1" applyFill="1"/>
    <xf numFmtId="0" fontId="7" fillId="3" borderId="0" xfId="0" applyFont="1" applyFill="1"/>
    <xf numFmtId="0" fontId="3" fillId="2" borderId="1" xfId="0" applyFont="1" applyFill="1" applyBorder="1"/>
    <xf numFmtId="0" fontId="3" fillId="2" borderId="1" xfId="0" quotePrefix="1" applyFont="1" applyFill="1" applyBorder="1"/>
    <xf numFmtId="0" fontId="3" fillId="2" borderId="0" xfId="0" applyFont="1" applyFill="1" applyBorder="1"/>
    <xf numFmtId="0" fontId="3" fillId="2" borderId="0" xfId="0" applyFont="1" applyFill="1" applyAlignment="1">
      <alignment horizontal="left"/>
    </xf>
    <xf numFmtId="0" fontId="3" fillId="5" borderId="0" xfId="0" applyFont="1" applyFill="1"/>
    <xf numFmtId="0" fontId="1" fillId="4" borderId="0" xfId="0" applyFont="1" applyFill="1"/>
    <xf numFmtId="0" fontId="3" fillId="6" borderId="0" xfId="0" applyFont="1" applyFill="1"/>
    <xf numFmtId="0" fontId="3" fillId="2" borderId="0" xfId="0" quotePrefix="1" applyFont="1" applyFill="1" applyAlignment="1">
      <alignment horizontal="right"/>
    </xf>
    <xf numFmtId="0" fontId="0" fillId="2" borderId="0" xfId="0" applyFill="1" applyAlignment="1">
      <alignment horizontal="right"/>
    </xf>
    <xf numFmtId="0" fontId="3" fillId="5" borderId="1" xfId="0" applyFont="1" applyFill="1" applyBorder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5" Type="http://schemas.openxmlformats.org/officeDocument/2006/relationships/image" Target="../media/image5.jpg"/><Relationship Id="rId4" Type="http://schemas.openxmlformats.org/officeDocument/2006/relationships/image" Target="../media/image4.jpg"/><Relationship Id="rId9" Type="http://schemas.openxmlformats.org/officeDocument/2006/relationships/image" Target="../media/image9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5</xdr:row>
      <xdr:rowOff>152400</xdr:rowOff>
    </xdr:from>
    <xdr:to>
      <xdr:col>7</xdr:col>
      <xdr:colOff>63500</xdr:colOff>
      <xdr:row>22</xdr:row>
      <xdr:rowOff>163182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1574800"/>
          <a:ext cx="5753100" cy="46843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266700</xdr:rowOff>
    </xdr:from>
    <xdr:to>
      <xdr:col>7</xdr:col>
      <xdr:colOff>584200</xdr:colOff>
      <xdr:row>39</xdr:row>
      <xdr:rowOff>123103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680200"/>
          <a:ext cx="6362700" cy="4936403"/>
        </a:xfrm>
        <a:prstGeom prst="rect">
          <a:avLst/>
        </a:prstGeom>
      </xdr:spPr>
    </xdr:pic>
    <xdr:clientData/>
  </xdr:twoCellAnchor>
  <xdr:twoCellAnchor editAs="oneCell">
    <xdr:from>
      <xdr:col>18</xdr:col>
      <xdr:colOff>304800</xdr:colOff>
      <xdr:row>0</xdr:row>
      <xdr:rowOff>457200</xdr:rowOff>
    </xdr:from>
    <xdr:to>
      <xdr:col>23</xdr:col>
      <xdr:colOff>622300</xdr:colOff>
      <xdr:row>18</xdr:row>
      <xdr:rowOff>35514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163800" y="457200"/>
          <a:ext cx="4445000" cy="4404314"/>
        </a:xfrm>
        <a:prstGeom prst="rect">
          <a:avLst/>
        </a:prstGeom>
      </xdr:spPr>
    </xdr:pic>
    <xdr:clientData/>
  </xdr:twoCellAnchor>
  <xdr:twoCellAnchor editAs="oneCell">
    <xdr:from>
      <xdr:col>17</xdr:col>
      <xdr:colOff>546100</xdr:colOff>
      <xdr:row>19</xdr:row>
      <xdr:rowOff>212526</xdr:rowOff>
    </xdr:from>
    <xdr:to>
      <xdr:col>24</xdr:col>
      <xdr:colOff>741096</xdr:colOff>
      <xdr:row>37</xdr:row>
      <xdr:rowOff>215900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579600" y="5356026"/>
          <a:ext cx="6024296" cy="5718374"/>
        </a:xfrm>
        <a:prstGeom prst="rect">
          <a:avLst/>
        </a:prstGeom>
      </xdr:spPr>
    </xdr:pic>
    <xdr:clientData/>
  </xdr:twoCellAnchor>
  <xdr:twoCellAnchor editAs="oneCell">
    <xdr:from>
      <xdr:col>6</xdr:col>
      <xdr:colOff>698500</xdr:colOff>
      <xdr:row>35</xdr:row>
      <xdr:rowOff>114300</xdr:rowOff>
    </xdr:from>
    <xdr:to>
      <xdr:col>18</xdr:col>
      <xdr:colOff>546100</xdr:colOff>
      <xdr:row>54</xdr:row>
      <xdr:rowOff>228600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651500" y="10337800"/>
          <a:ext cx="8572500" cy="6146800"/>
        </a:xfrm>
        <a:prstGeom prst="rect">
          <a:avLst/>
        </a:prstGeom>
      </xdr:spPr>
    </xdr:pic>
    <xdr:clientData/>
  </xdr:twoCellAnchor>
  <xdr:twoCellAnchor editAs="oneCell">
    <xdr:from>
      <xdr:col>1</xdr:col>
      <xdr:colOff>241300</xdr:colOff>
      <xdr:row>54</xdr:row>
      <xdr:rowOff>177800</xdr:rowOff>
    </xdr:from>
    <xdr:to>
      <xdr:col>11</xdr:col>
      <xdr:colOff>596900</xdr:colOff>
      <xdr:row>69</xdr:row>
      <xdr:rowOff>88900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66800" y="16433800"/>
          <a:ext cx="8610600" cy="4546600"/>
        </a:xfrm>
        <a:prstGeom prst="rect">
          <a:avLst/>
        </a:prstGeom>
      </xdr:spPr>
    </xdr:pic>
    <xdr:clientData/>
  </xdr:twoCellAnchor>
  <xdr:twoCellAnchor editAs="oneCell">
    <xdr:from>
      <xdr:col>12</xdr:col>
      <xdr:colOff>673100</xdr:colOff>
      <xdr:row>54</xdr:row>
      <xdr:rowOff>50800</xdr:rowOff>
    </xdr:from>
    <xdr:to>
      <xdr:col>24</xdr:col>
      <xdr:colOff>495300</xdr:colOff>
      <xdr:row>72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79100" y="16306800"/>
          <a:ext cx="8496300" cy="553720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571500</xdr:colOff>
      <xdr:row>85</xdr:row>
      <xdr:rowOff>266700</xdr:rowOff>
    </xdr:from>
    <xdr:to>
      <xdr:col>9</xdr:col>
      <xdr:colOff>38100</xdr:colOff>
      <xdr:row>103</xdr:row>
      <xdr:rowOff>165100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71500" y="26085800"/>
          <a:ext cx="6896100" cy="5613400"/>
        </a:xfrm>
        <a:prstGeom prst="rect">
          <a:avLst/>
        </a:prstGeom>
      </xdr:spPr>
    </xdr:pic>
    <xdr:clientData/>
  </xdr:twoCellAnchor>
  <xdr:twoCellAnchor editAs="oneCell">
    <xdr:from>
      <xdr:col>0</xdr:col>
      <xdr:colOff>558800</xdr:colOff>
      <xdr:row>109</xdr:row>
      <xdr:rowOff>25400</xdr:rowOff>
    </xdr:from>
    <xdr:to>
      <xdr:col>9</xdr:col>
      <xdr:colOff>25400</xdr:colOff>
      <xdr:row>119</xdr:row>
      <xdr:rowOff>114300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58800" y="33464500"/>
          <a:ext cx="6896100" cy="3263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148"/>
  <sheetViews>
    <sheetView tabSelected="1" workbookViewId="0"/>
  </sheetViews>
  <sheetFormatPr baseColWidth="10" defaultRowHeight="16" x14ac:dyDescent="0.2"/>
  <cols>
    <col min="1" max="11" width="10.83203125" style="1"/>
    <col min="12" max="12" width="11.5" style="1" bestFit="1" customWidth="1"/>
    <col min="13" max="13" width="10.83203125" style="1"/>
    <col min="14" max="14" width="6" style="1" customWidth="1"/>
    <col min="15" max="15" width="3.33203125" style="1" customWidth="1"/>
    <col min="16" max="16" width="6.33203125" style="1" customWidth="1"/>
    <col min="17" max="17" width="10.83203125" style="1"/>
    <col min="18" max="18" width="11.5" style="1" bestFit="1" customWidth="1"/>
    <col min="19" max="16384" width="10.83203125" style="1"/>
  </cols>
  <sheetData>
    <row r="1" spans="1:18" ht="52" customHeight="1" x14ac:dyDescent="0.3">
      <c r="A1" s="3" t="s">
        <v>84</v>
      </c>
      <c r="B1" s="3"/>
      <c r="C1" s="3"/>
    </row>
    <row r="7" spans="1:18" ht="28" customHeight="1" x14ac:dyDescent="0.25">
      <c r="I7" s="10" t="s">
        <v>7</v>
      </c>
      <c r="J7" s="10"/>
      <c r="K7" s="10"/>
      <c r="L7" s="11"/>
    </row>
    <row r="13" spans="1:18" ht="25" customHeight="1" x14ac:dyDescent="0.3">
      <c r="H13" s="5"/>
      <c r="I13" s="6">
        <v>150</v>
      </c>
      <c r="J13" s="5" t="s">
        <v>0</v>
      </c>
      <c r="K13" s="5"/>
      <c r="L13" s="5"/>
      <c r="M13" s="5"/>
      <c r="N13" s="5"/>
      <c r="O13" s="5"/>
      <c r="P13" s="5"/>
    </row>
    <row r="14" spans="1:18" ht="25" customHeight="1" x14ac:dyDescent="0.3">
      <c r="H14" s="5"/>
      <c r="I14" s="7" t="s">
        <v>1</v>
      </c>
      <c r="J14" s="5" t="s">
        <v>2</v>
      </c>
      <c r="K14" s="5"/>
      <c r="L14" s="5"/>
      <c r="M14" s="5"/>
      <c r="N14" s="5">
        <v>3.41</v>
      </c>
      <c r="O14" s="5" t="s">
        <v>4</v>
      </c>
      <c r="P14" s="5"/>
      <c r="Q14" s="2"/>
      <c r="R14" s="2"/>
    </row>
    <row r="15" spans="1:18" ht="25" customHeight="1" x14ac:dyDescent="0.3">
      <c r="H15" s="5"/>
      <c r="I15" s="5"/>
      <c r="J15" s="5"/>
      <c r="K15" s="5"/>
      <c r="L15" s="5"/>
      <c r="M15" s="5"/>
      <c r="N15" s="5"/>
      <c r="O15" s="5"/>
      <c r="P15" s="5"/>
      <c r="Q15" s="2"/>
      <c r="R15" s="2"/>
    </row>
    <row r="16" spans="1:18" ht="25" customHeight="1" x14ac:dyDescent="0.3">
      <c r="H16" s="5"/>
      <c r="I16" s="5" t="s">
        <v>3</v>
      </c>
      <c r="J16" s="5">
        <f>I13</f>
        <v>150</v>
      </c>
      <c r="K16" s="5" t="s">
        <v>5</v>
      </c>
      <c r="L16" s="21">
        <f>J16*3.41</f>
        <v>511.5</v>
      </c>
      <c r="M16" s="12" t="s">
        <v>6</v>
      </c>
      <c r="N16" s="13" t="s">
        <v>10</v>
      </c>
      <c r="O16" s="5"/>
      <c r="P16" s="5"/>
      <c r="Q16" s="2"/>
      <c r="R16" s="2"/>
    </row>
    <row r="17" spans="8:19" ht="25" customHeight="1" x14ac:dyDescent="0.3">
      <c r="H17" s="5"/>
      <c r="I17" s="5"/>
      <c r="J17" s="5"/>
      <c r="K17" s="5"/>
      <c r="L17" s="5"/>
      <c r="M17" s="5"/>
      <c r="N17" s="5"/>
      <c r="O17" s="5"/>
      <c r="P17" s="5"/>
      <c r="Q17" s="2"/>
      <c r="R17" s="2"/>
    </row>
    <row r="18" spans="8:19" ht="25" customHeight="1" x14ac:dyDescent="0.3">
      <c r="H18" s="5"/>
      <c r="I18" s="9" t="s">
        <v>8</v>
      </c>
      <c r="J18" s="9"/>
      <c r="K18" s="9"/>
      <c r="L18" s="9"/>
      <c r="M18" s="9"/>
      <c r="N18" s="9"/>
      <c r="O18" s="9"/>
      <c r="P18" s="9"/>
      <c r="Q18" s="17"/>
      <c r="R18" s="2"/>
    </row>
    <row r="19" spans="8:19" ht="25" customHeight="1" x14ac:dyDescent="0.25"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8:19" ht="25" customHeight="1" x14ac:dyDescent="0.3">
      <c r="H20" s="2"/>
      <c r="I20" s="2"/>
      <c r="J20" s="5" t="s">
        <v>9</v>
      </c>
      <c r="K20" s="2"/>
      <c r="L20" s="2"/>
      <c r="M20" s="2"/>
      <c r="N20" s="2"/>
      <c r="O20" s="2"/>
      <c r="P20" s="2"/>
      <c r="Q20" s="2"/>
      <c r="R20" s="2"/>
    </row>
    <row r="21" spans="8:19" ht="25" customHeight="1" x14ac:dyDescent="0.25"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8:19" ht="25" customHeight="1" x14ac:dyDescent="0.3">
      <c r="H22" s="2"/>
      <c r="I22" s="2"/>
      <c r="J22" s="5" t="s">
        <v>11</v>
      </c>
      <c r="K22" s="5"/>
      <c r="L22" s="5"/>
      <c r="M22" s="7" t="s">
        <v>13</v>
      </c>
      <c r="N22" s="4">
        <v>80</v>
      </c>
      <c r="O22" s="2" t="s">
        <v>15</v>
      </c>
      <c r="P22" s="2">
        <f>((N22*9)/5)+32</f>
        <v>176</v>
      </c>
      <c r="Q22" s="2" t="s">
        <v>16</v>
      </c>
      <c r="R22" s="2"/>
    </row>
    <row r="23" spans="8:19" ht="25" customHeight="1" x14ac:dyDescent="0.3">
      <c r="H23" s="2"/>
      <c r="I23" s="2"/>
      <c r="J23" s="5" t="s">
        <v>12</v>
      </c>
      <c r="K23" s="5"/>
      <c r="L23" s="5"/>
      <c r="M23" s="7" t="s">
        <v>14</v>
      </c>
      <c r="N23" s="4">
        <v>15</v>
      </c>
      <c r="O23" s="2" t="s">
        <v>15</v>
      </c>
      <c r="P23" s="2">
        <f>((N23*9)/5)+32</f>
        <v>59</v>
      </c>
      <c r="Q23" s="2" t="s">
        <v>16</v>
      </c>
      <c r="R23" s="2"/>
    </row>
    <row r="24" spans="8:19" ht="25" customHeight="1" x14ac:dyDescent="0.25"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8:19" ht="25" customHeight="1" x14ac:dyDescent="0.3">
      <c r="H25" s="5"/>
      <c r="I25" s="5"/>
      <c r="J25" s="5" t="s">
        <v>17</v>
      </c>
      <c r="K25" s="5"/>
      <c r="L25" s="5"/>
      <c r="M25" s="7" t="s">
        <v>18</v>
      </c>
      <c r="N25" s="5">
        <f>P22</f>
        <v>176</v>
      </c>
      <c r="O25" s="14" t="s">
        <v>19</v>
      </c>
      <c r="P25" s="15">
        <f>P23</f>
        <v>59</v>
      </c>
      <c r="Q25" s="5"/>
      <c r="R25" s="5"/>
      <c r="S25" s="5"/>
    </row>
    <row r="26" spans="8:19" ht="25" customHeight="1" x14ac:dyDescent="0.3">
      <c r="H26" s="5"/>
      <c r="I26" s="5"/>
      <c r="J26" s="5"/>
      <c r="K26" s="5"/>
      <c r="L26" s="5"/>
      <c r="M26" s="5" t="s">
        <v>76</v>
      </c>
      <c r="N26" s="7"/>
      <c r="O26" s="7" t="s">
        <v>18</v>
      </c>
      <c r="P26" s="9">
        <f>P22-P23</f>
        <v>117</v>
      </c>
      <c r="Q26" s="5" t="s">
        <v>16</v>
      </c>
      <c r="R26" s="5"/>
      <c r="S26" s="5"/>
    </row>
    <row r="27" spans="8:19" ht="25" customHeight="1" x14ac:dyDescent="0.3"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 spans="8:19" ht="25" customHeight="1" x14ac:dyDescent="0.3">
      <c r="H28" s="5"/>
      <c r="I28" s="16" t="s">
        <v>20</v>
      </c>
      <c r="J28" s="16"/>
      <c r="K28" s="16"/>
      <c r="L28" s="16"/>
      <c r="M28" s="16"/>
      <c r="N28" s="16"/>
      <c r="O28" s="16"/>
      <c r="P28" s="16"/>
      <c r="Q28" s="16"/>
      <c r="R28" s="5"/>
      <c r="S28" s="5"/>
    </row>
    <row r="29" spans="8:19" ht="25" customHeight="1" x14ac:dyDescent="0.3"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</row>
    <row r="30" spans="8:19" ht="25" customHeight="1" x14ac:dyDescent="0.3">
      <c r="H30" s="5"/>
      <c r="J30" s="5"/>
      <c r="K30" s="5" t="s">
        <v>24</v>
      </c>
      <c r="L30" s="5"/>
      <c r="M30" s="5" t="s">
        <v>69</v>
      </c>
      <c r="N30" s="5"/>
      <c r="O30" s="5"/>
      <c r="P30" s="5"/>
      <c r="Q30" s="5"/>
      <c r="R30" s="5"/>
      <c r="S30" s="5"/>
    </row>
    <row r="31" spans="8:19" ht="25" customHeight="1" x14ac:dyDescent="0.3"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</row>
    <row r="32" spans="8:19" ht="25" customHeight="1" x14ac:dyDescent="0.3">
      <c r="H32" s="5"/>
      <c r="I32" s="5" t="s">
        <v>21</v>
      </c>
      <c r="J32" s="5"/>
      <c r="K32" s="5"/>
      <c r="L32" s="5"/>
      <c r="M32" s="5"/>
      <c r="N32" s="5"/>
      <c r="O32" s="5"/>
      <c r="P32" s="5"/>
      <c r="Q32" s="5"/>
      <c r="R32" s="5"/>
      <c r="S32" s="5"/>
    </row>
    <row r="33" spans="8:19" ht="25" customHeight="1" x14ac:dyDescent="0.3">
      <c r="H33" s="5"/>
      <c r="I33" s="5" t="s">
        <v>22</v>
      </c>
      <c r="J33" s="5"/>
      <c r="K33" s="5"/>
      <c r="L33" s="5"/>
      <c r="M33" s="5"/>
      <c r="N33" s="5"/>
      <c r="O33" s="5"/>
      <c r="P33" s="5"/>
      <c r="Q33" s="5"/>
      <c r="R33" s="5"/>
      <c r="S33" s="5"/>
    </row>
    <row r="34" spans="8:19" ht="25" customHeight="1" x14ac:dyDescent="0.3">
      <c r="H34" s="5"/>
      <c r="I34" s="5" t="s">
        <v>23</v>
      </c>
      <c r="J34" s="5"/>
      <c r="K34" s="5"/>
      <c r="L34" s="5"/>
      <c r="M34" s="5"/>
      <c r="N34" s="5"/>
      <c r="O34" s="5"/>
      <c r="P34" s="5"/>
      <c r="Q34" s="5"/>
      <c r="R34" s="5"/>
      <c r="S34" s="5"/>
    </row>
    <row r="35" spans="8:19" ht="25" customHeight="1" x14ac:dyDescent="0.3"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</row>
    <row r="36" spans="8:19" ht="25" customHeight="1" x14ac:dyDescent="0.3"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</row>
    <row r="37" spans="8:19" ht="25" customHeight="1" x14ac:dyDescent="0.3"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</row>
    <row r="38" spans="8:19" ht="25" customHeight="1" x14ac:dyDescent="0.3"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</row>
    <row r="39" spans="8:19" ht="25" customHeight="1" x14ac:dyDescent="0.3"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</row>
    <row r="40" spans="8:19" ht="25" customHeight="1" x14ac:dyDescent="0.3"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</row>
    <row r="41" spans="8:19" ht="25" customHeight="1" x14ac:dyDescent="0.3"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</row>
    <row r="42" spans="8:19" ht="25" customHeight="1" x14ac:dyDescent="0.3"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</row>
    <row r="43" spans="8:19" ht="25" customHeight="1" x14ac:dyDescent="0.3"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</row>
    <row r="44" spans="8:19" ht="25" customHeight="1" x14ac:dyDescent="0.3"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</row>
    <row r="45" spans="8:19" ht="25" customHeight="1" x14ac:dyDescent="0.3"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</row>
    <row r="46" spans="8:19" ht="25" customHeight="1" x14ac:dyDescent="0.3"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</row>
    <row r="47" spans="8:19" ht="25" customHeight="1" x14ac:dyDescent="0.3"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</row>
    <row r="48" spans="8:19" ht="25" customHeight="1" x14ac:dyDescent="0.3"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</row>
    <row r="49" spans="8:19" ht="25" customHeight="1" x14ac:dyDescent="0.3"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</row>
    <row r="50" spans="8:19" ht="25" customHeight="1" x14ac:dyDescent="0.3"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</row>
    <row r="51" spans="8:19" ht="25" customHeight="1" x14ac:dyDescent="0.3"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</row>
    <row r="52" spans="8:19" ht="25" customHeight="1" x14ac:dyDescent="0.3"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</row>
    <row r="53" spans="8:19" ht="25" customHeight="1" x14ac:dyDescent="0.3"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</row>
    <row r="54" spans="8:19" ht="25" customHeight="1" x14ac:dyDescent="0.3"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</row>
    <row r="55" spans="8:19" ht="25" customHeight="1" x14ac:dyDescent="0.3"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</row>
    <row r="56" spans="8:19" ht="25" customHeight="1" x14ac:dyDescent="0.3"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</row>
    <row r="57" spans="8:19" ht="25" customHeight="1" x14ac:dyDescent="0.3"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</row>
    <row r="58" spans="8:19" ht="25" customHeight="1" x14ac:dyDescent="0.3"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</row>
    <row r="59" spans="8:19" ht="25" customHeight="1" x14ac:dyDescent="0.3"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</row>
    <row r="60" spans="8:19" ht="25" customHeight="1" x14ac:dyDescent="0.3"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</row>
    <row r="61" spans="8:19" ht="25" customHeight="1" x14ac:dyDescent="0.3"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</row>
    <row r="62" spans="8:19" ht="25" customHeight="1" x14ac:dyDescent="0.3"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</row>
    <row r="63" spans="8:19" ht="25" customHeight="1" x14ac:dyDescent="0.3"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</row>
    <row r="64" spans="8:19" ht="25" customHeight="1" x14ac:dyDescent="0.3"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</row>
    <row r="65" spans="1:27" ht="24" x14ac:dyDescent="0.3"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</row>
    <row r="66" spans="1:27" ht="24" x14ac:dyDescent="0.3"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</row>
    <row r="67" spans="1:27" ht="24" x14ac:dyDescent="0.3"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</row>
    <row r="68" spans="1:27" ht="24" x14ac:dyDescent="0.3"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</row>
    <row r="69" spans="1:27" ht="24" x14ac:dyDescent="0.3"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</row>
    <row r="70" spans="1:27" ht="24" x14ac:dyDescent="0.3"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</row>
    <row r="71" spans="1:27" ht="24" x14ac:dyDescent="0.3"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</row>
    <row r="72" spans="1:27" ht="24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ht="24" x14ac:dyDescent="0.3">
      <c r="A73" s="5"/>
      <c r="B73" s="5"/>
      <c r="C73" s="5" t="s">
        <v>25</v>
      </c>
      <c r="D73" s="5"/>
      <c r="E73" s="5"/>
      <c r="F73" s="5"/>
      <c r="G73" s="5" t="s">
        <v>26</v>
      </c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ht="24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ht="24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7" t="s">
        <v>27</v>
      </c>
      <c r="L75" s="18">
        <v>3</v>
      </c>
      <c r="M75" s="5" t="s">
        <v>30</v>
      </c>
      <c r="N75" s="5"/>
      <c r="O75" s="5"/>
      <c r="P75" s="5"/>
      <c r="Q75" s="5" t="s">
        <v>45</v>
      </c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ht="25" customHeight="1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19" t="s">
        <v>28</v>
      </c>
      <c r="L76" s="5">
        <f>L75/12</f>
        <v>0.25</v>
      </c>
      <c r="M76" s="5" t="s">
        <v>29</v>
      </c>
      <c r="N76" s="5"/>
      <c r="O76" s="5"/>
      <c r="P76" s="5"/>
      <c r="Q76" s="5" t="s">
        <v>44</v>
      </c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ht="25" customHeight="1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ht="25" customHeight="1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7" t="s">
        <v>31</v>
      </c>
      <c r="L78" s="18">
        <v>0.5</v>
      </c>
      <c r="M78" s="5" t="s">
        <v>30</v>
      </c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ht="25" customHeight="1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19" t="s">
        <v>32</v>
      </c>
      <c r="L79" s="5">
        <f>(L78/12)*3.1415</f>
        <v>0.13089583333333332</v>
      </c>
      <c r="M79" s="5" t="s">
        <v>29</v>
      </c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ht="25" customHeight="1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ht="25" customHeight="1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7" t="s">
        <v>33</v>
      </c>
      <c r="L81" s="16">
        <f xml:space="preserve"> (0.001/12)/(0.346*L79*L76)</f>
        <v>7.3599832192382617E-3</v>
      </c>
      <c r="M81" s="5"/>
      <c r="N81" s="5"/>
      <c r="O81" s="5"/>
      <c r="P81" s="5"/>
      <c r="Q81" s="7" t="s">
        <v>36</v>
      </c>
      <c r="R81" s="16">
        <f xml:space="preserve"> (L81*L85) / (L81+L85)</f>
        <v>7.065583890468732E-3</v>
      </c>
      <c r="S81" s="8" t="s">
        <v>37</v>
      </c>
      <c r="T81" s="5"/>
      <c r="U81" s="5"/>
      <c r="V81" s="5"/>
      <c r="W81" s="5"/>
      <c r="X81" s="5"/>
      <c r="Y81" s="5"/>
      <c r="Z81" s="5"/>
      <c r="AA81" s="5"/>
    </row>
    <row r="82" spans="1:27" ht="25" customHeight="1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7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ht="25" customHeight="1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7" t="s">
        <v>34</v>
      </c>
      <c r="L83" s="5">
        <f xml:space="preserve"> (((L78/12)/2)^2)*3.1415</f>
        <v>1.3634982638888889E-3</v>
      </c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ht="25" customHeight="1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ht="25" customHeight="1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7" t="s">
        <v>35</v>
      </c>
      <c r="L85" s="16">
        <f>(0.001/12)/(0.346*L83)</f>
        <v>0.17663959726171824</v>
      </c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ht="25" customHeight="1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ht="25" customHeight="1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ht="25" customHeight="1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 t="s">
        <v>38</v>
      </c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ht="25" customHeight="1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 t="s">
        <v>47</v>
      </c>
      <c r="V89" s="5"/>
      <c r="W89" s="5"/>
      <c r="X89" s="5"/>
      <c r="Y89" s="5"/>
      <c r="Z89" s="5"/>
      <c r="AA89" s="5"/>
    </row>
    <row r="90" spans="1:27" ht="25" customHeight="1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 t="s">
        <v>39</v>
      </c>
      <c r="M90" s="5"/>
      <c r="N90" s="5"/>
      <c r="O90" s="5"/>
      <c r="P90" s="5"/>
      <c r="Q90" s="5"/>
      <c r="R90" s="5"/>
      <c r="S90" s="5"/>
      <c r="T90" s="5"/>
      <c r="U90" s="5" t="s">
        <v>46</v>
      </c>
      <c r="V90" s="5"/>
      <c r="W90" s="5"/>
      <c r="X90" s="5"/>
      <c r="Y90" s="5"/>
      <c r="Z90" s="5"/>
      <c r="AA90" s="5"/>
    </row>
    <row r="91" spans="1:27" ht="25" customHeight="1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V91" s="5"/>
      <c r="W91" s="5"/>
      <c r="X91" s="5"/>
      <c r="Y91" s="5"/>
      <c r="Z91" s="5"/>
      <c r="AA91" s="5"/>
    </row>
    <row r="92" spans="1:27" ht="25" customHeight="1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 t="s">
        <v>40</v>
      </c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ht="25" customHeight="1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ht="25" customHeight="1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M94" s="5"/>
      <c r="N94" s="5"/>
      <c r="O94" s="5"/>
      <c r="P94" s="7" t="s">
        <v>27</v>
      </c>
      <c r="Q94" s="18">
        <v>5</v>
      </c>
      <c r="R94" s="5" t="s">
        <v>30</v>
      </c>
      <c r="S94" s="5"/>
      <c r="T94" s="7" t="s">
        <v>41</v>
      </c>
      <c r="U94" s="16">
        <f>Q95/(26*L79)</f>
        <v>0.12243049008925184</v>
      </c>
      <c r="V94" s="8" t="s">
        <v>51</v>
      </c>
      <c r="W94" s="5"/>
      <c r="X94" s="5"/>
      <c r="Y94" s="5"/>
      <c r="Z94" s="5"/>
      <c r="AA94" s="5"/>
    </row>
    <row r="95" spans="1:27" ht="25" customHeight="1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M95" s="5"/>
      <c r="N95" s="5"/>
      <c r="O95" s="5"/>
      <c r="P95" s="19" t="s">
        <v>28</v>
      </c>
      <c r="Q95" s="5">
        <f>Q94/12</f>
        <v>0.41666666666666669</v>
      </c>
      <c r="R95" s="5" t="s">
        <v>29</v>
      </c>
      <c r="S95" s="5"/>
      <c r="T95" s="5"/>
      <c r="U95" s="5"/>
      <c r="V95" s="5"/>
      <c r="W95" s="5"/>
      <c r="X95" s="5"/>
      <c r="Y95" s="5"/>
      <c r="Z95" s="5"/>
      <c r="AA95" s="5"/>
    </row>
    <row r="96" spans="1:27" ht="25" customHeight="1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ht="25" customHeight="1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L97" s="5" t="s">
        <v>42</v>
      </c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ht="25" customHeight="1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ht="25" customHeight="1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7" t="s">
        <v>43</v>
      </c>
      <c r="Q99" s="18">
        <v>0.5</v>
      </c>
      <c r="R99" s="5" t="s">
        <v>30</v>
      </c>
      <c r="S99" s="5" t="s">
        <v>48</v>
      </c>
      <c r="T99" s="5"/>
      <c r="U99" s="5"/>
      <c r="V99" s="5"/>
      <c r="W99" s="5"/>
      <c r="X99" s="5"/>
      <c r="Y99" s="5"/>
      <c r="Z99" s="5"/>
      <c r="AA99" s="5"/>
    </row>
    <row r="100" spans="1:27" ht="25" customHeight="1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19" t="s">
        <v>28</v>
      </c>
      <c r="Q100" s="5">
        <f>Q99/12</f>
        <v>4.1666666666666664E-2</v>
      </c>
      <c r="R100" s="5" t="s">
        <v>29</v>
      </c>
      <c r="S100" s="5"/>
      <c r="T100" s="5"/>
      <c r="U100" s="5"/>
      <c r="V100" s="5"/>
      <c r="W100" s="5"/>
      <c r="X100" s="5"/>
      <c r="Y100" s="5"/>
      <c r="Z100" s="5"/>
      <c r="AA100" s="5"/>
    </row>
    <row r="101" spans="1:27" ht="25" customHeight="1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 t="s">
        <v>52</v>
      </c>
      <c r="M101" s="5"/>
      <c r="N101" s="5"/>
      <c r="O101" s="5"/>
      <c r="P101" s="5"/>
      <c r="Q101" s="5"/>
      <c r="R101" s="5"/>
      <c r="S101" s="5"/>
      <c r="T101" s="7" t="s">
        <v>49</v>
      </c>
      <c r="U101" s="16">
        <f>(0.005/12)/(26 * Q100 *L79)</f>
        <v>2.9383317621420445E-3</v>
      </c>
      <c r="V101" s="8" t="s">
        <v>50</v>
      </c>
      <c r="W101" s="5"/>
      <c r="X101" s="5"/>
      <c r="Y101" s="5"/>
      <c r="Z101" s="5"/>
      <c r="AA101" s="5"/>
    </row>
    <row r="102" spans="1:27" ht="25" customHeight="1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ht="25" customHeight="1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 t="s">
        <v>53</v>
      </c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ht="25" customHeight="1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ht="25" customHeight="1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 t="s">
        <v>56</v>
      </c>
      <c r="K105" s="5"/>
      <c r="L105" s="7" t="s">
        <v>54</v>
      </c>
      <c r="M105" s="16">
        <f>(R81+U94+U101)</f>
        <v>0.1324344057418626</v>
      </c>
      <c r="N105" s="8" t="s">
        <v>55</v>
      </c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ht="25" customHeight="1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ht="25" customHeight="1" x14ac:dyDescent="0.3">
      <c r="A107" s="5"/>
      <c r="B107" s="5"/>
      <c r="C107" s="5"/>
      <c r="D107" s="5"/>
      <c r="E107" s="5"/>
      <c r="F107" s="5"/>
      <c r="G107" s="5"/>
      <c r="H107" s="5"/>
      <c r="I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ht="25" customHeight="1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ht="25" customHeight="1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ht="25" customHeight="1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ht="25" customHeight="1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 t="s">
        <v>57</v>
      </c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ht="25" customHeight="1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ht="25" customHeight="1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7" t="s">
        <v>58</v>
      </c>
      <c r="L113" s="16">
        <f xml:space="preserve"> (M105 * M105) / (M105 + M105)</f>
        <v>6.6217202870931302E-2</v>
      </c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ht="25" customHeight="1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ht="25" customHeight="1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 t="s">
        <v>59</v>
      </c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ht="25" customHeight="1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ht="25" customHeight="1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 t="s">
        <v>60</v>
      </c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ht="25" customHeight="1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ht="25" customHeight="1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7" t="s">
        <v>61</v>
      </c>
      <c r="L119" s="18">
        <v>3</v>
      </c>
      <c r="M119" s="5" t="s">
        <v>30</v>
      </c>
      <c r="N119" s="5"/>
      <c r="O119" s="5"/>
      <c r="P119" s="5" t="s">
        <v>62</v>
      </c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ht="25" customHeight="1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>
        <f>L119/12</f>
        <v>0.25</v>
      </c>
      <c r="M120" s="5" t="s">
        <v>29</v>
      </c>
      <c r="N120" s="5"/>
      <c r="O120" s="5"/>
      <c r="Q120" s="7" t="s">
        <v>63</v>
      </c>
      <c r="R120" s="18">
        <v>2.5</v>
      </c>
      <c r="S120" s="5" t="s">
        <v>30</v>
      </c>
      <c r="T120" s="19" t="s">
        <v>28</v>
      </c>
      <c r="U120" s="5">
        <f>R120/12</f>
        <v>0.20833333333333334</v>
      </c>
      <c r="V120" s="5" t="s">
        <v>29</v>
      </c>
      <c r="W120" s="5"/>
      <c r="X120" s="5"/>
      <c r="Y120" s="5"/>
      <c r="Z120" s="5"/>
      <c r="AA120" s="5"/>
    </row>
    <row r="121" spans="1:27" ht="25" customHeight="1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ht="25" customHeight="1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7" t="s">
        <v>64</v>
      </c>
      <c r="R122" s="18">
        <v>0.5</v>
      </c>
      <c r="S122" s="5" t="s">
        <v>30</v>
      </c>
      <c r="T122" s="19" t="s">
        <v>28</v>
      </c>
      <c r="U122" s="5">
        <f>R122/12</f>
        <v>4.1666666666666664E-2</v>
      </c>
      <c r="V122" s="5" t="s">
        <v>29</v>
      </c>
      <c r="W122" s="5"/>
      <c r="X122" s="5"/>
      <c r="Y122" s="5"/>
      <c r="Z122" s="5"/>
      <c r="AA122" s="5"/>
    </row>
    <row r="123" spans="1:27" ht="25" customHeight="1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ht="25" customHeight="1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7" t="s">
        <v>65</v>
      </c>
      <c r="L124" s="16">
        <f>L120/(118.53 *U120 *U122)</f>
        <v>0.24297646165527717</v>
      </c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ht="25" customHeight="1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ht="24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L126" s="5"/>
      <c r="M126" s="5"/>
      <c r="N126" s="5"/>
      <c r="O126" s="20"/>
      <c r="P126" s="7" t="s">
        <v>66</v>
      </c>
      <c r="Q126" s="18">
        <f>2.21*2.29</f>
        <v>5.0609000000000002</v>
      </c>
      <c r="R126" s="5" t="s">
        <v>67</v>
      </c>
      <c r="S126" s="5">
        <f>Q126/144</f>
        <v>3.5145138888888892E-2</v>
      </c>
      <c r="T126" s="5" t="s">
        <v>68</v>
      </c>
      <c r="U126" s="5"/>
      <c r="V126" s="5"/>
      <c r="W126" s="5"/>
      <c r="X126" s="5"/>
      <c r="Y126" s="5"/>
      <c r="Z126" s="5"/>
      <c r="AA126" s="5"/>
    </row>
    <row r="127" spans="1:27" ht="24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ht="24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 t="s">
        <v>70</v>
      </c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4" ht="25" customHeight="1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 spans="1:24" ht="25" customHeight="1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7" t="s">
        <v>71</v>
      </c>
      <c r="L130" s="16">
        <f xml:space="preserve"> (0.01/12) / (0.381 * 0.035)</f>
        <v>6.249218847644044E-2</v>
      </c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r="131" spans="1:24" ht="25" customHeight="1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r="132" spans="1:24" ht="25" customHeight="1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 t="s">
        <v>72</v>
      </c>
      <c r="L132" s="5" t="s">
        <v>73</v>
      </c>
      <c r="M132" s="5"/>
      <c r="N132" s="5"/>
      <c r="O132" s="5"/>
      <c r="P132" s="5"/>
      <c r="Q132" s="5" t="s">
        <v>74</v>
      </c>
      <c r="R132" s="16">
        <f>L113+L124+L130</f>
        <v>0.37168585300264889</v>
      </c>
      <c r="S132" s="5"/>
      <c r="T132" s="5"/>
      <c r="U132" s="5"/>
      <c r="V132" s="5"/>
      <c r="W132" s="5"/>
      <c r="X132" s="5"/>
    </row>
    <row r="133" spans="1:24" ht="25" customHeight="1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 spans="1:24" ht="25" customHeight="1" x14ac:dyDescent="0.3">
      <c r="A134" s="5"/>
      <c r="B134" s="5"/>
      <c r="C134" s="5"/>
      <c r="D134" s="5"/>
      <c r="E134" s="5"/>
      <c r="F134" s="5"/>
      <c r="G134" s="5" t="s">
        <v>75</v>
      </c>
      <c r="H134" s="5"/>
      <c r="I134" s="5"/>
      <c r="J134" s="5"/>
      <c r="K134" s="5" t="s">
        <v>77</v>
      </c>
      <c r="L134" s="5"/>
      <c r="M134" s="16">
        <f xml:space="preserve"> L16*R132</f>
        <v>190.11731381085491</v>
      </c>
      <c r="N134" s="5"/>
      <c r="O134" s="5"/>
      <c r="P134" s="5"/>
      <c r="Q134" s="5" t="s">
        <v>78</v>
      </c>
      <c r="R134" s="5"/>
      <c r="S134" s="5"/>
      <c r="T134" s="5"/>
      <c r="U134" s="5"/>
      <c r="V134" s="5"/>
      <c r="W134" s="5"/>
      <c r="X134" s="5"/>
    </row>
    <row r="135" spans="1:24" ht="25" customHeight="1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r="136" spans="1:24" ht="25" customHeight="1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7" t="s">
        <v>79</v>
      </c>
      <c r="R136" s="5">
        <f>P26-M134</f>
        <v>-73.11731381085491</v>
      </c>
      <c r="S136" s="5" t="s">
        <v>80</v>
      </c>
      <c r="U136" s="5"/>
      <c r="V136" s="5"/>
      <c r="W136" s="5"/>
      <c r="X136" s="5"/>
    </row>
    <row r="137" spans="1:24" ht="25" customHeight="1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</row>
    <row r="138" spans="1:24" ht="25" customHeight="1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</row>
    <row r="139" spans="1:24" ht="25" customHeight="1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r="140" spans="1:24" ht="25" customHeight="1" x14ac:dyDescent="0.3">
      <c r="A140" s="5"/>
      <c r="B140" s="5"/>
      <c r="C140" s="5"/>
      <c r="D140" s="5"/>
      <c r="E140" s="5"/>
      <c r="F140" s="5"/>
      <c r="G140" s="5" t="s">
        <v>81</v>
      </c>
      <c r="H140" s="5"/>
      <c r="I140" s="5"/>
      <c r="J140" s="5"/>
      <c r="K140" s="5"/>
      <c r="L140" s="5" t="s">
        <v>82</v>
      </c>
      <c r="M140" s="16">
        <f>(R132*R132) / (R132+R132)</f>
        <v>0.18584292650132445</v>
      </c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</row>
    <row r="141" spans="1:24" ht="25" customHeight="1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</row>
    <row r="142" spans="1:24" ht="25" customHeight="1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 t="s">
        <v>77</v>
      </c>
      <c r="L142" s="5"/>
      <c r="M142" s="16">
        <f xml:space="preserve"> L16*M140</f>
        <v>95.058656905427455</v>
      </c>
      <c r="N142" s="5"/>
      <c r="O142" s="5"/>
      <c r="P142" s="5"/>
      <c r="Q142" s="5"/>
      <c r="R142" s="7" t="s">
        <v>79</v>
      </c>
      <c r="S142" s="5">
        <f>P26-M142</f>
        <v>21.941343094572545</v>
      </c>
      <c r="T142" s="5" t="s">
        <v>80</v>
      </c>
      <c r="V142" s="5"/>
      <c r="W142" s="5"/>
    </row>
    <row r="143" spans="1:24" ht="25" customHeight="1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</row>
    <row r="144" spans="1:24" ht="25" customHeight="1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</row>
    <row r="145" spans="1:24" ht="25" customHeight="1" x14ac:dyDescent="0.3">
      <c r="A145" s="5"/>
      <c r="B145" s="5"/>
      <c r="C145" s="5"/>
      <c r="D145" s="5"/>
      <c r="E145" s="5"/>
      <c r="F145" s="5"/>
      <c r="H145" s="5"/>
      <c r="I145" s="5"/>
      <c r="J145" s="5"/>
      <c r="K145" s="7" t="s">
        <v>83</v>
      </c>
      <c r="L145" s="5" t="s">
        <v>82</v>
      </c>
      <c r="M145" s="16">
        <f>(M140*M140)/(M140+M140)</f>
        <v>9.2921463250662223E-2</v>
      </c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</row>
    <row r="148" spans="1:24" ht="24" x14ac:dyDescent="0.3">
      <c r="K148" s="5" t="s">
        <v>77</v>
      </c>
      <c r="L148" s="5"/>
      <c r="M148" s="16">
        <f xml:space="preserve"> L16*M145</f>
        <v>47.529328452713727</v>
      </c>
      <c r="N148" s="5"/>
      <c r="O148" s="5"/>
      <c r="P148" s="5"/>
      <c r="Q148" s="5"/>
      <c r="R148" s="7" t="s">
        <v>79</v>
      </c>
      <c r="S148" s="5">
        <f>P26-M148</f>
        <v>69.470671547286273</v>
      </c>
      <c r="T148" s="5" t="s">
        <v>80</v>
      </c>
      <c r="V148" s="5"/>
      <c r="W148" s="5"/>
    </row>
  </sheetData>
  <phoneticPr fontId="8" type="noConversion"/>
  <conditionalFormatting sqref="R136">
    <cfRule type="cellIs" dxfId="8" priority="9" operator="greaterThan">
      <formula>0</formula>
    </cfRule>
    <cfRule type="cellIs" dxfId="7" priority="10" operator="lessThan">
      <formula>0</formula>
    </cfRule>
    <cfRule type="cellIs" dxfId="6" priority="11" operator="greaterThan">
      <formula>0</formula>
    </cfRule>
    <cfRule type="colorScale" priority="12">
      <colorScale>
        <cfvo type="formula" val="&quot;If less than 0 &quot;"/>
        <cfvo type="formula" val="&quot;If &gt; or = 0&quot;"/>
        <color theme="5" tint="0.59999389629810485"/>
        <color theme="6" tint="0.59999389629810485"/>
      </colorScale>
    </cfRule>
  </conditionalFormatting>
  <conditionalFormatting sqref="S142">
    <cfRule type="cellIs" dxfId="5" priority="5" operator="greaterThan">
      <formula>0</formula>
    </cfRule>
    <cfRule type="cellIs" dxfId="4" priority="6" operator="lessThan">
      <formula>0</formula>
    </cfRule>
    <cfRule type="cellIs" dxfId="3" priority="7" operator="greaterThan">
      <formula>0</formula>
    </cfRule>
    <cfRule type="colorScale" priority="8">
      <colorScale>
        <cfvo type="formula" val="&quot;If less than 0 &quot;"/>
        <cfvo type="formula" val="&quot;If &gt; or = 0&quot;"/>
        <color theme="5" tint="0.59999389629810485"/>
        <color theme="6" tint="0.59999389629810485"/>
      </colorScale>
    </cfRule>
  </conditionalFormatting>
  <conditionalFormatting sqref="S148">
    <cfRule type="cellIs" dxfId="2" priority="1" operator="greaterThan">
      <formula>0</formula>
    </cfRule>
    <cfRule type="cellIs" dxfId="1" priority="2" operator="lessThan">
      <formula>0</formula>
    </cfRule>
    <cfRule type="cellIs" dxfId="0" priority="3" operator="greaterThan">
      <formula>0</formula>
    </cfRule>
    <cfRule type="colorScale" priority="4">
      <colorScale>
        <cfvo type="formula" val="&quot;If less than 0 &quot;"/>
        <cfvo type="formula" val="&quot;If &gt; or = 0&quot;"/>
        <color theme="5" tint="0.59999389629810485"/>
        <color theme="6" tint="0.59999389629810485"/>
      </colorScale>
    </cfRule>
  </conditionalFormatting>
  <pageMargins left="0.75" right="0.75" top="1" bottom="1" header="0.5" footer="0.5"/>
  <pageSetup scale="32" fitToHeight="3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MBARI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Kirkwood</dc:creator>
  <cp:lastModifiedBy>Microsoft Office User</cp:lastModifiedBy>
  <cp:lastPrinted>2013-05-07T19:38:31Z</cp:lastPrinted>
  <dcterms:created xsi:type="dcterms:W3CDTF">2013-05-01T21:18:29Z</dcterms:created>
  <dcterms:modified xsi:type="dcterms:W3CDTF">2019-03-19T20:03:37Z</dcterms:modified>
</cp:coreProperties>
</file>