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BURGISS\dalf\site\directalphamethod.info\codes\"/>
    </mc:Choice>
  </mc:AlternateContent>
  <xr:revisionPtr revIDLastSave="0" documentId="13_ncr:1_{21E1220F-E2BF-48CA-B528-4191D2BA004C}" xr6:coauthVersionLast="47" xr6:coauthVersionMax="47" xr10:uidLastSave="{00000000-0000-0000-0000-000000000000}"/>
  <bookViews>
    <workbookView xWindow="28680" yWindow="-120" windowWidth="29040" windowHeight="16440" tabRatio="725" xr2:uid="{00000000-000D-0000-FFFF-FFFF00000000}"/>
  </bookViews>
  <sheets>
    <sheet name="Exhibits 7,8,10--12" sheetId="6" r:id="rId1"/>
    <sheet name="Exhibit 9" sheetId="9" r:id="rId2"/>
  </sheets>
  <definedNames>
    <definedName name="Dec_31__2001">'Exhibits 7,8,10--12'!$B$28</definedName>
    <definedName name="Dec_31__2010">'Exhibits 7,8,10--12'!$B$37</definedName>
    <definedName name="FirstCF">'Exhibits 7,8,10--12'!$Q$6</definedName>
    <definedName name="FirstDate">'Exhibits 7,8,10--12'!$B$28</definedName>
    <definedName name="FirstDt">'Exhibits 7,8,10--12'!$B$6</definedName>
    <definedName name="LastCF">'Exhibits 7,8,10--12'!$Q$15</definedName>
    <definedName name="LastDate">'Exhibits 7,8,10--12'!$B$37</definedName>
    <definedName name="LastDt">'Exhibits 7,8,10--12'!$B$15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6" l="1"/>
  <c r="G23" i="9"/>
  <c r="Y8" i="9"/>
  <c r="X8" i="9"/>
  <c r="W17" i="9"/>
  <c r="W16" i="9"/>
  <c r="W15" i="9"/>
  <c r="W14" i="9"/>
  <c r="W13" i="9"/>
  <c r="W12" i="9"/>
  <c r="W11" i="9"/>
  <c r="W10" i="9"/>
  <c r="W9" i="9"/>
  <c r="X9" i="9" s="1"/>
  <c r="Y9" i="9" s="1"/>
  <c r="X12" i="9" l="1"/>
  <c r="Y12" i="9" s="1"/>
  <c r="X11" i="9"/>
  <c r="Y11" i="9" s="1"/>
  <c r="X13" i="9"/>
  <c r="Y13" i="9" s="1"/>
  <c r="X16" i="9"/>
  <c r="Y16" i="9" s="1"/>
  <c r="X14" i="9"/>
  <c r="Y14" i="9" s="1"/>
  <c r="X10" i="9"/>
  <c r="Y10" i="9" s="1"/>
  <c r="X15" i="9"/>
  <c r="Y15" i="9" s="1"/>
  <c r="X17" i="9"/>
  <c r="Y17" i="9" s="1"/>
  <c r="D17" i="6"/>
  <c r="E17" i="6"/>
  <c r="F19" i="6" s="1"/>
  <c r="Y20" i="9" l="1"/>
  <c r="S9" i="9"/>
  <c r="S10" i="9"/>
  <c r="S11" i="9"/>
  <c r="S12" i="9"/>
  <c r="S13" i="9"/>
  <c r="S14" i="9"/>
  <c r="S15" i="9"/>
  <c r="S16" i="9"/>
  <c r="S8" i="9"/>
  <c r="N17" i="9"/>
  <c r="J17" i="9"/>
  <c r="G17" i="9"/>
  <c r="N16" i="9"/>
  <c r="J16" i="9"/>
  <c r="G16" i="9"/>
  <c r="N15" i="9"/>
  <c r="J15" i="9"/>
  <c r="G15" i="9"/>
  <c r="N14" i="9"/>
  <c r="J14" i="9"/>
  <c r="G14" i="9"/>
  <c r="N13" i="9"/>
  <c r="J13" i="9"/>
  <c r="G13" i="9"/>
  <c r="N12" i="9"/>
  <c r="J12" i="9"/>
  <c r="G12" i="9"/>
  <c r="N11" i="9"/>
  <c r="J11" i="9"/>
  <c r="G11" i="9"/>
  <c r="N10" i="9"/>
  <c r="J10" i="9"/>
  <c r="G10" i="9"/>
  <c r="N9" i="9"/>
  <c r="J9" i="9"/>
  <c r="G9" i="9"/>
  <c r="N8" i="9"/>
  <c r="J8" i="9"/>
  <c r="R8" i="9" s="1"/>
  <c r="G8" i="9"/>
  <c r="R12" i="9" l="1"/>
  <c r="V12" i="9"/>
  <c r="R14" i="9"/>
  <c r="V14" i="9"/>
  <c r="M15" i="9"/>
  <c r="V15" i="9"/>
  <c r="M9" i="9"/>
  <c r="V9" i="9"/>
  <c r="M17" i="9"/>
  <c r="V17" i="9"/>
  <c r="V16" i="9"/>
  <c r="V10" i="9"/>
  <c r="M11" i="9"/>
  <c r="V11" i="9"/>
  <c r="M13" i="9"/>
  <c r="V13" i="9"/>
  <c r="R16" i="9"/>
  <c r="R10" i="9"/>
  <c r="Q8" i="9"/>
  <c r="T8" i="9" s="1"/>
  <c r="Q16" i="9"/>
  <c r="T16" i="9" s="1"/>
  <c r="Q14" i="9"/>
  <c r="Q12" i="9"/>
  <c r="T12" i="9" s="1"/>
  <c r="Q10" i="9"/>
  <c r="Q17" i="9"/>
  <c r="Q15" i="9"/>
  <c r="Q13" i="9"/>
  <c r="Q11" i="9"/>
  <c r="Q9" i="9"/>
  <c r="R9" i="9"/>
  <c r="R11" i="9"/>
  <c r="R13" i="9"/>
  <c r="R15" i="9"/>
  <c r="R17" i="9"/>
  <c r="S17" i="9"/>
  <c r="M8" i="9"/>
  <c r="M10" i="9"/>
  <c r="M12" i="9"/>
  <c r="M14" i="9"/>
  <c r="M16" i="9"/>
  <c r="L8" i="9"/>
  <c r="L9" i="9"/>
  <c r="L10" i="9"/>
  <c r="L11" i="9"/>
  <c r="L12" i="9"/>
  <c r="L13" i="9"/>
  <c r="L14" i="9"/>
  <c r="L15" i="9"/>
  <c r="O15" i="9" s="1"/>
  <c r="L16" i="9"/>
  <c r="L17" i="9"/>
  <c r="G28" i="6"/>
  <c r="G29" i="6"/>
  <c r="G30" i="6"/>
  <c r="G31" i="6"/>
  <c r="G32" i="6"/>
  <c r="G33" i="6"/>
  <c r="G34" i="6"/>
  <c r="G35" i="6"/>
  <c r="G36" i="6"/>
  <c r="G37" i="6"/>
  <c r="G54" i="6"/>
  <c r="G55" i="6"/>
  <c r="G56" i="6"/>
  <c r="G57" i="6"/>
  <c r="G58" i="6"/>
  <c r="G59" i="6"/>
  <c r="G60" i="6"/>
  <c r="G61" i="6"/>
  <c r="G62" i="6"/>
  <c r="G63" i="6"/>
  <c r="G82" i="6"/>
  <c r="G83" i="6"/>
  <c r="G84" i="6"/>
  <c r="G85" i="6"/>
  <c r="G86" i="6"/>
  <c r="G87" i="6"/>
  <c r="G88" i="6"/>
  <c r="G89" i="6"/>
  <c r="G90" i="6"/>
  <c r="G91" i="6"/>
  <c r="G6" i="6"/>
  <c r="G7" i="6"/>
  <c r="G8" i="6"/>
  <c r="G9" i="6"/>
  <c r="G10" i="6"/>
  <c r="G11" i="6"/>
  <c r="G12" i="6"/>
  <c r="G13" i="6"/>
  <c r="G14" i="6"/>
  <c r="G15" i="6"/>
  <c r="O14" i="9" l="1"/>
  <c r="O11" i="9"/>
  <c r="T10" i="9"/>
  <c r="O10" i="9"/>
  <c r="O17" i="9"/>
  <c r="T13" i="9"/>
  <c r="O13" i="9"/>
  <c r="O9" i="9"/>
  <c r="T14" i="9"/>
  <c r="G20" i="6"/>
  <c r="R20" i="9"/>
  <c r="T9" i="9"/>
  <c r="T24" i="9" s="1"/>
  <c r="O16" i="9"/>
  <c r="O12" i="9"/>
  <c r="O8" i="9"/>
  <c r="O24" i="9" s="1"/>
  <c r="Q20" i="9"/>
  <c r="T11" i="9"/>
  <c r="T15" i="9"/>
  <c r="M20" i="9"/>
  <c r="M22" i="9" s="1"/>
  <c r="T17" i="9"/>
  <c r="L20" i="9"/>
  <c r="G94" i="6"/>
  <c r="G67" i="6"/>
  <c r="G40" i="6"/>
  <c r="N91" i="6"/>
  <c r="N89" i="6"/>
  <c r="N87" i="6"/>
  <c r="N85" i="6"/>
  <c r="N83" i="6"/>
  <c r="N82" i="6"/>
  <c r="E93" i="6"/>
  <c r="D93" i="6"/>
  <c r="J82" i="6"/>
  <c r="P82" i="6" s="1"/>
  <c r="J83" i="6"/>
  <c r="J84" i="6"/>
  <c r="J85" i="6"/>
  <c r="J86" i="6"/>
  <c r="J87" i="6"/>
  <c r="J88" i="6"/>
  <c r="J89" i="6"/>
  <c r="J90" i="6"/>
  <c r="J91" i="6"/>
  <c r="J6" i="6"/>
  <c r="P6" i="6"/>
  <c r="J7" i="6"/>
  <c r="P7" i="6"/>
  <c r="J8" i="6"/>
  <c r="P8" i="6"/>
  <c r="J9" i="6"/>
  <c r="P9" i="6"/>
  <c r="J10" i="6"/>
  <c r="P10" i="6"/>
  <c r="J11" i="6"/>
  <c r="P11" i="6"/>
  <c r="J12" i="6"/>
  <c r="P12" i="6"/>
  <c r="J13" i="6"/>
  <c r="P13" i="6"/>
  <c r="J14" i="6"/>
  <c r="P14" i="6"/>
  <c r="J15" i="6"/>
  <c r="N15" i="6" s="1"/>
  <c r="P15" i="6"/>
  <c r="L82" i="6"/>
  <c r="L83" i="6"/>
  <c r="L84" i="6"/>
  <c r="L85" i="6"/>
  <c r="L86" i="6"/>
  <c r="L87" i="6"/>
  <c r="L88" i="6"/>
  <c r="L89" i="6"/>
  <c r="L90" i="6"/>
  <c r="L91" i="6"/>
  <c r="J54" i="6"/>
  <c r="L54" i="6"/>
  <c r="P54" i="6"/>
  <c r="J55" i="6"/>
  <c r="L55" i="6"/>
  <c r="P55" i="6"/>
  <c r="J56" i="6"/>
  <c r="L56" i="6"/>
  <c r="P56" i="6"/>
  <c r="J57" i="6"/>
  <c r="L57" i="6"/>
  <c r="P57" i="6"/>
  <c r="J58" i="6"/>
  <c r="L58" i="6"/>
  <c r="P58" i="6"/>
  <c r="J59" i="6"/>
  <c r="L59" i="6"/>
  <c r="P59" i="6"/>
  <c r="J60" i="6"/>
  <c r="L60" i="6"/>
  <c r="P60" i="6"/>
  <c r="J61" i="6"/>
  <c r="L61" i="6"/>
  <c r="P61" i="6"/>
  <c r="J62" i="6"/>
  <c r="L62" i="6"/>
  <c r="P62" i="6"/>
  <c r="J63" i="6"/>
  <c r="L63" i="6"/>
  <c r="P63" i="6"/>
  <c r="D65" i="6"/>
  <c r="E65" i="6"/>
  <c r="E39" i="6"/>
  <c r="D39" i="6"/>
  <c r="N37" i="6"/>
  <c r="L37" i="6"/>
  <c r="J37" i="6"/>
  <c r="N36" i="6"/>
  <c r="L36" i="6"/>
  <c r="J36" i="6"/>
  <c r="N35" i="6"/>
  <c r="L35" i="6"/>
  <c r="J35" i="6"/>
  <c r="N34" i="6"/>
  <c r="L34" i="6"/>
  <c r="J34" i="6"/>
  <c r="N33" i="6"/>
  <c r="L33" i="6"/>
  <c r="J33" i="6"/>
  <c r="N32" i="6"/>
  <c r="L32" i="6"/>
  <c r="J32" i="6"/>
  <c r="N31" i="6"/>
  <c r="L31" i="6"/>
  <c r="J31" i="6"/>
  <c r="N30" i="6"/>
  <c r="L30" i="6"/>
  <c r="J30" i="6"/>
  <c r="N29" i="6"/>
  <c r="L29" i="6"/>
  <c r="J29" i="6"/>
  <c r="N28" i="6"/>
  <c r="L28" i="6"/>
  <c r="J28" i="6"/>
  <c r="Q83" i="6" l="1"/>
  <c r="Q87" i="6"/>
  <c r="Q85" i="6"/>
  <c r="Q89" i="6"/>
  <c r="R22" i="9"/>
  <c r="Q28" i="6"/>
  <c r="Q30" i="6"/>
  <c r="Q32" i="6"/>
  <c r="Q34" i="6"/>
  <c r="Q36" i="6"/>
  <c r="G41" i="6"/>
  <c r="Q82" i="6"/>
  <c r="G95" i="6"/>
  <c r="Q29" i="6"/>
  <c r="Q31" i="6"/>
  <c r="Q33" i="6"/>
  <c r="Q35" i="6"/>
  <c r="G68" i="6"/>
  <c r="P83" i="6"/>
  <c r="N6" i="6"/>
  <c r="L14" i="6"/>
  <c r="N13" i="6"/>
  <c r="L12" i="6"/>
  <c r="N11" i="6"/>
  <c r="L10" i="6"/>
  <c r="N9" i="6"/>
  <c r="L8" i="6"/>
  <c r="N7" i="6"/>
  <c r="L6" i="6"/>
  <c r="L15" i="6"/>
  <c r="Q15" i="6" s="1"/>
  <c r="N14" i="6"/>
  <c r="L13" i="6"/>
  <c r="N12" i="6"/>
  <c r="L11" i="6"/>
  <c r="Q11" i="6" s="1"/>
  <c r="N10" i="6"/>
  <c r="L9" i="6"/>
  <c r="Q9" i="6" s="1"/>
  <c r="N8" i="6"/>
  <c r="L7" i="6"/>
  <c r="Q7" i="6" s="1"/>
  <c r="P28" i="6"/>
  <c r="P29" i="6" s="1"/>
  <c r="P30" i="6" s="1"/>
  <c r="P31" i="6" s="1"/>
  <c r="P32" i="6" s="1"/>
  <c r="P33" i="6" s="1"/>
  <c r="P34" i="6" s="1"/>
  <c r="P35" i="6" s="1"/>
  <c r="P36" i="6" s="1"/>
  <c r="P37" i="6" s="1"/>
  <c r="Q37" i="6" s="1"/>
  <c r="Q13" i="6" l="1"/>
  <c r="L17" i="6"/>
  <c r="N17" i="6"/>
  <c r="Q6" i="6"/>
  <c r="Q40" i="6"/>
  <c r="Q41" i="6" s="1"/>
  <c r="Q10" i="6"/>
  <c r="Q12" i="6"/>
  <c r="Q8" i="6"/>
  <c r="Q14" i="6"/>
  <c r="N84" i="6"/>
  <c r="Q20" i="6" l="1"/>
  <c r="P84" i="6"/>
  <c r="P85" i="6" s="1"/>
  <c r="N86" i="6" s="1"/>
  <c r="Q84" i="6"/>
  <c r="N54" i="6"/>
  <c r="Q54" i="6" s="1"/>
  <c r="N56" i="6"/>
  <c r="Q56" i="6" s="1"/>
  <c r="N58" i="6"/>
  <c r="Q58" i="6" s="1"/>
  <c r="N60" i="6"/>
  <c r="Q60" i="6" s="1"/>
  <c r="N62" i="6"/>
  <c r="Q62" i="6" s="1"/>
  <c r="N55" i="6"/>
  <c r="Q55" i="6" s="1"/>
  <c r="N57" i="6"/>
  <c r="Q57" i="6" s="1"/>
  <c r="N59" i="6"/>
  <c r="Q59" i="6" s="1"/>
  <c r="N61" i="6"/>
  <c r="Q61" i="6" s="1"/>
  <c r="N63" i="6"/>
  <c r="Q63" i="6" s="1"/>
  <c r="Q67" i="6" l="1"/>
  <c r="Q68" i="6" s="1"/>
  <c r="P86" i="6"/>
  <c r="P87" i="6" s="1"/>
  <c r="N88" i="6" s="1"/>
  <c r="Q86" i="6"/>
  <c r="P88" i="6" l="1"/>
  <c r="P89" i="6" s="1"/>
  <c r="N90" i="6" s="1"/>
  <c r="Q88" i="6"/>
  <c r="P90" i="6" l="1"/>
  <c r="P91" i="6" s="1"/>
  <c r="Q91" i="6" s="1"/>
  <c r="Q90" i="6"/>
  <c r="Q94" i="6" l="1"/>
  <c r="Q95" i="6" s="1"/>
</calcChain>
</file>

<file path=xl/sharedStrings.xml><?xml version="1.0" encoding="utf-8"?>
<sst xmlns="http://schemas.openxmlformats.org/spreadsheetml/2006/main" count="153" uniqueCount="57">
  <si>
    <t>TVPI</t>
  </si>
  <si>
    <t>IRR</t>
  </si>
  <si>
    <t>Actual Values</t>
  </si>
  <si>
    <t>Total</t>
  </si>
  <si>
    <t>Future Values</t>
  </si>
  <si>
    <t>Index</t>
  </si>
  <si>
    <r>
      <t>NAV</t>
    </r>
    <r>
      <rPr>
        <vertAlign val="subscript"/>
        <sz val="10"/>
        <color theme="1"/>
        <rFont val="Arial"/>
        <family val="2"/>
      </rPr>
      <t>ICM</t>
    </r>
  </si>
  <si>
    <r>
      <t>NAV</t>
    </r>
    <r>
      <rPr>
        <vertAlign val="subscript"/>
        <sz val="10"/>
        <color theme="1"/>
        <rFont val="Arial"/>
        <family val="2"/>
      </rPr>
      <t>PE</t>
    </r>
  </si>
  <si>
    <t>...</t>
  </si>
  <si>
    <t>C</t>
  </si>
  <si>
    <t>D</t>
  </si>
  <si>
    <t>FV (C)</t>
  </si>
  <si>
    <t>FV (D)</t>
  </si>
  <si>
    <t>ICM IRR</t>
  </si>
  <si>
    <t>PME+ Hypothetical Public Portfolio</t>
  </si>
  <si>
    <t>PME+ IRR</t>
  </si>
  <si>
    <t>Scaling Factor s</t>
  </si>
  <si>
    <t>s • D</t>
  </si>
  <si>
    <t>mPME IRR</t>
  </si>
  <si>
    <t>mPME Hypothetical Public Portfolio</t>
  </si>
  <si>
    <r>
      <t>D</t>
    </r>
    <r>
      <rPr>
        <vertAlign val="subscript"/>
        <sz val="10"/>
        <color theme="1"/>
        <rFont val="Arial"/>
        <family val="2"/>
      </rPr>
      <t>mPME</t>
    </r>
  </si>
  <si>
    <r>
      <t>NAV</t>
    </r>
    <r>
      <rPr>
        <vertAlign val="subscript"/>
        <sz val="10"/>
        <color theme="1"/>
        <rFont val="Arial"/>
        <family val="2"/>
      </rPr>
      <t>mPME</t>
    </r>
  </si>
  <si>
    <t>Net CF</t>
  </si>
  <si>
    <r>
      <t>Δ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IRR</t>
    </r>
  </si>
  <si>
    <t>ICM/PME Hypothetical Public Portfolio</t>
  </si>
  <si>
    <t>Present Values</t>
  </si>
  <si>
    <t>PV (C)</t>
  </si>
  <si>
    <t>PV (D)</t>
  </si>
  <si>
    <t>Direct Alpha</t>
  </si>
  <si>
    <t>KS-PME</t>
  </si>
  <si>
    <t>Raw Index</t>
  </si>
  <si>
    <t>Exhibit 7&amp;8</t>
  </si>
  <si>
    <t>Exhibit 10</t>
  </si>
  <si>
    <t>Exhibit 11</t>
  </si>
  <si>
    <r>
      <t>m</t>
    </r>
    <r>
      <rPr>
        <vertAlign val="subscript"/>
        <sz val="10"/>
        <color theme="1"/>
        <rFont val="Arial"/>
        <family val="2"/>
      </rPr>
      <t>n</t>
    </r>
  </si>
  <si>
    <t>Exhibit 12</t>
  </si>
  <si>
    <t>PV</t>
  </si>
  <si>
    <r>
      <t>PV(NAV</t>
    </r>
    <r>
      <rPr>
        <vertAlign val="subscript"/>
        <sz val="8"/>
        <color theme="1"/>
        <rFont val="Arial"/>
        <family val="2"/>
      </rPr>
      <t>PE</t>
    </r>
    <r>
      <rPr>
        <sz val="8"/>
        <color theme="1"/>
        <rFont val="Arial"/>
        <family val="2"/>
      </rPr>
      <t>)</t>
    </r>
  </si>
  <si>
    <r>
      <t>r</t>
    </r>
    <r>
      <rPr>
        <vertAlign val="subscript"/>
        <sz val="10"/>
        <color theme="1"/>
        <rFont val="Arial"/>
        <family val="2"/>
      </rPr>
      <t>0:t</t>
    </r>
  </si>
  <si>
    <t>a</t>
  </si>
  <si>
    <r>
      <t>1/(1+r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)</t>
    </r>
  </si>
  <si>
    <r>
      <t>B</t>
    </r>
    <r>
      <rPr>
        <vertAlign val="subscript"/>
        <sz val="10"/>
        <color theme="1"/>
        <rFont val="Arial"/>
        <family val="2"/>
      </rPr>
      <t>0:t</t>
    </r>
  </si>
  <si>
    <r>
      <t xml:space="preserve">Solve for </t>
    </r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, such that the sum of PV is 0</t>
    </r>
  </si>
  <si>
    <t>Benchmark-adjusted Duration</t>
  </si>
  <si>
    <t>Credit Spread Approach</t>
  </si>
  <si>
    <t>=XIRR(FirstDt:LastDt,FirstCF:LastCF)</t>
  </si>
  <si>
    <t>=-100*1.3059</t>
  </si>
  <si>
    <t>=100*130.59/113.50</t>
  </si>
  <si>
    <t>=150*130.59/142.45</t>
  </si>
  <si>
    <t>=100*130.59/100.24</t>
  </si>
  <si>
    <t>=100*1.3059</t>
  </si>
  <si>
    <t>=25*130.59/100.24</t>
  </si>
  <si>
    <t>=75*130.59/100.24</t>
  </si>
  <si>
    <t>=150*130.59/116.61</t>
  </si>
  <si>
    <t>=50*130.59/116.61</t>
  </si>
  <si>
    <r>
      <t xml:space="preserve">    </t>
    </r>
    <r>
      <rPr>
        <sz val="9"/>
        <color theme="1" tint="0.499984740745262"/>
        <rFont val="Arial"/>
        <family val="2"/>
      </rPr>
      <t>= (453.1+75) / 316.9</t>
    </r>
  </si>
  <si>
    <r>
      <t xml:space="preserve">  </t>
    </r>
    <r>
      <rPr>
        <sz val="9"/>
        <color theme="1" tint="0.499984740745262"/>
        <rFont val="Arial"/>
        <family val="2"/>
      </rPr>
      <t>= (425+75) / 250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</si>
</sst>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m\ d\,\ yyyy"/>
    <numFmt numFmtId="165" formatCode="0.0%"/>
    <numFmt numFmtId="166" formatCode="mmm\-d\,\ yyyy"/>
    <numFmt numFmtId="169" formatCode="_(* #,##0.000_);_(* \(#,##0.000\);_(* &quot;-&quot;??_);_(@_)"/>
    <numFmt numFmtId="171" formatCode="0.0000"/>
    <numFmt numFmtId="173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6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vertAlign val="subscript"/>
      <sz val="8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9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/>
    <xf numFmtId="0" fontId="2" fillId="2" borderId="0" xfId="0" applyFont="1" applyFill="1" applyAlignment="1">
      <alignment horizontal="right" indent="2"/>
    </xf>
    <xf numFmtId="2" fontId="2" fillId="2" borderId="0" xfId="0" applyNumberFormat="1" applyFont="1" applyFill="1" applyAlignment="1">
      <alignment horizontal="right" indent="2"/>
    </xf>
    <xf numFmtId="1" fontId="2" fillId="2" borderId="0" xfId="0" applyNumberFormat="1" applyFont="1" applyFill="1" applyAlignment="1">
      <alignment horizontal="right" indent="2"/>
    </xf>
    <xf numFmtId="14" fontId="2" fillId="2" borderId="0" xfId="0" quotePrefix="1" applyNumberFormat="1" applyFont="1" applyFill="1" applyAlignment="1">
      <alignment horizontal="right"/>
    </xf>
    <xf numFmtId="0" fontId="2" fillId="2" borderId="0" xfId="0" applyFont="1" applyFill="1" applyAlignment="1">
      <alignment horizontal="right" indent="1"/>
    </xf>
    <xf numFmtId="3" fontId="2" fillId="2" borderId="0" xfId="0" applyNumberFormat="1" applyFont="1" applyFill="1" applyAlignment="1">
      <alignment horizontal="right" indent="1"/>
    </xf>
    <xf numFmtId="1" fontId="2" fillId="2" borderId="0" xfId="0" applyNumberFormat="1" applyFont="1" applyFill="1" applyAlignment="1">
      <alignment horizontal="right" indent="1"/>
    </xf>
    <xf numFmtId="1" fontId="5" fillId="2" borderId="0" xfId="0" applyNumberFormat="1" applyFont="1" applyFill="1" applyAlignment="1">
      <alignment horizontal="right" indent="1"/>
    </xf>
    <xf numFmtId="2" fontId="2" fillId="2" borderId="0" xfId="0" applyNumberFormat="1" applyFont="1" applyFill="1" applyAlignment="1">
      <alignment horizontal="right" indent="1"/>
    </xf>
    <xf numFmtId="1" fontId="4" fillId="2" borderId="0" xfId="0" applyNumberFormat="1" applyFont="1" applyFill="1" applyAlignment="1">
      <alignment horizontal="right" indent="1"/>
    </xf>
    <xf numFmtId="0" fontId="5" fillId="2" borderId="0" xfId="0" applyFont="1" applyFill="1" applyAlignment="1">
      <alignment horizontal="right" inden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 vertical="center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 indent="1"/>
    </xf>
    <xf numFmtId="1" fontId="2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165" fontId="2" fillId="2" borderId="0" xfId="1" applyNumberFormat="1" applyFont="1" applyFill="1"/>
    <xf numFmtId="10" fontId="2" fillId="2" borderId="0" xfId="0" applyNumberFormat="1" applyFont="1" applyFill="1"/>
    <xf numFmtId="169" fontId="2" fillId="2" borderId="0" xfId="2" applyNumberFormat="1" applyFont="1" applyFill="1"/>
    <xf numFmtId="171" fontId="2" fillId="2" borderId="0" xfId="0" applyNumberFormat="1" applyFont="1" applyFill="1"/>
    <xf numFmtId="2" fontId="2" fillId="2" borderId="0" xfId="0" applyNumberFormat="1" applyFont="1" applyFill="1"/>
    <xf numFmtId="173" fontId="2" fillId="2" borderId="0" xfId="0" applyNumberFormat="1" applyFont="1" applyFill="1"/>
    <xf numFmtId="0" fontId="2" fillId="2" borderId="0" xfId="0" applyFont="1" applyFill="1" applyAlignment="1">
      <alignment horizontal="right" wrapText="1"/>
    </xf>
    <xf numFmtId="10" fontId="2" fillId="2" borderId="0" xfId="1" applyNumberFormat="1" applyFont="1" applyFill="1" applyAlignment="1">
      <alignment horizontal="right" indent="1"/>
    </xf>
    <xf numFmtId="173" fontId="2" fillId="2" borderId="0" xfId="0" applyNumberFormat="1" applyFont="1" applyFill="1" applyAlignment="1">
      <alignment horizontal="right" indent="1"/>
    </xf>
    <xf numFmtId="0" fontId="12" fillId="2" borderId="0" xfId="0" quotePrefix="1" applyFont="1" applyFill="1" applyAlignment="1">
      <alignment horizontal="right"/>
    </xf>
    <xf numFmtId="4" fontId="2" fillId="2" borderId="0" xfId="0" applyNumberFormat="1" applyFont="1" applyFill="1" applyAlignment="1">
      <alignment horizontal="right" indent="1"/>
    </xf>
    <xf numFmtId="0" fontId="13" fillId="2" borderId="0" xfId="0" quotePrefix="1" applyFont="1" applyFill="1" applyAlignment="1">
      <alignment horizontal="left" indent="1"/>
    </xf>
    <xf numFmtId="0" fontId="9" fillId="2" borderId="0" xfId="0" quotePrefix="1" applyFont="1" applyFill="1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  <color rgb="FF9966FF"/>
      <color rgb="FFFFFFCC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17</xdr:row>
      <xdr:rowOff>120650</xdr:rowOff>
    </xdr:from>
    <xdr:to>
      <xdr:col>11</xdr:col>
      <xdr:colOff>368300</xdr:colOff>
      <xdr:row>18</xdr:row>
      <xdr:rowOff>171550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051550" y="2876550"/>
          <a:ext cx="0" cy="2160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368300</xdr:colOff>
      <xdr:row>17</xdr:row>
      <xdr:rowOff>127000</xdr:rowOff>
    </xdr:from>
    <xdr:to>
      <xdr:col>16</xdr:col>
      <xdr:colOff>368300</xdr:colOff>
      <xdr:row>18</xdr:row>
      <xdr:rowOff>177900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8426450" y="2882900"/>
          <a:ext cx="0" cy="2160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330200</xdr:colOff>
      <xdr:row>17</xdr:row>
      <xdr:rowOff>127000</xdr:rowOff>
    </xdr:from>
    <xdr:to>
      <xdr:col>14</xdr:col>
      <xdr:colOff>330200</xdr:colOff>
      <xdr:row>22</xdr:row>
      <xdr:rowOff>72400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7556500" y="2882900"/>
          <a:ext cx="0" cy="9360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336550</xdr:colOff>
      <xdr:row>17</xdr:row>
      <xdr:rowOff>127000</xdr:rowOff>
    </xdr:from>
    <xdr:to>
      <xdr:col>19</xdr:col>
      <xdr:colOff>336550</xdr:colOff>
      <xdr:row>22</xdr:row>
      <xdr:rowOff>72400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10147300" y="2882900"/>
          <a:ext cx="0" cy="9360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215899</xdr:colOff>
      <xdr:row>18</xdr:row>
      <xdr:rowOff>28575</xdr:rowOff>
    </xdr:from>
    <xdr:to>
      <xdr:col>13</xdr:col>
      <xdr:colOff>323850</xdr:colOff>
      <xdr:row>18</xdr:row>
      <xdr:rowOff>165101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rot="5400000">
          <a:off x="6656387" y="2706687"/>
          <a:ext cx="136526" cy="622301"/>
        </a:xfrm>
        <a:prstGeom prst="rightBrace">
          <a:avLst>
            <a:gd name="adj1" fmla="val 22014"/>
            <a:gd name="adj2" fmla="val 50000"/>
          </a:avLst>
        </a:prstGeom>
        <a:ln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304799</xdr:colOff>
      <xdr:row>18</xdr:row>
      <xdr:rowOff>28576</xdr:rowOff>
    </xdr:from>
    <xdr:to>
      <xdr:col>18</xdr:col>
      <xdr:colOff>412750</xdr:colOff>
      <xdr:row>18</xdr:row>
      <xdr:rowOff>165102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 rot="5400000">
          <a:off x="9120187" y="2706688"/>
          <a:ext cx="136526" cy="622301"/>
        </a:xfrm>
        <a:prstGeom prst="rightBrace">
          <a:avLst>
            <a:gd name="adj1" fmla="val 22014"/>
            <a:gd name="adj2" fmla="val 50000"/>
          </a:avLst>
        </a:prstGeom>
        <a:ln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374649</xdr:colOff>
      <xdr:row>20</xdr:row>
      <xdr:rowOff>47627</xdr:rowOff>
    </xdr:from>
    <xdr:to>
      <xdr:col>12</xdr:col>
      <xdr:colOff>482600</xdr:colOff>
      <xdr:row>20</xdr:row>
      <xdr:rowOff>184153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 rot="5400000">
          <a:off x="6300787" y="3119439"/>
          <a:ext cx="136526" cy="622301"/>
        </a:xfrm>
        <a:prstGeom prst="rightBrace">
          <a:avLst>
            <a:gd name="adj1" fmla="val 22014"/>
            <a:gd name="adj2" fmla="val 50000"/>
          </a:avLst>
        </a:prstGeom>
        <a:ln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425449</xdr:colOff>
      <xdr:row>20</xdr:row>
      <xdr:rowOff>53978</xdr:rowOff>
    </xdr:from>
    <xdr:to>
      <xdr:col>18</xdr:col>
      <xdr:colOff>19050</xdr:colOff>
      <xdr:row>20</xdr:row>
      <xdr:rowOff>190504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 rot="5400000">
          <a:off x="8726487" y="3125790"/>
          <a:ext cx="136526" cy="622301"/>
        </a:xfrm>
        <a:prstGeom prst="rightBrace">
          <a:avLst>
            <a:gd name="adj1" fmla="val 22014"/>
            <a:gd name="adj2" fmla="val 50000"/>
          </a:avLst>
        </a:prstGeom>
        <a:ln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323850</xdr:colOff>
      <xdr:row>17</xdr:row>
      <xdr:rowOff>142875</xdr:rowOff>
    </xdr:from>
    <xdr:to>
      <xdr:col>24</xdr:col>
      <xdr:colOff>323850</xdr:colOff>
      <xdr:row>18</xdr:row>
      <xdr:rowOff>193775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DC4C588-90C9-45A3-8235-1A410AFC92E8}"/>
            </a:ext>
          </a:extLst>
        </xdr:cNvPr>
        <xdr:cNvCxnSpPr/>
      </xdr:nvCxnSpPr>
      <xdr:spPr>
        <a:xfrm>
          <a:off x="9982200" y="2847975"/>
          <a:ext cx="0" cy="2128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361950</xdr:colOff>
      <xdr:row>17</xdr:row>
      <xdr:rowOff>123825</xdr:rowOff>
    </xdr:from>
    <xdr:to>
      <xdr:col>22</xdr:col>
      <xdr:colOff>361950</xdr:colOff>
      <xdr:row>22</xdr:row>
      <xdr:rowOff>69225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A8131BD-FC57-41C7-9B74-B5D2CD906D56}"/>
            </a:ext>
          </a:extLst>
        </xdr:cNvPr>
        <xdr:cNvCxnSpPr/>
      </xdr:nvCxnSpPr>
      <xdr:spPr>
        <a:xfrm>
          <a:off x="10772775" y="2828925"/>
          <a:ext cx="0" cy="955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</xdr:colOff>
      <xdr:row>21</xdr:row>
      <xdr:rowOff>42864</xdr:rowOff>
    </xdr:from>
    <xdr:to>
      <xdr:col>9</xdr:col>
      <xdr:colOff>180975</xdr:colOff>
      <xdr:row>23</xdr:row>
      <xdr:rowOff>142875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720896C9-E4B8-4A7A-997B-66C6F824453C}"/>
            </a:ext>
          </a:extLst>
        </xdr:cNvPr>
        <xdr:cNvSpPr/>
      </xdr:nvSpPr>
      <xdr:spPr>
        <a:xfrm rot="10800000">
          <a:off x="3052762" y="3595689"/>
          <a:ext cx="147638" cy="452436"/>
        </a:xfrm>
        <a:prstGeom prst="rightBrace">
          <a:avLst>
            <a:gd name="adj1" fmla="val 22014"/>
            <a:gd name="adj2" fmla="val 50000"/>
          </a:avLst>
        </a:prstGeom>
        <a:ln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R125"/>
  <sheetViews>
    <sheetView tabSelected="1" zoomScaleNormal="100" workbookViewId="0">
      <selection activeCell="U31" sqref="U31"/>
    </sheetView>
  </sheetViews>
  <sheetFormatPr defaultRowHeight="12.75" outlineLevelCol="1" x14ac:dyDescent="0.2"/>
  <cols>
    <col min="1" max="1" width="9.140625" style="1"/>
    <col min="2" max="2" width="12.5703125" style="1" customWidth="1"/>
    <col min="3" max="3" width="4.7109375" style="1" customWidth="1"/>
    <col min="4" max="4" width="11.42578125" style="1" customWidth="1"/>
    <col min="5" max="5" width="12" style="1" customWidth="1"/>
    <col min="6" max="6" width="10.85546875" style="1" customWidth="1"/>
    <col min="7" max="7" width="12.5703125" style="1" customWidth="1"/>
    <col min="8" max="8" width="7.7109375" style="1" customWidth="1"/>
    <col min="9" max="9" width="11.7109375" style="6" hidden="1" customWidth="1" outlineLevel="1"/>
    <col min="10" max="10" width="8.7109375" style="1" customWidth="1" collapsed="1"/>
    <col min="11" max="11" width="6.7109375" style="1" customWidth="1"/>
    <col min="12" max="12" width="10.42578125" style="1" customWidth="1"/>
    <col min="13" max="13" width="16.140625" style="1" hidden="1" customWidth="1"/>
    <col min="14" max="14" width="10.42578125" style="1" customWidth="1"/>
    <col min="15" max="15" width="15.42578125" style="1" hidden="1" customWidth="1"/>
    <col min="16" max="17" width="12" style="1" customWidth="1"/>
    <col min="18" max="18" width="9.140625" style="1" hidden="1" customWidth="1"/>
    <col min="19" max="16384" width="9.140625" style="1"/>
  </cols>
  <sheetData>
    <row r="1" spans="1:18" x14ac:dyDescent="0.2">
      <c r="A1" s="25" t="s">
        <v>31</v>
      </c>
      <c r="I1" s="27"/>
    </row>
    <row r="2" spans="1:18" x14ac:dyDescent="0.2">
      <c r="D2" s="28" t="s">
        <v>2</v>
      </c>
      <c r="E2" s="28"/>
      <c r="F2" s="28"/>
      <c r="G2" s="28"/>
      <c r="L2" s="28" t="s">
        <v>4</v>
      </c>
      <c r="M2" s="28"/>
      <c r="N2" s="28"/>
      <c r="O2" s="28"/>
      <c r="P2" s="28"/>
      <c r="Q2" s="28"/>
    </row>
    <row r="3" spans="1:18" ht="2.25" customHeight="1" x14ac:dyDescent="0.2"/>
    <row r="4" spans="1:18" ht="15.75" x14ac:dyDescent="0.3">
      <c r="A4" s="6"/>
      <c r="B4" s="6"/>
      <c r="C4" s="6"/>
      <c r="D4" s="2" t="s">
        <v>9</v>
      </c>
      <c r="E4" s="2" t="s">
        <v>10</v>
      </c>
      <c r="F4" s="2" t="s">
        <v>7</v>
      </c>
      <c r="G4" s="6" t="s">
        <v>22</v>
      </c>
      <c r="H4" s="6"/>
      <c r="I4" s="6" t="s">
        <v>30</v>
      </c>
      <c r="J4" s="32" t="s">
        <v>34</v>
      </c>
      <c r="K4" s="6"/>
      <c r="L4" s="2" t="s">
        <v>11</v>
      </c>
      <c r="M4" s="2"/>
      <c r="N4" s="2" t="s">
        <v>12</v>
      </c>
      <c r="O4" s="2"/>
      <c r="P4" s="2" t="s">
        <v>7</v>
      </c>
      <c r="Q4" s="6" t="s">
        <v>22</v>
      </c>
    </row>
    <row r="5" spans="1:18" ht="3.75" customHeight="1" x14ac:dyDescent="0.2">
      <c r="A5" s="6"/>
      <c r="B5" s="6"/>
      <c r="C5" s="6"/>
      <c r="D5" s="2"/>
      <c r="E5" s="2"/>
      <c r="F5" s="2"/>
      <c r="G5" s="6"/>
      <c r="H5" s="6"/>
      <c r="J5" s="6"/>
      <c r="K5" s="6"/>
      <c r="L5" s="2"/>
      <c r="M5" s="2"/>
      <c r="N5" s="2"/>
      <c r="O5" s="2"/>
      <c r="P5" s="2"/>
      <c r="Q5" s="6"/>
    </row>
    <row r="6" spans="1:18" x14ac:dyDescent="0.2">
      <c r="B6" s="7">
        <v>37256</v>
      </c>
      <c r="D6" s="12">
        <v>100</v>
      </c>
      <c r="E6" s="12">
        <v>0</v>
      </c>
      <c r="F6" s="12" t="s">
        <v>8</v>
      </c>
      <c r="G6" s="12">
        <f t="shared" ref="G6:G14" si="0">-D6+E6</f>
        <v>-100</v>
      </c>
      <c r="H6" s="12"/>
      <c r="I6" s="13">
        <v>3503</v>
      </c>
      <c r="J6" s="44">
        <f>I6/I$6*100</f>
        <v>100</v>
      </c>
      <c r="L6" s="42">
        <f>$J$15/$J6*D6</f>
        <v>130.59406223237224</v>
      </c>
      <c r="M6" s="45" t="s">
        <v>50</v>
      </c>
      <c r="N6" s="42">
        <f>$J$15/$J6*E6</f>
        <v>0</v>
      </c>
      <c r="O6" s="42"/>
      <c r="P6" s="14" t="str">
        <f t="shared" ref="P6:P15" si="1">F6</f>
        <v>...</v>
      </c>
      <c r="Q6" s="42">
        <f t="shared" ref="Q6:Q14" si="2">-L6+N6</f>
        <v>-130.59406223237224</v>
      </c>
      <c r="R6" s="45" t="s">
        <v>46</v>
      </c>
    </row>
    <row r="7" spans="1:18" x14ac:dyDescent="0.2">
      <c r="B7" s="7">
        <v>37621</v>
      </c>
      <c r="D7" s="12">
        <v>0</v>
      </c>
      <c r="E7" s="12">
        <v>0</v>
      </c>
      <c r="F7" s="12" t="s">
        <v>8</v>
      </c>
      <c r="G7" s="12">
        <f t="shared" si="0"/>
        <v>0</v>
      </c>
      <c r="H7" s="12"/>
      <c r="I7" s="13">
        <v>2728.82</v>
      </c>
      <c r="J7" s="44">
        <f>I7/I$6*100</f>
        <v>77.899514701684282</v>
      </c>
      <c r="K7" s="12"/>
      <c r="L7" s="42">
        <f>$J$15/$J7*D7</f>
        <v>0</v>
      </c>
      <c r="M7" s="42"/>
      <c r="N7" s="42">
        <f>$J$15/$J7*E7</f>
        <v>0</v>
      </c>
      <c r="O7" s="42"/>
      <c r="P7" s="14" t="str">
        <f t="shared" si="1"/>
        <v>...</v>
      </c>
      <c r="Q7" s="42">
        <f t="shared" si="2"/>
        <v>0</v>
      </c>
    </row>
    <row r="8" spans="1:18" x14ac:dyDescent="0.2">
      <c r="B8" s="7">
        <v>37986</v>
      </c>
      <c r="D8" s="12">
        <v>100</v>
      </c>
      <c r="E8" s="12">
        <v>25</v>
      </c>
      <c r="F8" s="12" t="s">
        <v>8</v>
      </c>
      <c r="G8" s="12">
        <f t="shared" si="0"/>
        <v>-75</v>
      </c>
      <c r="H8" s="12"/>
      <c r="I8" s="13">
        <v>3511.57</v>
      </c>
      <c r="J8" s="44">
        <f>I8/I$6*100</f>
        <v>100.24464744504711</v>
      </c>
      <c r="K8" s="12"/>
      <c r="L8" s="42">
        <f>$J$15/$J8*D8</f>
        <v>130.27534692459497</v>
      </c>
      <c r="M8" s="45" t="s">
        <v>49</v>
      </c>
      <c r="N8" s="42">
        <f>$J$15/$J8*E8</f>
        <v>32.568836731148743</v>
      </c>
      <c r="O8" s="45" t="s">
        <v>51</v>
      </c>
      <c r="P8" s="14" t="str">
        <f t="shared" si="1"/>
        <v>...</v>
      </c>
      <c r="Q8" s="42">
        <f t="shared" si="2"/>
        <v>-97.706510193446235</v>
      </c>
      <c r="R8" s="45" t="s">
        <v>52</v>
      </c>
    </row>
    <row r="9" spans="1:18" x14ac:dyDescent="0.2">
      <c r="B9" s="7">
        <v>38352</v>
      </c>
      <c r="D9" s="12">
        <v>0</v>
      </c>
      <c r="E9" s="12">
        <v>0</v>
      </c>
      <c r="F9" s="12" t="s">
        <v>8</v>
      </c>
      <c r="G9" s="12">
        <f t="shared" si="0"/>
        <v>0</v>
      </c>
      <c r="H9" s="12"/>
      <c r="I9" s="13">
        <v>3893.7000000000003</v>
      </c>
      <c r="J9" s="44">
        <f>I9/I$6*100</f>
        <v>111.15329717385099</v>
      </c>
      <c r="K9" s="12"/>
      <c r="L9" s="42">
        <f>$J$15/$J9*D9</f>
        <v>0</v>
      </c>
      <c r="M9" s="42"/>
      <c r="N9" s="42">
        <f>$J$15/$J9*E9</f>
        <v>0</v>
      </c>
      <c r="O9" s="42"/>
      <c r="P9" s="14" t="str">
        <f t="shared" si="1"/>
        <v>...</v>
      </c>
      <c r="Q9" s="42">
        <f t="shared" si="2"/>
        <v>0</v>
      </c>
    </row>
    <row r="10" spans="1:18" x14ac:dyDescent="0.2">
      <c r="B10" s="7">
        <v>38717</v>
      </c>
      <c r="D10" s="12">
        <v>50</v>
      </c>
      <c r="E10" s="12">
        <v>150</v>
      </c>
      <c r="F10" s="12" t="s">
        <v>8</v>
      </c>
      <c r="G10" s="12">
        <f t="shared" si="0"/>
        <v>100</v>
      </c>
      <c r="H10" s="12"/>
      <c r="I10" s="13">
        <v>4084.96</v>
      </c>
      <c r="J10" s="44">
        <f>I10/I$6*100</f>
        <v>116.61318869540393</v>
      </c>
      <c r="K10" s="12"/>
      <c r="L10" s="42">
        <f>$J$15/$J10*D10</f>
        <v>55.994550742234928</v>
      </c>
      <c r="M10" s="45" t="s">
        <v>54</v>
      </c>
      <c r="N10" s="42">
        <f>$J$15/$J10*E10</f>
        <v>167.98365222670478</v>
      </c>
      <c r="O10" s="45" t="s">
        <v>53</v>
      </c>
      <c r="P10" s="14" t="str">
        <f t="shared" si="1"/>
        <v>...</v>
      </c>
      <c r="Q10" s="42">
        <f t="shared" si="2"/>
        <v>111.98910148446984</v>
      </c>
      <c r="R10" s="45" t="s">
        <v>49</v>
      </c>
    </row>
    <row r="11" spans="1:18" x14ac:dyDescent="0.2">
      <c r="B11" s="7">
        <v>39082</v>
      </c>
      <c r="D11" s="12">
        <v>0</v>
      </c>
      <c r="E11" s="12">
        <v>0</v>
      </c>
      <c r="F11" s="12" t="s">
        <v>8</v>
      </c>
      <c r="G11" s="12">
        <f t="shared" si="0"/>
        <v>0</v>
      </c>
      <c r="H11" s="12"/>
      <c r="I11" s="13">
        <v>4730.1400000000003</v>
      </c>
      <c r="J11" s="44">
        <f>I11/I$6*100</f>
        <v>135.03111618612618</v>
      </c>
      <c r="K11" s="12"/>
      <c r="L11" s="42">
        <f>$J$15/$J11*D11</f>
        <v>0</v>
      </c>
      <c r="M11" s="42"/>
      <c r="N11" s="42">
        <f>$J$15/$J11*E11</f>
        <v>0</v>
      </c>
      <c r="O11" s="42"/>
      <c r="P11" s="14" t="str">
        <f t="shared" si="1"/>
        <v>...</v>
      </c>
      <c r="Q11" s="42">
        <f t="shared" si="2"/>
        <v>0</v>
      </c>
    </row>
    <row r="12" spans="1:18" x14ac:dyDescent="0.2">
      <c r="B12" s="7">
        <v>39447</v>
      </c>
      <c r="D12" s="12">
        <v>0</v>
      </c>
      <c r="E12" s="12">
        <v>150</v>
      </c>
      <c r="F12" s="12" t="s">
        <v>8</v>
      </c>
      <c r="G12" s="12">
        <f t="shared" si="0"/>
        <v>150</v>
      </c>
      <c r="H12" s="12"/>
      <c r="I12" s="13">
        <v>4990.0200000000004</v>
      </c>
      <c r="J12" s="44">
        <f>I12/I$6*100</f>
        <v>142.44990008564088</v>
      </c>
      <c r="K12" s="12"/>
      <c r="L12" s="42">
        <f>$J$15/$J12*D12</f>
        <v>0</v>
      </c>
      <c r="M12" s="42"/>
      <c r="N12" s="42">
        <f>$J$15/$J12*E12</f>
        <v>137.51578149987375</v>
      </c>
      <c r="O12" s="45" t="s">
        <v>48</v>
      </c>
      <c r="P12" s="14" t="str">
        <f t="shared" si="1"/>
        <v>...</v>
      </c>
      <c r="Q12" s="42">
        <f t="shared" si="2"/>
        <v>137.51578149987375</v>
      </c>
      <c r="R12" s="45" t="s">
        <v>48</v>
      </c>
    </row>
    <row r="13" spans="1:18" x14ac:dyDescent="0.2">
      <c r="B13" s="7">
        <v>39813</v>
      </c>
      <c r="D13" s="12">
        <v>0</v>
      </c>
      <c r="E13" s="12">
        <v>0</v>
      </c>
      <c r="F13" s="12" t="s">
        <v>8</v>
      </c>
      <c r="G13" s="12">
        <f t="shared" si="0"/>
        <v>0</v>
      </c>
      <c r="H13" s="12"/>
      <c r="I13" s="13">
        <v>3143.82</v>
      </c>
      <c r="J13" s="44">
        <f>I13/I$6*100</f>
        <v>89.746502997430781</v>
      </c>
      <c r="K13" s="12"/>
      <c r="L13" s="42">
        <f>$J$15/$J13*D13</f>
        <v>0</v>
      </c>
      <c r="M13" s="42"/>
      <c r="N13" s="42">
        <f>$J$15/$J13*E13</f>
        <v>0</v>
      </c>
      <c r="O13" s="42"/>
      <c r="P13" s="14" t="str">
        <f t="shared" si="1"/>
        <v>...</v>
      </c>
      <c r="Q13" s="42">
        <f t="shared" si="2"/>
        <v>0</v>
      </c>
    </row>
    <row r="14" spans="1:18" x14ac:dyDescent="0.2">
      <c r="B14" s="7">
        <v>40178</v>
      </c>
      <c r="D14" s="12">
        <v>0</v>
      </c>
      <c r="E14" s="12">
        <v>100</v>
      </c>
      <c r="F14" s="12" t="s">
        <v>8</v>
      </c>
      <c r="G14" s="12">
        <f t="shared" si="0"/>
        <v>100</v>
      </c>
      <c r="H14" s="12"/>
      <c r="I14" s="13">
        <v>3975.82</v>
      </c>
      <c r="J14" s="44">
        <f>I14/I$6*100</f>
        <v>113.49757350842135</v>
      </c>
      <c r="K14" s="12"/>
      <c r="L14" s="42">
        <f>$J$15/$J14*D14</f>
        <v>0</v>
      </c>
      <c r="M14" s="42"/>
      <c r="N14" s="42">
        <f>$J$15/$J14*E14</f>
        <v>115.06330769501636</v>
      </c>
      <c r="O14" s="45" t="s">
        <v>47</v>
      </c>
      <c r="P14" s="14" t="str">
        <f t="shared" si="1"/>
        <v>...</v>
      </c>
      <c r="Q14" s="42">
        <f t="shared" si="2"/>
        <v>115.06330769501636</v>
      </c>
      <c r="R14" s="45" t="s">
        <v>47</v>
      </c>
    </row>
    <row r="15" spans="1:18" x14ac:dyDescent="0.2">
      <c r="B15" s="7">
        <v>40543</v>
      </c>
      <c r="D15" s="12">
        <v>0</v>
      </c>
      <c r="E15" s="12">
        <v>0</v>
      </c>
      <c r="F15" s="12">
        <v>75</v>
      </c>
      <c r="G15" s="12">
        <f>-D15+E15+F15</f>
        <v>75</v>
      </c>
      <c r="H15" s="12"/>
      <c r="I15" s="13">
        <v>4574.71</v>
      </c>
      <c r="J15" s="44">
        <f>I15/I$6*100</f>
        <v>130.59406223237224</v>
      </c>
      <c r="K15" s="12"/>
      <c r="L15" s="42">
        <f>$J$15/$J15*D15</f>
        <v>0</v>
      </c>
      <c r="M15" s="42"/>
      <c r="N15" s="42">
        <f>$J$15/$J15*E15</f>
        <v>0</v>
      </c>
      <c r="O15" s="42"/>
      <c r="P15" s="14">
        <f t="shared" si="1"/>
        <v>75</v>
      </c>
      <c r="Q15" s="42">
        <f>-L15+N15+P15</f>
        <v>75</v>
      </c>
    </row>
    <row r="16" spans="1:18" ht="7.5" customHeight="1" x14ac:dyDescent="0.2">
      <c r="B16" s="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2">
      <c r="B17" s="4" t="s">
        <v>3</v>
      </c>
      <c r="D17" s="12">
        <f>SUM(D6:D15)</f>
        <v>250</v>
      </c>
      <c r="E17" s="12">
        <f>SUM(E6:E15)</f>
        <v>425</v>
      </c>
      <c r="F17" s="12"/>
      <c r="G17" s="12"/>
      <c r="H17" s="12"/>
      <c r="I17" s="12"/>
      <c r="J17" s="12"/>
      <c r="K17" s="12"/>
      <c r="L17" s="42">
        <f>SUM(L6:L15)</f>
        <v>316.86395989920214</v>
      </c>
      <c r="M17" s="42"/>
      <c r="N17" s="42">
        <f>SUM(N6:N15)</f>
        <v>453.13157815274366</v>
      </c>
      <c r="O17" s="42"/>
      <c r="P17" s="14"/>
      <c r="Q17" s="12"/>
    </row>
    <row r="18" spans="1:17" ht="9" customHeight="1" x14ac:dyDescent="0.2">
      <c r="B18" s="11"/>
      <c r="D18" s="8"/>
      <c r="E18" s="8"/>
      <c r="F18" s="8"/>
      <c r="G18" s="8"/>
      <c r="L18" s="10"/>
      <c r="M18" s="10"/>
      <c r="N18" s="10"/>
      <c r="O18" s="10"/>
      <c r="P18" s="10"/>
      <c r="Q18" s="8"/>
    </row>
    <row r="19" spans="1:17" hidden="1" x14ac:dyDescent="0.2">
      <c r="D19" s="8"/>
      <c r="E19" s="5" t="s">
        <v>0</v>
      </c>
      <c r="F19" s="16">
        <f>(E17+F15)/D17</f>
        <v>2</v>
      </c>
      <c r="H19" s="46" t="s">
        <v>56</v>
      </c>
      <c r="N19" s="5" t="s">
        <v>29</v>
      </c>
      <c r="O19" s="16">
        <f>(N17+P15)/L17</f>
        <v>1.666745496460841</v>
      </c>
      <c r="P19" s="46" t="s">
        <v>55</v>
      </c>
    </row>
    <row r="20" spans="1:17" x14ac:dyDescent="0.2">
      <c r="D20" s="8"/>
      <c r="F20" s="5" t="s">
        <v>1</v>
      </c>
      <c r="G20" s="41">
        <f>XIRR(G6:G15,B6:B15)</f>
        <v>0.17520130276679996</v>
      </c>
      <c r="N20" s="9"/>
      <c r="O20" s="9"/>
      <c r="P20" s="5" t="s">
        <v>28</v>
      </c>
      <c r="Q20" s="41">
        <f>XIRR(Q6:Q15,B6:B15)</f>
        <v>0.1256922543048859</v>
      </c>
    </row>
    <row r="21" spans="1:17" x14ac:dyDescent="0.2">
      <c r="Q21" s="43" t="s">
        <v>45</v>
      </c>
    </row>
    <row r="22" spans="1:17" x14ac:dyDescent="0.2">
      <c r="I22" s="27"/>
    </row>
    <row r="23" spans="1:17" x14ac:dyDescent="0.2">
      <c r="A23" s="25" t="s">
        <v>32</v>
      </c>
    </row>
    <row r="24" spans="1:17" x14ac:dyDescent="0.2">
      <c r="D24" s="28" t="s">
        <v>2</v>
      </c>
      <c r="E24" s="28"/>
      <c r="F24" s="28"/>
      <c r="G24" s="28"/>
      <c r="L24" s="28" t="s">
        <v>24</v>
      </c>
      <c r="M24" s="28"/>
      <c r="N24" s="28"/>
      <c r="O24" s="28"/>
      <c r="P24" s="28"/>
      <c r="Q24" s="28"/>
    </row>
    <row r="25" spans="1:17" ht="6" customHeight="1" x14ac:dyDescent="0.2"/>
    <row r="26" spans="1:17" s="6" customFormat="1" ht="15.75" x14ac:dyDescent="0.3">
      <c r="D26" s="2" t="s">
        <v>9</v>
      </c>
      <c r="E26" s="2" t="s">
        <v>10</v>
      </c>
      <c r="F26" s="2" t="s">
        <v>7</v>
      </c>
      <c r="G26" s="6" t="s">
        <v>22</v>
      </c>
      <c r="I26" s="27" t="s">
        <v>30</v>
      </c>
      <c r="J26" s="32" t="s">
        <v>34</v>
      </c>
      <c r="L26" s="2" t="s">
        <v>9</v>
      </c>
      <c r="M26" s="2"/>
      <c r="N26" s="2" t="s">
        <v>10</v>
      </c>
      <c r="O26" s="2"/>
      <c r="P26" s="6" t="s">
        <v>6</v>
      </c>
      <c r="Q26" s="6" t="s">
        <v>22</v>
      </c>
    </row>
    <row r="27" spans="1:17" s="6" customFormat="1" x14ac:dyDescent="0.2">
      <c r="D27" s="2"/>
      <c r="E27" s="2"/>
      <c r="F27" s="2"/>
      <c r="L27" s="2"/>
      <c r="M27" s="2"/>
      <c r="N27" s="2"/>
      <c r="O27" s="2"/>
    </row>
    <row r="28" spans="1:17" x14ac:dyDescent="0.2">
      <c r="B28" s="7">
        <v>37256</v>
      </c>
      <c r="D28" s="12">
        <v>100</v>
      </c>
      <c r="E28" s="12">
        <v>0</v>
      </c>
      <c r="F28" s="12" t="s">
        <v>8</v>
      </c>
      <c r="G28" s="12">
        <f>-D28+E28</f>
        <v>-100</v>
      </c>
      <c r="H28" s="12"/>
      <c r="I28" s="13">
        <v>3503</v>
      </c>
      <c r="J28" s="44">
        <f t="shared" ref="J28:J37" si="3">I28/I$28*100</f>
        <v>100</v>
      </c>
      <c r="K28" s="12"/>
      <c r="L28" s="42">
        <f t="shared" ref="L28:L37" si="4">D28</f>
        <v>100</v>
      </c>
      <c r="M28" s="42"/>
      <c r="N28" s="42">
        <f t="shared" ref="N28:N37" si="5">E28</f>
        <v>0</v>
      </c>
      <c r="O28" s="42"/>
      <c r="P28" s="15">
        <f>L28-N28</f>
        <v>100</v>
      </c>
      <c r="Q28" s="42">
        <f>-L28+N28</f>
        <v>-100</v>
      </c>
    </row>
    <row r="29" spans="1:17" x14ac:dyDescent="0.2">
      <c r="B29" s="7">
        <v>37621</v>
      </c>
      <c r="D29" s="12">
        <v>0</v>
      </c>
      <c r="E29" s="12">
        <v>0</v>
      </c>
      <c r="F29" s="12" t="s">
        <v>8</v>
      </c>
      <c r="G29" s="12">
        <f t="shared" ref="G29:G36" si="6">-D29+E29</f>
        <v>0</v>
      </c>
      <c r="H29" s="12"/>
      <c r="I29" s="13">
        <v>2728.82</v>
      </c>
      <c r="J29" s="44">
        <f t="shared" si="3"/>
        <v>77.899514701684282</v>
      </c>
      <c r="K29" s="12"/>
      <c r="L29" s="42">
        <f t="shared" si="4"/>
        <v>0</v>
      </c>
      <c r="M29" s="42"/>
      <c r="N29" s="42">
        <f t="shared" si="5"/>
        <v>0</v>
      </c>
      <c r="O29" s="42"/>
      <c r="P29" s="15">
        <f t="shared" ref="P29:P37" si="7">P28*J29/J28+L29-N29</f>
        <v>77.899514701684282</v>
      </c>
      <c r="Q29" s="42">
        <f t="shared" ref="Q29:Q36" si="8">-L29+N29</f>
        <v>0</v>
      </c>
    </row>
    <row r="30" spans="1:17" x14ac:dyDescent="0.2">
      <c r="B30" s="7">
        <v>37986</v>
      </c>
      <c r="D30" s="12">
        <v>100</v>
      </c>
      <c r="E30" s="12">
        <v>25</v>
      </c>
      <c r="F30" s="12" t="s">
        <v>8</v>
      </c>
      <c r="G30" s="12">
        <f t="shared" si="6"/>
        <v>-75</v>
      </c>
      <c r="H30" s="12"/>
      <c r="I30" s="13">
        <v>3511.57</v>
      </c>
      <c r="J30" s="44">
        <f t="shared" si="3"/>
        <v>100.24464744504711</v>
      </c>
      <c r="K30" s="12"/>
      <c r="L30" s="42">
        <f t="shared" si="4"/>
        <v>100</v>
      </c>
      <c r="M30" s="42"/>
      <c r="N30" s="42">
        <f t="shared" si="5"/>
        <v>25</v>
      </c>
      <c r="O30" s="42"/>
      <c r="P30" s="15">
        <f t="shared" si="7"/>
        <v>175.24464744504712</v>
      </c>
      <c r="Q30" s="42">
        <f t="shared" si="8"/>
        <v>-75</v>
      </c>
    </row>
    <row r="31" spans="1:17" x14ac:dyDescent="0.2">
      <c r="B31" s="7">
        <v>38352</v>
      </c>
      <c r="D31" s="12">
        <v>0</v>
      </c>
      <c r="E31" s="12">
        <v>0</v>
      </c>
      <c r="F31" s="12" t="s">
        <v>8</v>
      </c>
      <c r="G31" s="12">
        <f t="shared" si="6"/>
        <v>0</v>
      </c>
      <c r="H31" s="12"/>
      <c r="I31" s="13">
        <v>3893.7000000000003</v>
      </c>
      <c r="J31" s="44">
        <f t="shared" si="3"/>
        <v>111.15329717385099</v>
      </c>
      <c r="K31" s="12"/>
      <c r="L31" s="42">
        <f t="shared" si="4"/>
        <v>0</v>
      </c>
      <c r="M31" s="42"/>
      <c r="N31" s="42">
        <f t="shared" si="5"/>
        <v>0</v>
      </c>
      <c r="O31" s="42"/>
      <c r="P31" s="15">
        <f t="shared" si="7"/>
        <v>194.3148175194514</v>
      </c>
      <c r="Q31" s="42">
        <f t="shared" si="8"/>
        <v>0</v>
      </c>
    </row>
    <row r="32" spans="1:17" x14ac:dyDescent="0.2">
      <c r="B32" s="7">
        <v>38717</v>
      </c>
      <c r="D32" s="12">
        <v>50</v>
      </c>
      <c r="E32" s="12">
        <v>150</v>
      </c>
      <c r="F32" s="12" t="s">
        <v>8</v>
      </c>
      <c r="G32" s="12">
        <f t="shared" si="6"/>
        <v>100</v>
      </c>
      <c r="H32" s="12"/>
      <c r="I32" s="13">
        <v>4084.96</v>
      </c>
      <c r="J32" s="44">
        <f t="shared" si="3"/>
        <v>116.61318869540393</v>
      </c>
      <c r="K32" s="12"/>
      <c r="L32" s="42">
        <f t="shared" si="4"/>
        <v>50</v>
      </c>
      <c r="M32" s="42"/>
      <c r="N32" s="42">
        <f t="shared" si="5"/>
        <v>150</v>
      </c>
      <c r="O32" s="42"/>
      <c r="P32" s="15">
        <f t="shared" si="7"/>
        <v>103.85963401758175</v>
      </c>
      <c r="Q32" s="42">
        <f t="shared" si="8"/>
        <v>100</v>
      </c>
    </row>
    <row r="33" spans="2:17" x14ac:dyDescent="0.2">
      <c r="B33" s="7">
        <v>39082</v>
      </c>
      <c r="D33" s="12">
        <v>0</v>
      </c>
      <c r="E33" s="12">
        <v>0</v>
      </c>
      <c r="F33" s="12" t="s">
        <v>8</v>
      </c>
      <c r="G33" s="12">
        <f t="shared" si="6"/>
        <v>0</v>
      </c>
      <c r="H33" s="12"/>
      <c r="I33" s="13">
        <v>4730.1400000000003</v>
      </c>
      <c r="J33" s="44">
        <f t="shared" si="3"/>
        <v>135.03111618612618</v>
      </c>
      <c r="K33" s="12"/>
      <c r="L33" s="42">
        <f t="shared" si="4"/>
        <v>0</v>
      </c>
      <c r="M33" s="42"/>
      <c r="N33" s="42">
        <f t="shared" si="5"/>
        <v>0</v>
      </c>
      <c r="O33" s="42"/>
      <c r="P33" s="15">
        <f t="shared" si="7"/>
        <v>120.26326065663413</v>
      </c>
      <c r="Q33" s="42">
        <f t="shared" si="8"/>
        <v>0</v>
      </c>
    </row>
    <row r="34" spans="2:17" x14ac:dyDescent="0.2">
      <c r="B34" s="7">
        <v>39447</v>
      </c>
      <c r="D34" s="12">
        <v>0</v>
      </c>
      <c r="E34" s="12">
        <v>150</v>
      </c>
      <c r="F34" s="12" t="s">
        <v>8</v>
      </c>
      <c r="G34" s="12">
        <f t="shared" si="6"/>
        <v>150</v>
      </c>
      <c r="H34" s="12"/>
      <c r="I34" s="13">
        <v>4990.0200000000004</v>
      </c>
      <c r="J34" s="44">
        <f t="shared" si="3"/>
        <v>142.44990008564088</v>
      </c>
      <c r="K34" s="12"/>
      <c r="L34" s="42">
        <f t="shared" si="4"/>
        <v>0</v>
      </c>
      <c r="M34" s="42"/>
      <c r="N34" s="42">
        <f t="shared" si="5"/>
        <v>150</v>
      </c>
      <c r="O34" s="42"/>
      <c r="P34" s="15">
        <f t="shared" si="7"/>
        <v>-23.129320497529164</v>
      </c>
      <c r="Q34" s="42">
        <f t="shared" si="8"/>
        <v>150</v>
      </c>
    </row>
    <row r="35" spans="2:17" x14ac:dyDescent="0.2">
      <c r="B35" s="7">
        <v>39813</v>
      </c>
      <c r="D35" s="12">
        <v>0</v>
      </c>
      <c r="E35" s="12">
        <v>0</v>
      </c>
      <c r="F35" s="12" t="s">
        <v>8</v>
      </c>
      <c r="G35" s="12">
        <f t="shared" si="6"/>
        <v>0</v>
      </c>
      <c r="H35" s="12"/>
      <c r="I35" s="13">
        <v>3143.82</v>
      </c>
      <c r="J35" s="44">
        <f t="shared" si="3"/>
        <v>89.746502997430781</v>
      </c>
      <c r="K35" s="12"/>
      <c r="L35" s="42">
        <f t="shared" si="4"/>
        <v>0</v>
      </c>
      <c r="M35" s="42"/>
      <c r="N35" s="42">
        <f t="shared" si="5"/>
        <v>0</v>
      </c>
      <c r="O35" s="42"/>
      <c r="P35" s="15">
        <f t="shared" si="7"/>
        <v>-14.571969724879288</v>
      </c>
      <c r="Q35" s="42">
        <f t="shared" si="8"/>
        <v>0</v>
      </c>
    </row>
    <row r="36" spans="2:17" x14ac:dyDescent="0.2">
      <c r="B36" s="7">
        <v>40178</v>
      </c>
      <c r="D36" s="12">
        <v>0</v>
      </c>
      <c r="E36" s="12">
        <v>100</v>
      </c>
      <c r="F36" s="12" t="s">
        <v>8</v>
      </c>
      <c r="G36" s="12">
        <f t="shared" si="6"/>
        <v>100</v>
      </c>
      <c r="H36" s="12"/>
      <c r="I36" s="13">
        <v>3975.82</v>
      </c>
      <c r="J36" s="44">
        <f t="shared" si="3"/>
        <v>113.49757350842135</v>
      </c>
      <c r="K36" s="12"/>
      <c r="L36" s="42">
        <f t="shared" si="4"/>
        <v>0</v>
      </c>
      <c r="M36" s="42"/>
      <c r="N36" s="42">
        <f t="shared" si="5"/>
        <v>100</v>
      </c>
      <c r="O36" s="42"/>
      <c r="P36" s="15">
        <f t="shared" si="7"/>
        <v>-118.42838606267838</v>
      </c>
      <c r="Q36" s="42">
        <f t="shared" si="8"/>
        <v>100</v>
      </c>
    </row>
    <row r="37" spans="2:17" x14ac:dyDescent="0.2">
      <c r="B37" s="7">
        <v>40543</v>
      </c>
      <c r="D37" s="12">
        <v>0</v>
      </c>
      <c r="E37" s="12">
        <v>0</v>
      </c>
      <c r="F37" s="12">
        <v>75</v>
      </c>
      <c r="G37" s="12">
        <f>-D37+E37+F37</f>
        <v>75</v>
      </c>
      <c r="H37" s="12"/>
      <c r="I37" s="13">
        <v>4574.71</v>
      </c>
      <c r="J37" s="44">
        <f t="shared" si="3"/>
        <v>130.59406223237224</v>
      </c>
      <c r="K37" s="12"/>
      <c r="L37" s="42">
        <f t="shared" si="4"/>
        <v>0</v>
      </c>
      <c r="M37" s="42"/>
      <c r="N37" s="42">
        <f t="shared" si="5"/>
        <v>0</v>
      </c>
      <c r="O37" s="42"/>
      <c r="P37" s="14">
        <f t="shared" si="7"/>
        <v>-136.26761825354151</v>
      </c>
      <c r="Q37" s="42">
        <f>-L37+N37+P37</f>
        <v>-136.26761825354151</v>
      </c>
    </row>
    <row r="38" spans="2:17" x14ac:dyDescent="0.2">
      <c r="B38" s="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x14ac:dyDescent="0.2">
      <c r="B39" s="4" t="s">
        <v>3</v>
      </c>
      <c r="D39" s="12">
        <f>SUM(D28:D37)</f>
        <v>250</v>
      </c>
      <c r="E39" s="12">
        <f>SUM(E28:E37)</f>
        <v>425</v>
      </c>
      <c r="F39" s="12"/>
      <c r="G39" s="12"/>
      <c r="H39" s="12"/>
      <c r="I39" s="12"/>
      <c r="J39" s="12"/>
      <c r="K39" s="12"/>
      <c r="L39" s="14"/>
      <c r="M39" s="14"/>
      <c r="N39" s="14"/>
      <c r="O39" s="14"/>
      <c r="P39" s="12"/>
      <c r="Q39" s="12"/>
    </row>
    <row r="40" spans="2:17" x14ac:dyDescent="0.2">
      <c r="D40" s="8"/>
      <c r="E40" s="8"/>
      <c r="F40" s="5" t="s">
        <v>1</v>
      </c>
      <c r="G40" s="41">
        <f>XIRR(G28:G37,B28:B37)</f>
        <v>0.17520130276679996</v>
      </c>
      <c r="N40" s="8"/>
      <c r="O40" s="8"/>
      <c r="P40" s="5" t="s">
        <v>13</v>
      </c>
      <c r="Q40" s="41">
        <f>XIRR(Q28:Q37,B28:B37)</f>
        <v>6.0472491383552554E-2</v>
      </c>
    </row>
    <row r="41" spans="2:17" x14ac:dyDescent="0.2">
      <c r="D41" s="8"/>
      <c r="F41" s="5" t="s">
        <v>0</v>
      </c>
      <c r="G41" s="16">
        <f>(E39+F37)/D39</f>
        <v>2</v>
      </c>
      <c r="N41" s="9"/>
      <c r="O41" s="9"/>
      <c r="P41" s="5" t="s">
        <v>23</v>
      </c>
      <c r="Q41" s="41">
        <f>G40-Q40</f>
        <v>0.11472881138324741</v>
      </c>
    </row>
    <row r="49" spans="1:17" x14ac:dyDescent="0.2">
      <c r="A49" s="25" t="s">
        <v>33</v>
      </c>
    </row>
    <row r="50" spans="1:17" x14ac:dyDescent="0.2">
      <c r="D50" s="28" t="s">
        <v>2</v>
      </c>
      <c r="E50" s="28"/>
      <c r="F50" s="28"/>
      <c r="G50" s="28"/>
      <c r="L50" s="28" t="s">
        <v>14</v>
      </c>
      <c r="M50" s="28"/>
      <c r="N50" s="28"/>
      <c r="O50" s="28"/>
      <c r="P50" s="28"/>
      <c r="Q50" s="28"/>
    </row>
    <row r="51" spans="1:17" ht="6" customHeight="1" x14ac:dyDescent="0.2"/>
    <row r="52" spans="1:17" s="6" customFormat="1" ht="15.75" x14ac:dyDescent="0.3">
      <c r="D52" s="2" t="s">
        <v>9</v>
      </c>
      <c r="E52" s="2" t="s">
        <v>10</v>
      </c>
      <c r="F52" s="2" t="s">
        <v>7</v>
      </c>
      <c r="G52" s="6" t="s">
        <v>22</v>
      </c>
      <c r="I52" s="27" t="s">
        <v>30</v>
      </c>
      <c r="J52" s="32" t="s">
        <v>34</v>
      </c>
      <c r="L52" s="2" t="s">
        <v>9</v>
      </c>
      <c r="M52" s="2"/>
      <c r="N52" s="2" t="s">
        <v>17</v>
      </c>
      <c r="O52" s="2"/>
      <c r="P52" s="2" t="s">
        <v>7</v>
      </c>
      <c r="Q52" s="6" t="s">
        <v>22</v>
      </c>
    </row>
    <row r="53" spans="1:17" s="6" customFormat="1" ht="10.5" customHeight="1" x14ac:dyDescent="0.2">
      <c r="D53" s="2"/>
      <c r="E53" s="2"/>
      <c r="F53" s="2"/>
      <c r="L53" s="2"/>
      <c r="M53" s="2"/>
      <c r="N53" s="2"/>
      <c r="O53" s="2"/>
    </row>
    <row r="54" spans="1:17" x14ac:dyDescent="0.2">
      <c r="B54" s="7">
        <v>37256</v>
      </c>
      <c r="D54" s="12">
        <v>100</v>
      </c>
      <c r="E54" s="12">
        <v>0</v>
      </c>
      <c r="F54" s="12" t="s">
        <v>8</v>
      </c>
      <c r="G54" s="12">
        <f t="shared" ref="G54:G62" si="9">-D54+E54</f>
        <v>-100</v>
      </c>
      <c r="H54" s="12"/>
      <c r="I54" s="13">
        <v>3503</v>
      </c>
      <c r="J54" s="44">
        <f t="shared" ref="J54:J63" si="10">I54/I$54*100</f>
        <v>100</v>
      </c>
      <c r="K54" s="12"/>
      <c r="L54" s="42">
        <f t="shared" ref="L54:L63" si="11">D54</f>
        <v>100</v>
      </c>
      <c r="M54" s="42"/>
      <c r="N54" s="42">
        <f>E54*Q$66</f>
        <v>0</v>
      </c>
      <c r="O54" s="42"/>
      <c r="P54" s="14" t="str">
        <f t="shared" ref="P54:P63" si="12">F54</f>
        <v>...</v>
      </c>
      <c r="Q54" s="42">
        <f t="shared" ref="Q54:Q62" si="13">-L54+N54</f>
        <v>-100</v>
      </c>
    </row>
    <row r="55" spans="1:17" x14ac:dyDescent="0.2">
      <c r="B55" s="7">
        <v>37621</v>
      </c>
      <c r="D55" s="12">
        <v>0</v>
      </c>
      <c r="E55" s="12">
        <v>0</v>
      </c>
      <c r="F55" s="12" t="s">
        <v>8</v>
      </c>
      <c r="G55" s="12">
        <f t="shared" si="9"/>
        <v>0</v>
      </c>
      <c r="H55" s="12"/>
      <c r="I55" s="13">
        <v>2728.82</v>
      </c>
      <c r="J55" s="44">
        <f t="shared" si="10"/>
        <v>77.899514701684282</v>
      </c>
      <c r="K55" s="12"/>
      <c r="L55" s="42">
        <f t="shared" si="11"/>
        <v>0</v>
      </c>
      <c r="M55" s="42"/>
      <c r="N55" s="42">
        <f>E55*Q$66</f>
        <v>0</v>
      </c>
      <c r="O55" s="42"/>
      <c r="P55" s="14" t="str">
        <f t="shared" si="12"/>
        <v>...</v>
      </c>
      <c r="Q55" s="42">
        <f t="shared" si="13"/>
        <v>0</v>
      </c>
    </row>
    <row r="56" spans="1:17" x14ac:dyDescent="0.2">
      <c r="B56" s="7">
        <v>37986</v>
      </c>
      <c r="D56" s="12">
        <v>100</v>
      </c>
      <c r="E56" s="12">
        <v>25</v>
      </c>
      <c r="F56" s="12" t="s">
        <v>8</v>
      </c>
      <c r="G56" s="12">
        <f t="shared" si="9"/>
        <v>-75</v>
      </c>
      <c r="H56" s="12"/>
      <c r="I56" s="13">
        <v>3511.57</v>
      </c>
      <c r="J56" s="44">
        <f t="shared" si="10"/>
        <v>100.24464744504711</v>
      </c>
      <c r="K56" s="12"/>
      <c r="L56" s="42">
        <f t="shared" si="11"/>
        <v>100</v>
      </c>
      <c r="M56" s="42"/>
      <c r="N56" s="42">
        <f>E56*Q$66</f>
        <v>13.344024757951958</v>
      </c>
      <c r="O56" s="42"/>
      <c r="P56" s="14" t="str">
        <f t="shared" si="12"/>
        <v>...</v>
      </c>
      <c r="Q56" s="42">
        <f t="shared" si="13"/>
        <v>-86.655975242048044</v>
      </c>
    </row>
    <row r="57" spans="1:17" x14ac:dyDescent="0.2">
      <c r="B57" s="7">
        <v>38352</v>
      </c>
      <c r="D57" s="12">
        <v>0</v>
      </c>
      <c r="E57" s="12">
        <v>0</v>
      </c>
      <c r="F57" s="12" t="s">
        <v>8</v>
      </c>
      <c r="G57" s="12">
        <f t="shared" si="9"/>
        <v>0</v>
      </c>
      <c r="H57" s="12"/>
      <c r="I57" s="13">
        <v>3893.7000000000003</v>
      </c>
      <c r="J57" s="44">
        <f t="shared" si="10"/>
        <v>111.15329717385099</v>
      </c>
      <c r="K57" s="12"/>
      <c r="L57" s="42">
        <f t="shared" si="11"/>
        <v>0</v>
      </c>
      <c r="M57" s="42"/>
      <c r="N57" s="42">
        <f>E57*Q$66</f>
        <v>0</v>
      </c>
      <c r="O57" s="42"/>
      <c r="P57" s="14" t="str">
        <f t="shared" si="12"/>
        <v>...</v>
      </c>
      <c r="Q57" s="42">
        <f t="shared" si="13"/>
        <v>0</v>
      </c>
    </row>
    <row r="58" spans="1:17" x14ac:dyDescent="0.2">
      <c r="B58" s="7">
        <v>38717</v>
      </c>
      <c r="D58" s="12">
        <v>50</v>
      </c>
      <c r="E58" s="12">
        <v>150</v>
      </c>
      <c r="F58" s="12" t="s">
        <v>8</v>
      </c>
      <c r="G58" s="12">
        <f t="shared" si="9"/>
        <v>100</v>
      </c>
      <c r="H58" s="12"/>
      <c r="I58" s="13">
        <v>4084.96</v>
      </c>
      <c r="J58" s="44">
        <f t="shared" si="10"/>
        <v>116.61318869540393</v>
      </c>
      <c r="K58" s="12"/>
      <c r="L58" s="42">
        <f t="shared" si="11"/>
        <v>50</v>
      </c>
      <c r="M58" s="42"/>
      <c r="N58" s="42">
        <f>E58*Q$66</f>
        <v>80.064148547711753</v>
      </c>
      <c r="O58" s="42"/>
      <c r="P58" s="14" t="str">
        <f t="shared" si="12"/>
        <v>...</v>
      </c>
      <c r="Q58" s="42">
        <f t="shared" si="13"/>
        <v>30.064148547711753</v>
      </c>
    </row>
    <row r="59" spans="1:17" x14ac:dyDescent="0.2">
      <c r="B59" s="7">
        <v>39082</v>
      </c>
      <c r="D59" s="12">
        <v>0</v>
      </c>
      <c r="E59" s="12">
        <v>0</v>
      </c>
      <c r="F59" s="12" t="s">
        <v>8</v>
      </c>
      <c r="G59" s="12">
        <f t="shared" si="9"/>
        <v>0</v>
      </c>
      <c r="H59" s="12"/>
      <c r="I59" s="13">
        <v>4730.1400000000003</v>
      </c>
      <c r="J59" s="44">
        <f t="shared" si="10"/>
        <v>135.03111618612618</v>
      </c>
      <c r="K59" s="12"/>
      <c r="L59" s="42">
        <f t="shared" si="11"/>
        <v>0</v>
      </c>
      <c r="M59" s="42"/>
      <c r="N59" s="42">
        <f>E59*Q$66</f>
        <v>0</v>
      </c>
      <c r="O59" s="42"/>
      <c r="P59" s="14" t="str">
        <f t="shared" si="12"/>
        <v>...</v>
      </c>
      <c r="Q59" s="42">
        <f t="shared" si="13"/>
        <v>0</v>
      </c>
    </row>
    <row r="60" spans="1:17" x14ac:dyDescent="0.2">
      <c r="B60" s="7">
        <v>39447</v>
      </c>
      <c r="D60" s="12">
        <v>0</v>
      </c>
      <c r="E60" s="12">
        <v>150</v>
      </c>
      <c r="F60" s="12" t="s">
        <v>8</v>
      </c>
      <c r="G60" s="12">
        <f t="shared" si="9"/>
        <v>150</v>
      </c>
      <c r="H60" s="12"/>
      <c r="I60" s="13">
        <v>4990.0200000000004</v>
      </c>
      <c r="J60" s="44">
        <f t="shared" si="10"/>
        <v>142.44990008564088</v>
      </c>
      <c r="K60" s="12"/>
      <c r="L60" s="42">
        <f t="shared" si="11"/>
        <v>0</v>
      </c>
      <c r="M60" s="42"/>
      <c r="N60" s="42">
        <f>E60*Q$66</f>
        <v>80.064148547711753</v>
      </c>
      <c r="O60" s="42"/>
      <c r="P60" s="14" t="str">
        <f t="shared" si="12"/>
        <v>...</v>
      </c>
      <c r="Q60" s="42">
        <f t="shared" si="13"/>
        <v>80.064148547711753</v>
      </c>
    </row>
    <row r="61" spans="1:17" x14ac:dyDescent="0.2">
      <c r="B61" s="7">
        <v>39813</v>
      </c>
      <c r="D61" s="12">
        <v>0</v>
      </c>
      <c r="E61" s="12">
        <v>0</v>
      </c>
      <c r="F61" s="12" t="s">
        <v>8</v>
      </c>
      <c r="G61" s="12">
        <f t="shared" si="9"/>
        <v>0</v>
      </c>
      <c r="H61" s="12"/>
      <c r="I61" s="13">
        <v>3143.82</v>
      </c>
      <c r="J61" s="44">
        <f t="shared" si="10"/>
        <v>89.746502997430781</v>
      </c>
      <c r="K61" s="12"/>
      <c r="L61" s="42">
        <f t="shared" si="11"/>
        <v>0</v>
      </c>
      <c r="M61" s="42"/>
      <c r="N61" s="42">
        <f>E61*Q$66</f>
        <v>0</v>
      </c>
      <c r="O61" s="42"/>
      <c r="P61" s="14" t="str">
        <f t="shared" si="12"/>
        <v>...</v>
      </c>
      <c r="Q61" s="42">
        <f t="shared" si="13"/>
        <v>0</v>
      </c>
    </row>
    <row r="62" spans="1:17" x14ac:dyDescent="0.2">
      <c r="B62" s="7">
        <v>40178</v>
      </c>
      <c r="D62" s="12">
        <v>0</v>
      </c>
      <c r="E62" s="12">
        <v>100</v>
      </c>
      <c r="F62" s="12" t="s">
        <v>8</v>
      </c>
      <c r="G62" s="12">
        <f t="shared" si="9"/>
        <v>100</v>
      </c>
      <c r="H62" s="12"/>
      <c r="I62" s="13">
        <v>3975.82</v>
      </c>
      <c r="J62" s="44">
        <f t="shared" si="10"/>
        <v>113.49757350842135</v>
      </c>
      <c r="K62" s="12"/>
      <c r="L62" s="42">
        <f t="shared" si="11"/>
        <v>0</v>
      </c>
      <c r="M62" s="42"/>
      <c r="N62" s="42">
        <f>E62*Q$66</f>
        <v>53.376099031807833</v>
      </c>
      <c r="O62" s="42"/>
      <c r="P62" s="14" t="str">
        <f t="shared" si="12"/>
        <v>...</v>
      </c>
      <c r="Q62" s="42">
        <f t="shared" si="13"/>
        <v>53.376099031807833</v>
      </c>
    </row>
    <row r="63" spans="1:17" x14ac:dyDescent="0.2">
      <c r="B63" s="7">
        <v>40543</v>
      </c>
      <c r="D63" s="12">
        <v>0</v>
      </c>
      <c r="E63" s="12">
        <v>0</v>
      </c>
      <c r="F63" s="12">
        <v>75</v>
      </c>
      <c r="G63" s="12">
        <f>-D63+E63+F63</f>
        <v>75</v>
      </c>
      <c r="H63" s="12"/>
      <c r="I63" s="13">
        <v>4574.71</v>
      </c>
      <c r="J63" s="44">
        <f t="shared" si="10"/>
        <v>130.59406223237224</v>
      </c>
      <c r="K63" s="12"/>
      <c r="L63" s="42">
        <f t="shared" si="11"/>
        <v>0</v>
      </c>
      <c r="M63" s="42"/>
      <c r="N63" s="42">
        <f>E63*Q$66</f>
        <v>0</v>
      </c>
      <c r="O63" s="42"/>
      <c r="P63" s="14">
        <f t="shared" si="12"/>
        <v>75</v>
      </c>
      <c r="Q63" s="42">
        <f>-L63+N63+P63</f>
        <v>75</v>
      </c>
    </row>
    <row r="64" spans="1:17" x14ac:dyDescent="0.2">
      <c r="B64" s="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">
      <c r="B65" s="4" t="s">
        <v>3</v>
      </c>
      <c r="D65" s="12">
        <f>SUM(D54:D63)</f>
        <v>250</v>
      </c>
      <c r="E65" s="12">
        <f>SUM(E54:E63)</f>
        <v>425</v>
      </c>
      <c r="F65" s="12"/>
      <c r="G65" s="12"/>
      <c r="H65" s="12"/>
      <c r="I65" s="12"/>
      <c r="J65" s="12"/>
      <c r="K65" s="12"/>
      <c r="L65" s="14"/>
      <c r="M65" s="14"/>
      <c r="N65" s="14"/>
      <c r="O65" s="14"/>
      <c r="P65" s="12"/>
      <c r="Q65" s="12"/>
    </row>
    <row r="66" spans="1:17" x14ac:dyDescent="0.2">
      <c r="B66" s="11"/>
      <c r="D66" s="8"/>
      <c r="E66" s="8"/>
      <c r="F66" s="8"/>
      <c r="G66" s="8"/>
      <c r="P66" s="5" t="s">
        <v>16</v>
      </c>
      <c r="Q66" s="16">
        <v>0.53376099031807833</v>
      </c>
    </row>
    <row r="67" spans="1:17" x14ac:dyDescent="0.2">
      <c r="B67" s="5"/>
      <c r="D67" s="8"/>
      <c r="E67" s="8"/>
      <c r="F67" s="5" t="s">
        <v>1</v>
      </c>
      <c r="G67" s="41">
        <f>XIRR(G54:G63,B54:B63)</f>
        <v>0.17520130276679996</v>
      </c>
      <c r="N67" s="8"/>
      <c r="O67" s="8"/>
      <c r="P67" s="5" t="s">
        <v>15</v>
      </c>
      <c r="Q67" s="41">
        <f>XIRR(Q54:Q63,B54:B63)</f>
        <v>4.0491190552711498E-2</v>
      </c>
    </row>
    <row r="68" spans="1:17" x14ac:dyDescent="0.2">
      <c r="D68" s="8"/>
      <c r="E68" s="8"/>
      <c r="F68" s="5" t="s">
        <v>0</v>
      </c>
      <c r="G68" s="16">
        <f>(E65+F63)/D65</f>
        <v>2</v>
      </c>
      <c r="N68" s="9"/>
      <c r="O68" s="9"/>
      <c r="P68" s="5" t="s">
        <v>23</v>
      </c>
      <c r="Q68" s="41">
        <f>G67-Q67</f>
        <v>0.13471011221408846</v>
      </c>
    </row>
    <row r="69" spans="1:17" x14ac:dyDescent="0.2">
      <c r="D69" s="8"/>
      <c r="I69" s="1"/>
    </row>
    <row r="77" spans="1:17" x14ac:dyDescent="0.2">
      <c r="A77" s="25" t="s">
        <v>35</v>
      </c>
    </row>
    <row r="78" spans="1:17" x14ac:dyDescent="0.2">
      <c r="D78" s="28" t="s">
        <v>2</v>
      </c>
      <c r="E78" s="28"/>
      <c r="F78" s="28"/>
      <c r="G78" s="28"/>
      <c r="L78" s="28" t="s">
        <v>19</v>
      </c>
      <c r="M78" s="28"/>
      <c r="N78" s="28"/>
      <c r="O78" s="28"/>
      <c r="P78" s="28"/>
      <c r="Q78" s="28"/>
    </row>
    <row r="79" spans="1:17" ht="6" customHeight="1" x14ac:dyDescent="0.2"/>
    <row r="80" spans="1:17" s="6" customFormat="1" ht="15.75" x14ac:dyDescent="0.3">
      <c r="D80" s="2" t="s">
        <v>9</v>
      </c>
      <c r="E80" s="2" t="s">
        <v>10</v>
      </c>
      <c r="F80" s="2" t="s">
        <v>7</v>
      </c>
      <c r="G80" s="6" t="s">
        <v>22</v>
      </c>
      <c r="I80" s="27" t="s">
        <v>30</v>
      </c>
      <c r="J80" s="6" t="s">
        <v>5</v>
      </c>
      <c r="L80" s="2" t="s">
        <v>9</v>
      </c>
      <c r="M80" s="2"/>
      <c r="N80" s="2" t="s">
        <v>20</v>
      </c>
      <c r="O80" s="2"/>
      <c r="P80" s="2" t="s">
        <v>21</v>
      </c>
      <c r="Q80" s="21" t="s">
        <v>22</v>
      </c>
    </row>
    <row r="81" spans="2:17" s="6" customFormat="1" x14ac:dyDescent="0.2">
      <c r="D81" s="2"/>
      <c r="E81" s="2"/>
      <c r="F81" s="2"/>
      <c r="L81" s="2"/>
      <c r="M81" s="2"/>
      <c r="N81" s="2"/>
      <c r="O81" s="2"/>
    </row>
    <row r="82" spans="2:17" x14ac:dyDescent="0.2">
      <c r="B82" s="7">
        <v>37256</v>
      </c>
      <c r="D82" s="12">
        <v>100</v>
      </c>
      <c r="E82" s="12">
        <v>0</v>
      </c>
      <c r="F82" s="18">
        <v>100</v>
      </c>
      <c r="G82" s="12">
        <f>-D82+E82</f>
        <v>-100</v>
      </c>
      <c r="H82" s="12"/>
      <c r="I82" s="13">
        <v>3503</v>
      </c>
      <c r="J82" s="44">
        <f t="shared" ref="J82:J91" si="14">I82/I$82*100</f>
        <v>100</v>
      </c>
      <c r="K82" s="12"/>
      <c r="L82" s="42">
        <f t="shared" ref="L82:L91" si="15">D82</f>
        <v>100</v>
      </c>
      <c r="M82" s="42"/>
      <c r="N82" s="42">
        <f t="shared" ref="N82:N91" si="16">IF(E82=0,0,E82/(E82+F82)*(P81*J82/J81+L82))</f>
        <v>0</v>
      </c>
      <c r="O82" s="42"/>
      <c r="P82" s="15">
        <f>J82</f>
        <v>100</v>
      </c>
      <c r="Q82" s="42">
        <f t="shared" ref="Q82:Q90" si="17">-L82+N82</f>
        <v>-100</v>
      </c>
    </row>
    <row r="83" spans="2:17" x14ac:dyDescent="0.2">
      <c r="B83" s="7">
        <v>37621</v>
      </c>
      <c r="D83" s="12">
        <v>0</v>
      </c>
      <c r="E83" s="12">
        <v>0</v>
      </c>
      <c r="F83" s="18">
        <v>95</v>
      </c>
      <c r="G83" s="12">
        <f t="shared" ref="G83:G90" si="18">-D83+E83</f>
        <v>0</v>
      </c>
      <c r="H83" s="12"/>
      <c r="I83" s="13">
        <v>2728.82</v>
      </c>
      <c r="J83" s="44">
        <f t="shared" si="14"/>
        <v>77.899514701684282</v>
      </c>
      <c r="K83" s="12"/>
      <c r="L83" s="42">
        <f t="shared" si="15"/>
        <v>0</v>
      </c>
      <c r="M83" s="42"/>
      <c r="N83" s="42">
        <f t="shared" si="16"/>
        <v>0</v>
      </c>
      <c r="O83" s="42"/>
      <c r="P83" s="15">
        <f t="shared" ref="P83:P91" si="19">P82*J83/J82+L83-N83</f>
        <v>77.899514701684282</v>
      </c>
      <c r="Q83" s="42">
        <f t="shared" si="17"/>
        <v>0</v>
      </c>
    </row>
    <row r="84" spans="2:17" x14ac:dyDescent="0.2">
      <c r="B84" s="7">
        <v>37986</v>
      </c>
      <c r="D84" s="12">
        <v>100</v>
      </c>
      <c r="E84" s="12">
        <v>25</v>
      </c>
      <c r="F84" s="18">
        <v>190</v>
      </c>
      <c r="G84" s="12">
        <f t="shared" si="18"/>
        <v>-75</v>
      </c>
      <c r="H84" s="12"/>
      <c r="I84" s="13">
        <v>3511.57</v>
      </c>
      <c r="J84" s="44">
        <f t="shared" si="14"/>
        <v>100.24464744504711</v>
      </c>
      <c r="K84" s="12"/>
      <c r="L84" s="42">
        <f t="shared" si="15"/>
        <v>100</v>
      </c>
      <c r="M84" s="42"/>
      <c r="N84" s="42">
        <f t="shared" si="16"/>
        <v>23.284261330819433</v>
      </c>
      <c r="O84" s="42"/>
      <c r="P84" s="15">
        <f t="shared" si="19"/>
        <v>176.96038611422767</v>
      </c>
      <c r="Q84" s="42">
        <f t="shared" si="17"/>
        <v>-76.715738669180567</v>
      </c>
    </row>
    <row r="85" spans="2:17" x14ac:dyDescent="0.2">
      <c r="B85" s="7">
        <v>38352</v>
      </c>
      <c r="D85" s="12">
        <v>0</v>
      </c>
      <c r="E85" s="12">
        <v>0</v>
      </c>
      <c r="F85" s="18">
        <v>235</v>
      </c>
      <c r="G85" s="12">
        <f t="shared" si="18"/>
        <v>0</v>
      </c>
      <c r="H85" s="12"/>
      <c r="I85" s="13">
        <v>3893.7000000000003</v>
      </c>
      <c r="J85" s="44">
        <f t="shared" si="14"/>
        <v>111.15329717385099</v>
      </c>
      <c r="K85" s="12"/>
      <c r="L85" s="42">
        <f t="shared" si="15"/>
        <v>0</v>
      </c>
      <c r="M85" s="42"/>
      <c r="N85" s="42">
        <f t="shared" si="16"/>
        <v>0</v>
      </c>
      <c r="O85" s="42"/>
      <c r="P85" s="15">
        <f t="shared" si="19"/>
        <v>196.21726333604863</v>
      </c>
      <c r="Q85" s="42">
        <f t="shared" si="17"/>
        <v>0</v>
      </c>
    </row>
    <row r="86" spans="2:17" x14ac:dyDescent="0.2">
      <c r="B86" s="7">
        <v>38717</v>
      </c>
      <c r="D86" s="12">
        <v>50</v>
      </c>
      <c r="E86" s="12">
        <v>150</v>
      </c>
      <c r="F86" s="18">
        <v>170</v>
      </c>
      <c r="G86" s="12">
        <f t="shared" si="18"/>
        <v>100</v>
      </c>
      <c r="H86" s="12"/>
      <c r="I86" s="13">
        <v>4084.96</v>
      </c>
      <c r="J86" s="44">
        <f t="shared" si="14"/>
        <v>116.61318869540393</v>
      </c>
      <c r="K86" s="12"/>
      <c r="L86" s="42">
        <f t="shared" si="15"/>
        <v>50</v>
      </c>
      <c r="M86" s="42"/>
      <c r="N86" s="42">
        <f t="shared" si="16"/>
        <v>119.93227907066525</v>
      </c>
      <c r="O86" s="42"/>
      <c r="P86" s="15">
        <f t="shared" si="19"/>
        <v>135.92324961342064</v>
      </c>
      <c r="Q86" s="42">
        <f t="shared" si="17"/>
        <v>69.932279070665246</v>
      </c>
    </row>
    <row r="87" spans="2:17" x14ac:dyDescent="0.2">
      <c r="B87" s="7">
        <v>39082</v>
      </c>
      <c r="D87" s="12">
        <v>0</v>
      </c>
      <c r="E87" s="12">
        <v>0</v>
      </c>
      <c r="F87" s="18">
        <v>240</v>
      </c>
      <c r="G87" s="12">
        <f t="shared" si="18"/>
        <v>0</v>
      </c>
      <c r="H87" s="12"/>
      <c r="I87" s="13">
        <v>4730.1400000000003</v>
      </c>
      <c r="J87" s="44">
        <f t="shared" si="14"/>
        <v>135.03111618612618</v>
      </c>
      <c r="K87" s="12"/>
      <c r="L87" s="42">
        <f t="shared" si="15"/>
        <v>0</v>
      </c>
      <c r="M87" s="42"/>
      <c r="N87" s="42">
        <f t="shared" si="16"/>
        <v>0</v>
      </c>
      <c r="O87" s="42"/>
      <c r="P87" s="15">
        <f t="shared" si="19"/>
        <v>157.39101482668755</v>
      </c>
      <c r="Q87" s="42">
        <f t="shared" si="17"/>
        <v>0</v>
      </c>
    </row>
    <row r="88" spans="2:17" x14ac:dyDescent="0.2">
      <c r="B88" s="7">
        <v>39447</v>
      </c>
      <c r="D88" s="12">
        <v>0</v>
      </c>
      <c r="E88" s="12">
        <v>150</v>
      </c>
      <c r="F88" s="18">
        <v>130</v>
      </c>
      <c r="G88" s="12">
        <f t="shared" si="18"/>
        <v>150</v>
      </c>
      <c r="H88" s="12"/>
      <c r="I88" s="13">
        <v>4990.0200000000004</v>
      </c>
      <c r="J88" s="44">
        <f t="shared" si="14"/>
        <v>142.44990008564088</v>
      </c>
      <c r="K88" s="12"/>
      <c r="L88" s="42">
        <f t="shared" si="15"/>
        <v>0</v>
      </c>
      <c r="M88" s="42"/>
      <c r="N88" s="42">
        <f t="shared" si="16"/>
        <v>88.94907880317956</v>
      </c>
      <c r="O88" s="42"/>
      <c r="P88" s="15">
        <f t="shared" si="19"/>
        <v>77.089201629422291</v>
      </c>
      <c r="Q88" s="42">
        <f t="shared" si="17"/>
        <v>88.94907880317956</v>
      </c>
    </row>
    <row r="89" spans="2:17" x14ac:dyDescent="0.2">
      <c r="B89" s="7">
        <v>39813</v>
      </c>
      <c r="D89" s="12">
        <v>0</v>
      </c>
      <c r="E89" s="12">
        <v>0</v>
      </c>
      <c r="F89" s="18">
        <v>80</v>
      </c>
      <c r="G89" s="12">
        <f t="shared" si="18"/>
        <v>0</v>
      </c>
      <c r="H89" s="12"/>
      <c r="I89" s="13">
        <v>3143.82</v>
      </c>
      <c r="J89" s="44">
        <f t="shared" si="14"/>
        <v>89.746502997430781</v>
      </c>
      <c r="K89" s="12"/>
      <c r="L89" s="42">
        <f t="shared" si="15"/>
        <v>0</v>
      </c>
      <c r="M89" s="42"/>
      <c r="N89" s="42">
        <f t="shared" si="16"/>
        <v>0</v>
      </c>
      <c r="O89" s="42"/>
      <c r="P89" s="15">
        <f t="shared" si="19"/>
        <v>48.567856214325872</v>
      </c>
      <c r="Q89" s="42">
        <f t="shared" si="17"/>
        <v>0</v>
      </c>
    </row>
    <row r="90" spans="2:17" x14ac:dyDescent="0.2">
      <c r="B90" s="7">
        <v>40178</v>
      </c>
      <c r="D90" s="12">
        <v>0</v>
      </c>
      <c r="E90" s="12">
        <v>100</v>
      </c>
      <c r="F90" s="18">
        <v>40</v>
      </c>
      <c r="G90" s="12">
        <f t="shared" si="18"/>
        <v>100</v>
      </c>
      <c r="H90" s="12"/>
      <c r="I90" s="13">
        <v>3975.82</v>
      </c>
      <c r="J90" s="44">
        <f t="shared" si="14"/>
        <v>113.49757350842135</v>
      </c>
      <c r="K90" s="12"/>
      <c r="L90" s="42">
        <f t="shared" si="15"/>
        <v>0</v>
      </c>
      <c r="M90" s="42"/>
      <c r="N90" s="42">
        <f t="shared" si="16"/>
        <v>43.872253249241162</v>
      </c>
      <c r="O90" s="42"/>
      <c r="P90" s="15">
        <f t="shared" si="19"/>
        <v>17.54890129969646</v>
      </c>
      <c r="Q90" s="42">
        <f t="shared" si="17"/>
        <v>43.872253249241162</v>
      </c>
    </row>
    <row r="91" spans="2:17" x14ac:dyDescent="0.2">
      <c r="B91" s="7">
        <v>40543</v>
      </c>
      <c r="D91" s="12">
        <v>0</v>
      </c>
      <c r="E91" s="12">
        <v>0</v>
      </c>
      <c r="F91" s="12">
        <v>75</v>
      </c>
      <c r="G91" s="12">
        <f>-D91+E91+F91</f>
        <v>75</v>
      </c>
      <c r="H91" s="12"/>
      <c r="I91" s="13">
        <v>4574.71</v>
      </c>
      <c r="J91" s="44">
        <f t="shared" si="14"/>
        <v>130.59406223237224</v>
      </c>
      <c r="K91" s="12"/>
      <c r="L91" s="42">
        <f t="shared" si="15"/>
        <v>0</v>
      </c>
      <c r="M91" s="42"/>
      <c r="N91" s="42">
        <f t="shared" si="16"/>
        <v>0</v>
      </c>
      <c r="O91" s="42"/>
      <c r="P91" s="17">
        <f t="shared" si="19"/>
        <v>20.192346299564463</v>
      </c>
      <c r="Q91" s="42">
        <f>-L91+N91+P91</f>
        <v>20.192346299564463</v>
      </c>
    </row>
    <row r="92" spans="2:17" x14ac:dyDescent="0.2">
      <c r="B92" s="3"/>
      <c r="D92" s="12"/>
      <c r="E92" s="12"/>
      <c r="F92" s="12"/>
      <c r="G92" s="12"/>
      <c r="H92" s="12"/>
      <c r="I92" s="12"/>
      <c r="J92" s="12"/>
      <c r="K92" s="12"/>
      <c r="L92" s="42"/>
      <c r="M92" s="42"/>
      <c r="N92" s="42"/>
      <c r="O92" s="42"/>
      <c r="P92" s="12"/>
      <c r="Q92" s="12"/>
    </row>
    <row r="93" spans="2:17" x14ac:dyDescent="0.2">
      <c r="B93" s="4" t="s">
        <v>3</v>
      </c>
      <c r="D93" s="12">
        <f>SUM(D82:D91)</f>
        <v>250</v>
      </c>
      <c r="E93" s="12">
        <f>SUM(E82:E91)</f>
        <v>425</v>
      </c>
      <c r="F93" s="12"/>
      <c r="G93" s="12"/>
      <c r="H93" s="12"/>
      <c r="I93" s="12"/>
      <c r="J93" s="12"/>
      <c r="K93" s="12"/>
      <c r="L93" s="14"/>
      <c r="M93" s="14"/>
      <c r="N93" s="14"/>
      <c r="O93" s="14"/>
      <c r="P93" s="12"/>
      <c r="Q93" s="12"/>
    </row>
    <row r="94" spans="2:17" x14ac:dyDescent="0.2">
      <c r="D94" s="8"/>
      <c r="E94" s="8"/>
      <c r="F94" s="5" t="s">
        <v>1</v>
      </c>
      <c r="G94" s="41">
        <f>XIRR(G82:G91,B82:B91)</f>
        <v>0.17520130276679996</v>
      </c>
      <c r="N94" s="8"/>
      <c r="O94" s="8"/>
      <c r="P94" s="5" t="s">
        <v>18</v>
      </c>
      <c r="Q94" s="41">
        <f>XIRR(Q82:Q91,B82:B91)</f>
        <v>4.6331372857093808E-2</v>
      </c>
    </row>
    <row r="95" spans="2:17" x14ac:dyDescent="0.2">
      <c r="B95" s="5"/>
      <c r="D95" s="8"/>
      <c r="E95" s="9"/>
      <c r="F95" s="5" t="s">
        <v>0</v>
      </c>
      <c r="G95" s="16">
        <f>(E93+F91)/D93</f>
        <v>2</v>
      </c>
      <c r="N95" s="9"/>
      <c r="O95" s="9"/>
      <c r="P95" s="5" t="s">
        <v>23</v>
      </c>
      <c r="Q95" s="41">
        <f>G94-Q94</f>
        <v>0.12886992990970614</v>
      </c>
    </row>
    <row r="104" spans="9:15" x14ac:dyDescent="0.2">
      <c r="I104" s="1"/>
    </row>
    <row r="105" spans="9:15" ht="6" customHeight="1" x14ac:dyDescent="0.2">
      <c r="I105" s="1"/>
    </row>
    <row r="106" spans="9:15" s="6" customFormat="1" x14ac:dyDescent="0.2">
      <c r="M106" s="27"/>
      <c r="O106" s="27"/>
    </row>
    <row r="107" spans="9:15" s="6" customFormat="1" x14ac:dyDescent="0.2">
      <c r="M107" s="27"/>
      <c r="O107" s="27"/>
    </row>
    <row r="108" spans="9:15" x14ac:dyDescent="0.2">
      <c r="I108" s="1"/>
    </row>
    <row r="109" spans="9:15" x14ac:dyDescent="0.2">
      <c r="I109" s="1"/>
    </row>
    <row r="110" spans="9:15" x14ac:dyDescent="0.2">
      <c r="I110" s="1"/>
    </row>
    <row r="111" spans="9:15" x14ac:dyDescent="0.2">
      <c r="I111" s="1"/>
    </row>
    <row r="112" spans="9:15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ht="6" customHeight="1" x14ac:dyDescent="0.2">
      <c r="I122" s="1"/>
    </row>
    <row r="123" spans="9:9" x14ac:dyDescent="0.2">
      <c r="I123" s="1"/>
    </row>
    <row r="124" spans="9:9" ht="6" customHeight="1" x14ac:dyDescent="0.2">
      <c r="I124" s="1"/>
    </row>
    <row r="125" spans="9:9" x14ac:dyDescent="0.2">
      <c r="I125" s="1"/>
    </row>
  </sheetData>
  <mergeCells count="8">
    <mergeCell ref="D24:G24"/>
    <mergeCell ref="L24:Q24"/>
    <mergeCell ref="D2:G2"/>
    <mergeCell ref="L2:Q2"/>
    <mergeCell ref="D78:G78"/>
    <mergeCell ref="L78:Q78"/>
    <mergeCell ref="D50:G50"/>
    <mergeCell ref="L50:Q50"/>
  </mergeCells>
  <pageMargins left="0.7" right="0.7" top="0.75" bottom="0.75" header="0.3" footer="0.3"/>
  <pageSetup paperSize="9" orientation="landscape" r:id="rId1"/>
  <ignoredErrors>
    <ignoredError sqref="N54:N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4:Y24"/>
  <sheetViews>
    <sheetView zoomScaleNormal="100" workbookViewId="0">
      <selection activeCell="Y6" sqref="Y6"/>
    </sheetView>
  </sheetViews>
  <sheetFormatPr defaultRowHeight="12.75" outlineLevelCol="1" x14ac:dyDescent="0.2"/>
  <cols>
    <col min="1" max="1" width="4.140625" style="1" customWidth="1"/>
    <col min="2" max="2" width="12" style="1" bestFit="1" customWidth="1"/>
    <col min="3" max="3" width="2" style="1" customWidth="1"/>
    <col min="4" max="4" width="5.7109375" style="1" customWidth="1"/>
    <col min="5" max="5" width="5.85546875" style="1" customWidth="1"/>
    <col min="6" max="6" width="7.7109375" style="1" customWidth="1"/>
    <col min="7" max="7" width="6.5703125" style="1" customWidth="1"/>
    <col min="8" max="8" width="1.28515625" style="1" customWidth="1"/>
    <col min="9" max="9" width="11.7109375" style="22" hidden="1" customWidth="1" outlineLevel="1"/>
    <col min="10" max="10" width="7.7109375" style="1" customWidth="1" collapsed="1"/>
    <col min="11" max="11" width="2" style="1" customWidth="1"/>
    <col min="12" max="13" width="7.7109375" style="1" customWidth="1"/>
    <col min="14" max="14" width="6.85546875" style="1" customWidth="1"/>
    <col min="15" max="15" width="7.7109375" style="1" customWidth="1"/>
    <col min="16" max="16" width="2.85546875" style="1" customWidth="1"/>
    <col min="17" max="18" width="7.7109375" style="1" customWidth="1"/>
    <col min="19" max="19" width="8.28515625" style="1" customWidth="1"/>
    <col min="20" max="20" width="7.7109375" style="1" customWidth="1"/>
    <col min="21" max="21" width="3" style="1" customWidth="1"/>
    <col min="22" max="22" width="7.5703125" style="1" customWidth="1"/>
    <col min="23" max="23" width="8.28515625" style="1" customWidth="1"/>
    <col min="24" max="24" width="6.7109375" style="1" customWidth="1"/>
    <col min="25" max="25" width="7" style="1" customWidth="1"/>
    <col min="26" max="26" width="4.85546875" style="1" customWidth="1"/>
    <col min="27" max="16384" width="9.140625" style="1"/>
  </cols>
  <sheetData>
    <row r="4" spans="1:25" x14ac:dyDescent="0.2">
      <c r="D4" s="28" t="s">
        <v>2</v>
      </c>
      <c r="E4" s="28"/>
      <c r="F4" s="28"/>
      <c r="G4" s="28"/>
      <c r="L4" s="28" t="s">
        <v>4</v>
      </c>
      <c r="M4" s="28"/>
      <c r="N4" s="28"/>
      <c r="O4" s="28"/>
      <c r="Q4" s="28" t="s">
        <v>25</v>
      </c>
      <c r="R4" s="28"/>
      <c r="S4" s="28"/>
      <c r="T4" s="28"/>
      <c r="V4" s="28" t="s">
        <v>44</v>
      </c>
      <c r="W4" s="28"/>
      <c r="X4" s="28"/>
      <c r="Y4" s="28"/>
    </row>
    <row r="5" spans="1:25" ht="6" customHeight="1" x14ac:dyDescent="0.2"/>
    <row r="6" spans="1:25" s="22" customFormat="1" ht="15.75" x14ac:dyDescent="0.3">
      <c r="A6" s="23"/>
      <c r="C6" s="23"/>
      <c r="D6" s="2" t="s">
        <v>9</v>
      </c>
      <c r="E6" s="2" t="s">
        <v>10</v>
      </c>
      <c r="F6" s="2" t="s">
        <v>7</v>
      </c>
      <c r="G6" s="22" t="s">
        <v>22</v>
      </c>
      <c r="I6" s="27" t="s">
        <v>30</v>
      </c>
      <c r="J6" s="32" t="s">
        <v>34</v>
      </c>
      <c r="L6" s="2" t="s">
        <v>11</v>
      </c>
      <c r="M6" s="2" t="s">
        <v>12</v>
      </c>
      <c r="N6" s="2" t="s">
        <v>7</v>
      </c>
      <c r="O6" s="22" t="s">
        <v>22</v>
      </c>
      <c r="Q6" s="2" t="s">
        <v>26</v>
      </c>
      <c r="R6" s="2" t="s">
        <v>27</v>
      </c>
      <c r="S6" s="33" t="s">
        <v>37</v>
      </c>
      <c r="T6" s="22" t="s">
        <v>22</v>
      </c>
      <c r="V6" s="22" t="s">
        <v>38</v>
      </c>
      <c r="W6" s="22" t="s">
        <v>40</v>
      </c>
      <c r="X6" s="27" t="s">
        <v>41</v>
      </c>
      <c r="Y6" s="22" t="s">
        <v>36</v>
      </c>
    </row>
    <row r="7" spans="1:25" s="22" customFormat="1" x14ac:dyDescent="0.2">
      <c r="A7" s="23"/>
      <c r="C7" s="23"/>
      <c r="D7" s="2"/>
      <c r="E7" s="2"/>
      <c r="F7" s="2"/>
      <c r="L7" s="2"/>
      <c r="M7" s="2"/>
      <c r="N7" s="2"/>
      <c r="Q7" s="2"/>
      <c r="R7" s="2"/>
      <c r="S7" s="2"/>
      <c r="X7" s="27"/>
    </row>
    <row r="8" spans="1:25" x14ac:dyDescent="0.2">
      <c r="B8" s="7">
        <v>37256</v>
      </c>
      <c r="C8" s="7"/>
      <c r="D8" s="12">
        <v>100</v>
      </c>
      <c r="E8" s="12">
        <v>0</v>
      </c>
      <c r="F8" s="12" t="s">
        <v>8</v>
      </c>
      <c r="G8" s="12">
        <f t="shared" ref="G8:G16" si="0">-D8+E8</f>
        <v>-100</v>
      </c>
      <c r="H8" s="12"/>
      <c r="I8" s="13">
        <v>3503</v>
      </c>
      <c r="J8" s="13">
        <f t="shared" ref="J8:J17" si="1">I8/I$8*100</f>
        <v>100</v>
      </c>
      <c r="K8" s="12"/>
      <c r="L8" s="14">
        <f t="shared" ref="L8:M17" si="2">$J$17/$J8*D8</f>
        <v>130.59406223237224</v>
      </c>
      <c r="M8" s="14">
        <f t="shared" si="2"/>
        <v>0</v>
      </c>
      <c r="N8" s="14" t="str">
        <f t="shared" ref="N8:N17" si="3">F8</f>
        <v>...</v>
      </c>
      <c r="O8" s="14">
        <f t="shared" ref="O8:O16" si="4">-L8+M8</f>
        <v>-130.59406223237224</v>
      </c>
      <c r="Q8" s="14">
        <f>D8/($J8/$J$8)</f>
        <v>100</v>
      </c>
      <c r="R8" s="14">
        <f>E8/($J8/$J$8)</f>
        <v>0</v>
      </c>
      <c r="S8" s="14" t="str">
        <f>F8</f>
        <v>...</v>
      </c>
      <c r="T8" s="14">
        <f t="shared" ref="T8:T16" si="5">-Q8+R8</f>
        <v>-100</v>
      </c>
      <c r="W8" s="1">
        <v>1</v>
      </c>
      <c r="X8" s="1">
        <f>PRODUCT($W$8:W8)</f>
        <v>1</v>
      </c>
      <c r="Y8" s="1">
        <f>X8*G8</f>
        <v>-100</v>
      </c>
    </row>
    <row r="9" spans="1:25" x14ac:dyDescent="0.2">
      <c r="B9" s="7">
        <v>37621</v>
      </c>
      <c r="C9" s="7"/>
      <c r="D9" s="12">
        <v>0</v>
      </c>
      <c r="E9" s="12">
        <v>0</v>
      </c>
      <c r="F9" s="12" t="s">
        <v>8</v>
      </c>
      <c r="G9" s="12">
        <f t="shared" si="0"/>
        <v>0</v>
      </c>
      <c r="H9" s="12"/>
      <c r="I9" s="13">
        <v>2728.82</v>
      </c>
      <c r="J9" s="13">
        <f t="shared" si="1"/>
        <v>77.899514701684282</v>
      </c>
      <c r="K9" s="12"/>
      <c r="L9" s="14">
        <f t="shared" si="2"/>
        <v>0</v>
      </c>
      <c r="M9" s="14">
        <f t="shared" si="2"/>
        <v>0</v>
      </c>
      <c r="N9" s="14" t="str">
        <f t="shared" si="3"/>
        <v>...</v>
      </c>
      <c r="O9" s="14">
        <f t="shared" si="4"/>
        <v>0</v>
      </c>
      <c r="Q9" s="14">
        <f t="shared" ref="Q9:R17" si="6">D9/($J9/$J$8)</f>
        <v>0</v>
      </c>
      <c r="R9" s="14">
        <f t="shared" si="6"/>
        <v>0</v>
      </c>
      <c r="S9" s="14" t="str">
        <f t="shared" ref="S9:S16" si="7">F9</f>
        <v>...</v>
      </c>
      <c r="T9" s="14">
        <f t="shared" si="5"/>
        <v>0</v>
      </c>
      <c r="V9" s="34">
        <f>J9/J8-1</f>
        <v>-0.2210048529831572</v>
      </c>
      <c r="W9" s="37">
        <f>1/(1+V9+$W$24)</f>
        <v>1.101321038411307</v>
      </c>
      <c r="X9" s="37">
        <f>PRODUCT($W$8:W9)</f>
        <v>1.101321038411307</v>
      </c>
      <c r="Y9" s="39">
        <f t="shared" ref="Y9:Y17" si="8">X9*G9</f>
        <v>0</v>
      </c>
    </row>
    <row r="10" spans="1:25" x14ac:dyDescent="0.2">
      <c r="B10" s="7">
        <v>37986</v>
      </c>
      <c r="C10" s="7"/>
      <c r="D10" s="12">
        <v>100</v>
      </c>
      <c r="E10" s="12">
        <v>25</v>
      </c>
      <c r="F10" s="12" t="s">
        <v>8</v>
      </c>
      <c r="G10" s="12">
        <f t="shared" si="0"/>
        <v>-75</v>
      </c>
      <c r="H10" s="12"/>
      <c r="I10" s="13">
        <v>3511.57</v>
      </c>
      <c r="J10" s="13">
        <f t="shared" si="1"/>
        <v>100.24464744504711</v>
      </c>
      <c r="K10" s="12"/>
      <c r="L10" s="14">
        <f t="shared" si="2"/>
        <v>130.27534692459497</v>
      </c>
      <c r="M10" s="14">
        <f t="shared" si="2"/>
        <v>32.568836731148743</v>
      </c>
      <c r="N10" s="14" t="str">
        <f t="shared" si="3"/>
        <v>...</v>
      </c>
      <c r="O10" s="14">
        <f t="shared" si="4"/>
        <v>-97.706510193446235</v>
      </c>
      <c r="Q10" s="14">
        <f t="shared" si="6"/>
        <v>99.755949617977137</v>
      </c>
      <c r="R10" s="14">
        <f t="shared" si="6"/>
        <v>24.938987404494284</v>
      </c>
      <c r="S10" s="14" t="str">
        <f t="shared" si="7"/>
        <v>...</v>
      </c>
      <c r="T10" s="14">
        <f t="shared" si="5"/>
        <v>-74.816962213482853</v>
      </c>
      <c r="V10" s="34">
        <f t="shared" ref="V10:V17" si="9">J10/J9-1</f>
        <v>0.28684559626505224</v>
      </c>
      <c r="W10" s="37">
        <f t="shared" ref="W10:W17" si="10">1/(1+V10+$W$24)</f>
        <v>0.70628905879214854</v>
      </c>
      <c r="X10" s="37">
        <f>PRODUCT($W$8:W10)</f>
        <v>0.7778509996475137</v>
      </c>
      <c r="Y10" s="39">
        <f t="shared" si="8"/>
        <v>-58.338824973563526</v>
      </c>
    </row>
    <row r="11" spans="1:25" x14ac:dyDescent="0.2">
      <c r="B11" s="7">
        <v>38352</v>
      </c>
      <c r="C11" s="7"/>
      <c r="D11" s="12">
        <v>0</v>
      </c>
      <c r="E11" s="12">
        <v>0</v>
      </c>
      <c r="F11" s="12" t="s">
        <v>8</v>
      </c>
      <c r="G11" s="12">
        <f t="shared" si="0"/>
        <v>0</v>
      </c>
      <c r="H11" s="12"/>
      <c r="I11" s="13">
        <v>3893.7000000000003</v>
      </c>
      <c r="J11" s="13">
        <f t="shared" si="1"/>
        <v>111.15329717385099</v>
      </c>
      <c r="K11" s="12"/>
      <c r="L11" s="14">
        <f t="shared" si="2"/>
        <v>0</v>
      </c>
      <c r="M11" s="14">
        <f t="shared" si="2"/>
        <v>0</v>
      </c>
      <c r="N11" s="14" t="str">
        <f t="shared" si="3"/>
        <v>...</v>
      </c>
      <c r="O11" s="14">
        <f t="shared" si="4"/>
        <v>0</v>
      </c>
      <c r="Q11" s="14">
        <f t="shared" si="6"/>
        <v>0</v>
      </c>
      <c r="R11" s="14">
        <f t="shared" si="6"/>
        <v>0</v>
      </c>
      <c r="S11" s="14" t="str">
        <f t="shared" si="7"/>
        <v>...</v>
      </c>
      <c r="T11" s="14">
        <f t="shared" si="5"/>
        <v>0</v>
      </c>
      <c r="V11" s="34">
        <f t="shared" si="9"/>
        <v>0.10882027127467198</v>
      </c>
      <c r="W11" s="37">
        <f t="shared" si="10"/>
        <v>0.8078682648633041</v>
      </c>
      <c r="X11" s="37">
        <f>PRODUCT($W$8:W11)</f>
        <v>0.62840113740742343</v>
      </c>
      <c r="Y11" s="39">
        <f t="shared" si="8"/>
        <v>0</v>
      </c>
    </row>
    <row r="12" spans="1:25" x14ac:dyDescent="0.2">
      <c r="B12" s="7">
        <v>38717</v>
      </c>
      <c r="C12" s="7"/>
      <c r="D12" s="12">
        <v>50</v>
      </c>
      <c r="E12" s="12">
        <v>150</v>
      </c>
      <c r="F12" s="12" t="s">
        <v>8</v>
      </c>
      <c r="G12" s="12">
        <f t="shared" si="0"/>
        <v>100</v>
      </c>
      <c r="H12" s="12"/>
      <c r="I12" s="13">
        <v>4084.96</v>
      </c>
      <c r="J12" s="13">
        <f t="shared" si="1"/>
        <v>116.61318869540393</v>
      </c>
      <c r="K12" s="12"/>
      <c r="L12" s="14">
        <f t="shared" si="2"/>
        <v>55.994550742234928</v>
      </c>
      <c r="M12" s="14">
        <f t="shared" si="2"/>
        <v>167.98365222670478</v>
      </c>
      <c r="N12" s="14" t="str">
        <f t="shared" si="3"/>
        <v>...</v>
      </c>
      <c r="O12" s="14">
        <f t="shared" si="4"/>
        <v>111.98910148446984</v>
      </c>
      <c r="Q12" s="14">
        <f t="shared" si="6"/>
        <v>42.876796835219928</v>
      </c>
      <c r="R12" s="14">
        <f t="shared" si="6"/>
        <v>128.63039050565979</v>
      </c>
      <c r="S12" s="14" t="str">
        <f t="shared" si="7"/>
        <v>...</v>
      </c>
      <c r="T12" s="14">
        <f t="shared" si="5"/>
        <v>85.753593670439869</v>
      </c>
      <c r="V12" s="34">
        <f t="shared" si="9"/>
        <v>4.9120373937385997E-2</v>
      </c>
      <c r="W12" s="37">
        <f t="shared" si="10"/>
        <v>0.84880587734591784</v>
      </c>
      <c r="X12" s="37">
        <f>PRODUCT($W$8:W12)</f>
        <v>0.53339057876228069</v>
      </c>
      <c r="Y12" s="39">
        <f t="shared" si="8"/>
        <v>53.339057876228068</v>
      </c>
    </row>
    <row r="13" spans="1:25" x14ac:dyDescent="0.2">
      <c r="B13" s="7">
        <v>39082</v>
      </c>
      <c r="C13" s="7"/>
      <c r="D13" s="12">
        <v>0</v>
      </c>
      <c r="E13" s="12">
        <v>0</v>
      </c>
      <c r="F13" s="12" t="s">
        <v>8</v>
      </c>
      <c r="G13" s="12">
        <f t="shared" si="0"/>
        <v>0</v>
      </c>
      <c r="H13" s="12"/>
      <c r="I13" s="13">
        <v>4730.1400000000003</v>
      </c>
      <c r="J13" s="13">
        <f t="shared" si="1"/>
        <v>135.03111618612618</v>
      </c>
      <c r="K13" s="12"/>
      <c r="L13" s="14">
        <f t="shared" si="2"/>
        <v>0</v>
      </c>
      <c r="M13" s="14">
        <f t="shared" si="2"/>
        <v>0</v>
      </c>
      <c r="N13" s="14" t="str">
        <f t="shared" si="3"/>
        <v>...</v>
      </c>
      <c r="O13" s="14">
        <f t="shared" si="4"/>
        <v>0</v>
      </c>
      <c r="Q13" s="14">
        <f t="shared" si="6"/>
        <v>0</v>
      </c>
      <c r="R13" s="14">
        <f t="shared" si="6"/>
        <v>0</v>
      </c>
      <c r="S13" s="14" t="str">
        <f t="shared" si="7"/>
        <v>...</v>
      </c>
      <c r="T13" s="14">
        <f t="shared" si="5"/>
        <v>0</v>
      </c>
      <c r="V13" s="34">
        <f t="shared" si="9"/>
        <v>0.15794034702910187</v>
      </c>
      <c r="W13" s="37">
        <f t="shared" si="10"/>
        <v>0.77703359027815366</v>
      </c>
      <c r="X13" s="37">
        <f>PRODUCT($W$8:W13)</f>
        <v>0.41446239643619726</v>
      </c>
      <c r="Y13" s="39">
        <f t="shared" si="8"/>
        <v>0</v>
      </c>
    </row>
    <row r="14" spans="1:25" x14ac:dyDescent="0.2">
      <c r="B14" s="7">
        <v>39447</v>
      </c>
      <c r="C14" s="7"/>
      <c r="D14" s="12">
        <v>0</v>
      </c>
      <c r="E14" s="12">
        <v>150</v>
      </c>
      <c r="F14" s="12" t="s">
        <v>8</v>
      </c>
      <c r="G14" s="12">
        <f t="shared" si="0"/>
        <v>150</v>
      </c>
      <c r="H14" s="12"/>
      <c r="I14" s="13">
        <v>4990.0200000000004</v>
      </c>
      <c r="J14" s="13">
        <f t="shared" si="1"/>
        <v>142.44990008564088</v>
      </c>
      <c r="K14" s="12"/>
      <c r="L14" s="14">
        <f t="shared" si="2"/>
        <v>0</v>
      </c>
      <c r="M14" s="14">
        <f t="shared" si="2"/>
        <v>137.51578149987375</v>
      </c>
      <c r="N14" s="14" t="str">
        <f t="shared" si="3"/>
        <v>...</v>
      </c>
      <c r="O14" s="14">
        <f t="shared" si="4"/>
        <v>137.51578149987375</v>
      </c>
      <c r="Q14" s="14">
        <f t="shared" si="6"/>
        <v>0</v>
      </c>
      <c r="R14" s="14">
        <f t="shared" si="6"/>
        <v>105.30017915759858</v>
      </c>
      <c r="S14" s="14" t="str">
        <f t="shared" si="7"/>
        <v>...</v>
      </c>
      <c r="T14" s="14">
        <f t="shared" si="5"/>
        <v>105.30017915759858</v>
      </c>
      <c r="V14" s="34">
        <f t="shared" si="9"/>
        <v>5.4941291378267865E-2</v>
      </c>
      <c r="W14" s="37">
        <f t="shared" si="10"/>
        <v>0.84463269170299571</v>
      </c>
      <c r="X14" s="37">
        <f>PRODUCT($W$8:W14)</f>
        <v>0.35006848951157937</v>
      </c>
      <c r="Y14" s="39">
        <f t="shared" si="8"/>
        <v>52.510273426736909</v>
      </c>
    </row>
    <row r="15" spans="1:25" x14ac:dyDescent="0.2">
      <c r="B15" s="7">
        <v>39813</v>
      </c>
      <c r="C15" s="7"/>
      <c r="D15" s="12">
        <v>0</v>
      </c>
      <c r="E15" s="12">
        <v>0</v>
      </c>
      <c r="F15" s="12" t="s">
        <v>8</v>
      </c>
      <c r="G15" s="12">
        <f t="shared" si="0"/>
        <v>0</v>
      </c>
      <c r="H15" s="12"/>
      <c r="I15" s="13">
        <v>3143.82</v>
      </c>
      <c r="J15" s="13">
        <f t="shared" si="1"/>
        <v>89.746502997430781</v>
      </c>
      <c r="K15" s="12"/>
      <c r="L15" s="14">
        <f t="shared" si="2"/>
        <v>0</v>
      </c>
      <c r="M15" s="14">
        <f t="shared" si="2"/>
        <v>0</v>
      </c>
      <c r="N15" s="14" t="str">
        <f t="shared" si="3"/>
        <v>...</v>
      </c>
      <c r="O15" s="14">
        <f t="shared" si="4"/>
        <v>0</v>
      </c>
      <c r="Q15" s="14">
        <f t="shared" si="6"/>
        <v>0</v>
      </c>
      <c r="R15" s="14">
        <f t="shared" si="6"/>
        <v>0</v>
      </c>
      <c r="S15" s="14" t="str">
        <f t="shared" si="7"/>
        <v>...</v>
      </c>
      <c r="T15" s="14">
        <f t="shared" si="5"/>
        <v>0</v>
      </c>
      <c r="V15" s="34">
        <f t="shared" si="9"/>
        <v>-0.36997847704017217</v>
      </c>
      <c r="W15" s="37">
        <f t="shared" si="10"/>
        <v>1.3174764896216431</v>
      </c>
      <c r="X15" s="37">
        <f>PRODUCT($W$8:W15)</f>
        <v>0.46120700468886655</v>
      </c>
      <c r="Y15" s="39">
        <f t="shared" si="8"/>
        <v>0</v>
      </c>
    </row>
    <row r="16" spans="1:25" x14ac:dyDescent="0.2">
      <c r="B16" s="7">
        <v>40178</v>
      </c>
      <c r="C16" s="7"/>
      <c r="D16" s="12">
        <v>0</v>
      </c>
      <c r="E16" s="12">
        <v>100</v>
      </c>
      <c r="F16" s="12" t="s">
        <v>8</v>
      </c>
      <c r="G16" s="12">
        <f t="shared" si="0"/>
        <v>100</v>
      </c>
      <c r="H16" s="12"/>
      <c r="I16" s="13">
        <v>3975.82</v>
      </c>
      <c r="J16" s="13">
        <f t="shared" si="1"/>
        <v>113.49757350842135</v>
      </c>
      <c r="K16" s="12"/>
      <c r="L16" s="14">
        <f t="shared" si="2"/>
        <v>0</v>
      </c>
      <c r="M16" s="14">
        <f t="shared" si="2"/>
        <v>115.06330769501636</v>
      </c>
      <c r="N16" s="14" t="str">
        <f t="shared" si="3"/>
        <v>...</v>
      </c>
      <c r="O16" s="14">
        <f t="shared" si="4"/>
        <v>115.06330769501636</v>
      </c>
      <c r="Q16" s="14">
        <f t="shared" si="6"/>
        <v>0</v>
      </c>
      <c r="R16" s="14">
        <f t="shared" si="6"/>
        <v>88.107610505505775</v>
      </c>
      <c r="S16" s="14" t="str">
        <f t="shared" si="7"/>
        <v>...</v>
      </c>
      <c r="T16" s="14">
        <f t="shared" si="5"/>
        <v>88.107610505505775</v>
      </c>
      <c r="V16" s="34">
        <f t="shared" si="9"/>
        <v>0.26464619475669715</v>
      </c>
      <c r="W16" s="37">
        <f t="shared" si="10"/>
        <v>0.71753950010183243</v>
      </c>
      <c r="X16" s="37">
        <f>PRODUCT($W$8:W16)</f>
        <v>0.33093424358791279</v>
      </c>
      <c r="Y16" s="39">
        <f t="shared" si="8"/>
        <v>33.093424358791282</v>
      </c>
    </row>
    <row r="17" spans="2:25" x14ac:dyDescent="0.2">
      <c r="B17" s="7">
        <v>40543</v>
      </c>
      <c r="C17" s="7"/>
      <c r="D17" s="12">
        <v>0</v>
      </c>
      <c r="E17" s="12">
        <v>0</v>
      </c>
      <c r="F17" s="12">
        <v>75</v>
      </c>
      <c r="G17" s="12">
        <f>-D17+E17+F17</f>
        <v>75</v>
      </c>
      <c r="H17" s="12"/>
      <c r="I17" s="13">
        <v>4574.71</v>
      </c>
      <c r="J17" s="13">
        <f t="shared" si="1"/>
        <v>130.59406223237224</v>
      </c>
      <c r="K17" s="12"/>
      <c r="L17" s="14">
        <f t="shared" si="2"/>
        <v>0</v>
      </c>
      <c r="M17" s="14">
        <f t="shared" si="2"/>
        <v>0</v>
      </c>
      <c r="N17" s="14">
        <f t="shared" si="3"/>
        <v>75</v>
      </c>
      <c r="O17" s="14">
        <f>-L17+M17+N17</f>
        <v>75</v>
      </c>
      <c r="Q17" s="14">
        <f t="shared" si="6"/>
        <v>0</v>
      </c>
      <c r="R17" s="14">
        <f t="shared" si="6"/>
        <v>0</v>
      </c>
      <c r="S17" s="14">
        <f>F17/(J17/J8)</f>
        <v>57.429869871532844</v>
      </c>
      <c r="T17" s="14">
        <f>-Q17+R17+S17</f>
        <v>57.429869871532844</v>
      </c>
      <c r="V17" s="34">
        <f t="shared" si="9"/>
        <v>0.15063307695016359</v>
      </c>
      <c r="W17" s="37">
        <f t="shared" si="10"/>
        <v>0.78147077689857125</v>
      </c>
      <c r="X17" s="37">
        <f>PRODUCT($W$8:W17)</f>
        <v>0.25861544043898721</v>
      </c>
      <c r="Y17" s="39">
        <f t="shared" si="8"/>
        <v>19.396158032924042</v>
      </c>
    </row>
    <row r="18" spans="2:25" x14ac:dyDescent="0.2">
      <c r="D18" s="12"/>
      <c r="E18" s="12"/>
      <c r="F18" s="12"/>
      <c r="G18" s="12"/>
      <c r="H18" s="12"/>
      <c r="I18" s="13"/>
      <c r="J18" s="13"/>
      <c r="K18" s="12"/>
      <c r="L18" s="14"/>
      <c r="M18" s="14"/>
      <c r="N18" s="14"/>
      <c r="O18" s="14"/>
      <c r="Q18" s="14"/>
      <c r="R18" s="14"/>
      <c r="S18" s="14"/>
      <c r="T18" s="14"/>
    </row>
    <row r="19" spans="2:25" ht="18" customHeight="1" x14ac:dyDescent="0.2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Q19" s="12"/>
      <c r="R19" s="12"/>
      <c r="S19" s="12"/>
      <c r="T19" s="12"/>
    </row>
    <row r="20" spans="2:25" s="19" customFormat="1" ht="18" customHeight="1" x14ac:dyDescent="0.2">
      <c r="D20" s="20"/>
      <c r="E20" s="20"/>
      <c r="F20" s="20"/>
      <c r="G20" s="20"/>
      <c r="H20" s="20"/>
      <c r="I20" s="20"/>
      <c r="J20" s="20"/>
      <c r="K20" s="20"/>
      <c r="L20" s="24">
        <f>SUM(L8:L17)</f>
        <v>316.86395989920214</v>
      </c>
      <c r="M20" s="31">
        <f>SUM(M8:M17,N17)</f>
        <v>528.13157815274371</v>
      </c>
      <c r="N20" s="31"/>
      <c r="O20" s="20"/>
      <c r="Q20" s="24">
        <f>SUM(Q8:Q17)</f>
        <v>242.63274645319706</v>
      </c>
      <c r="R20" s="31">
        <f>SUM(R8:R17,S17)</f>
        <v>404.40703744479123</v>
      </c>
      <c r="S20" s="31"/>
      <c r="T20" s="20"/>
      <c r="Y20" s="36">
        <f>SUM(Y8:Y17)</f>
        <v>8.8721116767942476E-5</v>
      </c>
    </row>
    <row r="21" spans="2:25" ht="18" customHeight="1" x14ac:dyDescent="0.2">
      <c r="D21" s="8"/>
      <c r="E21" s="8"/>
      <c r="F21" s="8"/>
      <c r="G21" s="8"/>
      <c r="L21" s="10"/>
      <c r="M21" s="10"/>
      <c r="N21" s="10"/>
      <c r="O21" s="8"/>
      <c r="Q21" s="10"/>
      <c r="R21" s="10"/>
      <c r="S21" s="10"/>
      <c r="T21" s="8"/>
    </row>
    <row r="22" spans="2:25" ht="15" customHeight="1" x14ac:dyDescent="0.2">
      <c r="L22" s="1" t="s">
        <v>29</v>
      </c>
      <c r="M22" s="29">
        <f>M20/L20</f>
        <v>1.666745496460841</v>
      </c>
      <c r="N22" s="29"/>
      <c r="Q22" s="1" t="s">
        <v>29</v>
      </c>
      <c r="R22" s="30">
        <f>R20/Q20</f>
        <v>1.6667454964608408</v>
      </c>
      <c r="S22" s="30"/>
      <c r="X22" s="40" t="s">
        <v>42</v>
      </c>
      <c r="Y22" s="40"/>
    </row>
    <row r="23" spans="2:25" ht="12.75" customHeight="1" x14ac:dyDescent="0.2">
      <c r="F23" s="5" t="s">
        <v>43</v>
      </c>
      <c r="G23" s="38">
        <f>LN(M22)/LN(1+O24)</f>
        <v>4.3119355770101775</v>
      </c>
      <c r="X23" s="40"/>
      <c r="Y23" s="40"/>
    </row>
    <row r="24" spans="2:25" x14ac:dyDescent="0.2">
      <c r="N24" s="5" t="s">
        <v>28</v>
      </c>
      <c r="O24" s="35">
        <f>IRR(O8:O17)</f>
        <v>0.12578299881162303</v>
      </c>
      <c r="S24" s="5" t="s">
        <v>28</v>
      </c>
      <c r="T24" s="35">
        <f>IRR(T8:T17)</f>
        <v>0.12578299881162303</v>
      </c>
      <c r="V24" s="26" t="s">
        <v>39</v>
      </c>
      <c r="W24" s="35">
        <v>0.12900530437064173</v>
      </c>
      <c r="X24" s="40"/>
      <c r="Y24" s="40"/>
    </row>
  </sheetData>
  <mergeCells count="9">
    <mergeCell ref="V4:Y4"/>
    <mergeCell ref="X22:Y24"/>
    <mergeCell ref="M22:N22"/>
    <mergeCell ref="R22:S22"/>
    <mergeCell ref="D4:G4"/>
    <mergeCell ref="L4:O4"/>
    <mergeCell ref="Q4:T4"/>
    <mergeCell ref="M20:N20"/>
    <mergeCell ref="R20:S20"/>
  </mergeCells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Exhibits 7,8,10--12</vt:lpstr>
      <vt:lpstr>Exhibit 9</vt:lpstr>
      <vt:lpstr>Dec_31__2001</vt:lpstr>
      <vt:lpstr>Dec_31__2010</vt:lpstr>
      <vt:lpstr>FirstCF</vt:lpstr>
      <vt:lpstr>FirstDate</vt:lpstr>
      <vt:lpstr>FirstDt</vt:lpstr>
      <vt:lpstr>LastCF</vt:lpstr>
      <vt:lpstr>LastDate</vt:lpstr>
      <vt:lpstr>LastDt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Gredil, Oleg</cp:lastModifiedBy>
  <cp:lastPrinted>2014-03-02T20:38:26Z</cp:lastPrinted>
  <dcterms:created xsi:type="dcterms:W3CDTF">2013-12-05T07:09:48Z</dcterms:created>
  <dcterms:modified xsi:type="dcterms:W3CDTF">2022-12-16T20:01:29Z</dcterms:modified>
</cp:coreProperties>
</file>