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DELL\Documents\ee things\464\EE464HW-SontAS\library\"/>
    </mc:Choice>
  </mc:AlternateContent>
  <xr:revisionPtr revIDLastSave="0" documentId="13_ncr:1_{193BB5C1-3057-4A7F-A4CD-52C270453716}" xr6:coauthVersionLast="44" xr6:coauthVersionMax="44" xr10:uidLastSave="{00000000-0000-0000-0000-000000000000}"/>
  <bookViews>
    <workbookView xWindow="-26192" yWindow="-109" windowWidth="26301" windowHeight="14889" activeTab="1" xr2:uid="{00000000-000D-0000-FFFF-FFFF00000000}"/>
  </bookViews>
  <sheets>
    <sheet name="START HERE" sheetId="2" r:id="rId1"/>
    <sheet name="SCHEMATIC AND BoM" sheetId="4" r:id="rId2"/>
    <sheet name="CALCULATIONS" sheetId="3" r:id="rId3"/>
    <sheet name="LOOKUP TABLES AND DROPDOWN LIST" sheetId="5" state="hidden" r:id="rId4"/>
    <sheet name="Sheet1" sheetId="6" r:id="rId5"/>
  </sheets>
  <definedNames>
    <definedName name="C_f1">'LOOKUP TABLES AND DROPDOWN LIST'!$F$35</definedName>
    <definedName name="C_f2">'LOOKUP TABLES AND DROPDOWN LIST'!$F$42</definedName>
    <definedName name="C_s1">'LOOKUP TABLES AND DROPDOWN LIST'!$E$24</definedName>
    <definedName name="C_s2">'LOOKUP TABLES AND DROPDOWN LIST'!$E$37</definedName>
    <definedName name="Cbulk">CALCULATIONS!$C$38</definedName>
    <definedName name="Cbulk_actual">CALCULATIONS!$C$37</definedName>
    <definedName name="Cbulk_initial">'LOOKUP TABLES AND DROPDOWN LIST'!$J$22</definedName>
    <definedName name="Cbulk_rcmd">CALCULATIONS!$C$36</definedName>
    <definedName name="Cbulk_recommended">'LOOKUP TABLES AND DROPDOWN LIST'!$J$22</definedName>
    <definedName name="Cext">CALCULATIONS!$C$236</definedName>
    <definedName name="Cext_actual">CALCULATIONS!$C$235</definedName>
    <definedName name="Cext_rcmd">CALCULATIONS!$C$233</definedName>
    <definedName name="Cfb_actual">CALCULATIONS!$C$238</definedName>
    <definedName name="Cfb_rcmd">CALCULATIONS!$C$237</definedName>
    <definedName name="Copto">CALCULATIONS!$C$231</definedName>
    <definedName name="Coss">CALCULATIONS!$C$119</definedName>
    <definedName name="Cout">CALCULATIONS!$C$154</definedName>
    <definedName name="Cout_actual">CALCULATIONS!$C$153</definedName>
    <definedName name="Cout_no_opto">CALCULATIONS!$C$149</definedName>
    <definedName name="Cout_rcmd">CALCULATIONS!$C$151</definedName>
    <definedName name="CTRmin">CALCULATIONS!$C$226</definedName>
    <definedName name="Cvdd_rcmd">CALCULATIONS!$C$209</definedName>
    <definedName name="Cvdd1">'LOOKUP TABLES AND DROPDOWN LIST'!$Q$23</definedName>
    <definedName name="Cz">CALCULATIONS!$C$252</definedName>
    <definedName name="Cz_actual">CALCULATIONS!$C$251</definedName>
    <definedName name="Cz_rcmd">CALCULATIONS!$C$250</definedName>
    <definedName name="DCR_Lout">CALCULATIONS!$C$146</definedName>
    <definedName name="Ddemag_cc">CALCULATIONS!$C$54</definedName>
    <definedName name="Dmax">CALCULATIONS!$C$98</definedName>
    <definedName name="Dmax_target">CALCULATIONS!$C$60</definedName>
    <definedName name="E_48f">'LOOKUP TABLES AND DROPDOWN LIST'!$B$70</definedName>
    <definedName name="E_48s">'LOOKUP TABLES AND DROPDOWN LIST'!$A$23</definedName>
    <definedName name="eff_xfmr">CALCULATIONS!$C$67</definedName>
    <definedName name="efficiency">CALCULATIONS!$C$29</definedName>
    <definedName name="ESR">CALCULATIONS!$C$158</definedName>
    <definedName name="ESRactual">CALCULATIONS!$C$157</definedName>
    <definedName name="ESRrcmd">CALCULATIONS!$C$156</definedName>
    <definedName name="fc_opto">CALCULATIONS!$C$229</definedName>
    <definedName name="fline_min">CALCULATIONS!$C$8</definedName>
    <definedName name="fmax">CALCULATIONS!$C$95</definedName>
    <definedName name="fmax_target">CALCULATIONS!$C$56</definedName>
    <definedName name="fmin">CALCULATIONS!$C$204</definedName>
    <definedName name="fres">CALCULATIONS!$C$58</definedName>
    <definedName name="fres_actual">CALCULATIONS!$C$124</definedName>
    <definedName name="fswmax">'LOOKUP TABLES AND DROPDOWN LIST'!$E$1</definedName>
    <definedName name="fswmin">'LOOKUP TABLES AND DROPDOWN LIST'!$E$2</definedName>
    <definedName name="G_fb1">CALCULATIONS!$C$243</definedName>
    <definedName name="G_fb2">CALCULATIONS!$C$244</definedName>
    <definedName name="G_p4">CALCULATIONS!$C$246</definedName>
    <definedName name="Ibridge">CALCULATIONS!$C$49</definedName>
    <definedName name="Ibridge_avg">CALCULATIONS!#REF!</definedName>
    <definedName name="Icin">CALCULATIONS!$C$40</definedName>
    <definedName name="Icout_rms">CALCULATIONS!$C$155</definedName>
    <definedName name="Idout">CALCULATIONS!$C$138</definedName>
    <definedName name="Idrain">CALCULATIONS!$C$128</definedName>
    <definedName name="Iin_peak">CALCULATIONS!$C$45</definedName>
    <definedName name="Input_Voltage_type">CALCULATIONS!$C$4</definedName>
    <definedName name="Iocc">CALCULATIONS!$C$84</definedName>
    <definedName name="Iocc_max">CALCULATIONS!$C$88</definedName>
    <definedName name="Iocc_target">CALCULATIONS!$C$18</definedName>
    <definedName name="Iout">CALCULATIONS!$C$17</definedName>
    <definedName name="Ipp_fm">CALCULATIONS!$C$85</definedName>
    <definedName name="Ipp_max">CALCULATIONS!#REF!</definedName>
    <definedName name="Ipp_min">CALCULATIONS!#REF!</definedName>
    <definedName name="Ipp_nom">CALCULATIONS!$C$82</definedName>
    <definedName name="Ipp_wc">CALCULATIONS!$C$86</definedName>
    <definedName name="Ipri_RMS">CALCULATIONS!$C$100</definedName>
    <definedName name="Ipulsed">CALCULATIONS!$C$129</definedName>
    <definedName name="Iref431">CALCULATIONS!$C$213</definedName>
    <definedName name="Irun">CALCULATIONS!$C$201</definedName>
    <definedName name="Isec_rms">CALCULATIONS!$C$102</definedName>
    <definedName name="Isp_max">CALCULATIONS!$C$101</definedName>
    <definedName name="Itran">CALCULATIONS!$C$24</definedName>
    <definedName name="Ivslrun_max">CALCULATIONS!$C$164</definedName>
    <definedName name="Ivslrun_min">CALCULATIONS!$C$162</definedName>
    <definedName name="Ivslrun_nom">CALCULATIONS!$C$163</definedName>
    <definedName name="Ivslstop_max">CALCULATIONS!$C$167</definedName>
    <definedName name="Ivslstop_min">CALCULATIONS!$C$165</definedName>
    <definedName name="Ivslstop_nom">CALCULATIONS!$C$166</definedName>
    <definedName name="K_fm4">CALCULATIONS!$C$245</definedName>
    <definedName name="Kam_nom">CALCULATIONS!$C$55</definedName>
    <definedName name="kHz">'LOOKUP TABLES AND DROPDOWN LIST'!$B$6</definedName>
    <definedName name="Klc">CALCULATIONS!$C$192</definedName>
    <definedName name="kOhms">'LOOKUP TABLES AND DROPDOWN LIST'!$B$17</definedName>
    <definedName name="Lp">CALCULATIONS!$C$94</definedName>
    <definedName name="Lp_actual">CALCULATIONS!$C$93</definedName>
    <definedName name="Lp_est">CALCULATIONS!$C$73</definedName>
    <definedName name="Lp_rcmd">CALCULATIONS!$C$92</definedName>
    <definedName name="mA">'LOOKUP TABLES AND DROPDOWN LIST'!$B$9</definedName>
    <definedName name="MHz">'LOOKUP TABLES AND DROPDOWN LIST'!$B$15</definedName>
    <definedName name="mOhms">'LOOKUP TABLES AND DROPDOWN LIST'!$B$7</definedName>
    <definedName name="ms">'LOOKUP TABLES AND DROPDOWN LIST'!$B$8</definedName>
    <definedName name="mV">'LOOKUP TABLES AND DROPDOWN LIST'!$B$4</definedName>
    <definedName name="mW">'LOOKUP TABLES AND DROPDOWN LIST'!$B$13</definedName>
    <definedName name="Nas">CALCULATIONS!$C$110</definedName>
    <definedName name="Nas_rcmd">CALCULATIONS!$C$105</definedName>
    <definedName name="nC">'LOOKUP TABLES AND DROPDOWN LIST'!$B$18</definedName>
    <definedName name="nF">'LOOKUP TABLES AND DROPDOWN LIST'!$B$19</definedName>
    <definedName name="Npa">CALCULATIONS!$C$108</definedName>
    <definedName name="Npa_actual">CALCULATIONS!$C$107</definedName>
    <definedName name="Npa_rcmd">CALCULATIONS!$C$106</definedName>
    <definedName name="Nps">CALCULATIONS!$C$63</definedName>
    <definedName name="Nps_actual">CALCULATIONS!$C$62</definedName>
    <definedName name="Nps_ideal">CALCULATIONS!$C$61</definedName>
    <definedName name="Nps_rcmd">CALCULATIONS!$I$61</definedName>
    <definedName name="NPSmax">CALCULATIONS!$C$61</definedName>
    <definedName name="ns">'LOOKUP TABLES AND DROPDOWN LIST'!$B$12</definedName>
    <definedName name="P_Rcs">CALCULATIONS!$C$77</definedName>
    <definedName name="Pbridge">CALCULATIONS!$C$51</definedName>
    <definedName name="Pdout">CALCULATIONS!$C$139</definedName>
    <definedName name="pF">'LOOKUP TABLES AND DROPDOWN LIST'!$B$14</definedName>
    <definedName name="Pfet">CALCULATIONS!$C$132</definedName>
    <definedName name="Pfet_cond">CALCULATIONS!$C$130</definedName>
    <definedName name="Pfet_switch">CALCULATIONS!$C$131</definedName>
    <definedName name="Pin">CALCULATIONS!$C$31</definedName>
    <definedName name="Pout">CALCULATIONS!$C$30</definedName>
    <definedName name="Psb_target">CALCULATIONS!$C$28</definedName>
    <definedName name="Qg">CALCULATIONS!$C$123</definedName>
    <definedName name="R_fb1">CALCULATIONS!$C$223</definedName>
    <definedName name="R_fb2">CALCULATIONS!$C$218</definedName>
    <definedName name="R_fb4">CALCULATIONS!$C$242</definedName>
    <definedName name="R_fb4_actual">CALCULATIONS!$C$241</definedName>
    <definedName name="R_fb4_rcmd">CALCULATIONS!$C$240</definedName>
    <definedName name="R_tl">CALCULATIONS!$C$249</definedName>
    <definedName name="R_vs1">CALCULATIONS!$C$172</definedName>
    <definedName name="R_vs2">CALCULATIONS!$C$186</definedName>
    <definedName name="Rcs">CALCULATIONS!$C$76</definedName>
    <definedName name="Rcs_actual">CALCULATIONS!$C$75</definedName>
    <definedName name="Rcs_rcmd">CALCULATIONS!$C$74</definedName>
    <definedName name="Rdson">CALCULATIONS!$C$120</definedName>
    <definedName name="Requ">CALCULATIONS!$C$232</definedName>
    <definedName name="Rfb1_actual">CALCULATIONS!$C$221</definedName>
    <definedName name="Rfb1_rcmd">CALCULATIONS!$C$219</definedName>
    <definedName name="Rfb2_actual">CALCULATIONS!$C$216</definedName>
    <definedName name="Rfb2_rcmd">CALCULATIONS!$C$214</definedName>
    <definedName name="Rinj">CALCULATIONS!$C$224</definedName>
    <definedName name="Rl_opto">CALCULATIONS!$C$228</definedName>
    <definedName name="Rlc">CALCULATIONS!$C$196</definedName>
    <definedName name="Rlc_actual">CALCULATIONS!$C$195</definedName>
    <definedName name="Rlc_rcmd">CALCULATIONS!$C$194</definedName>
    <definedName name="Rtl_actual">CALCULATIONS!$C$248</definedName>
    <definedName name="Rtl_rcmd">CALCULATIONS!$C$247</definedName>
    <definedName name="Rvs1_actual">CALCULATIONS!$C$170</definedName>
    <definedName name="Rvs1_rcmd">CALCULATIONS!$C$168</definedName>
    <definedName name="Rvs2_actual">CALCULATIONS!$C$184</definedName>
    <definedName name="Rvs2_rcmd">CALCULATIONS!$C$182</definedName>
    <definedName name="t_1">'LOOKUP TABLES AND DROPDOWN LIST'!$J$29</definedName>
    <definedName name="t_2">'LOOKUP TABLES AND DROPDOWN LIST'!$J$30</definedName>
    <definedName name="t_charge">'LOOKUP TABLES AND DROPDOWN LIST'!$J$32</definedName>
    <definedName name="t_discharge">'LOOKUP TABLES AND DROPDOWN LIST'!$J$31</definedName>
    <definedName name="t_line">CALCULATIONS!$C$14</definedName>
    <definedName name="t1_1">'LOOKUP TABLES AND DROPDOWN LIST'!$J$35</definedName>
    <definedName name="t1_2">'LOOKUP TABLES AND DROPDOWN LIST'!$J$41</definedName>
    <definedName name="t1_3">'LOOKUP TABLES AND DROPDOWN LIST'!$J$47</definedName>
    <definedName name="t2_1">'LOOKUP TABLES AND DROPDOWN LIST'!$J$36</definedName>
    <definedName name="t2_2">'LOOKUP TABLES AND DROPDOWN LIST'!$J$42</definedName>
    <definedName name="t2_3">'LOOKUP TABLES AND DROPDOWN LIST'!$J$48</definedName>
    <definedName name="tcharge_1">'LOOKUP TABLES AND DROPDOWN LIST'!$J$38</definedName>
    <definedName name="tcharge_2">'LOOKUP TABLES AND DROPDOWN LIST'!$J$44</definedName>
    <definedName name="tcharge_3">'LOOKUP TABLES AND DROPDOWN LIST'!$J$50</definedName>
    <definedName name="tdelay">CALCULATIONS!$C$193</definedName>
    <definedName name="tdemag">CALCULATIONS!$C$99</definedName>
    <definedName name="tdemag_min">CALCULATIONS!$C$113</definedName>
    <definedName name="tdischarge_1">'LOOKUP TABLES AND DROPDOWN LIST'!$J$37</definedName>
    <definedName name="tdischarge_2">'LOOKUP TABLES AND DROPDOWN LIST'!$J$43</definedName>
    <definedName name="tdischarge_3">'LOOKUP TABLES AND DROPDOWN LIST'!$J$49</definedName>
    <definedName name="tdoff">CALCULATIONS!$C$122</definedName>
    <definedName name="tf">CALCULATIONS!$C$121</definedName>
    <definedName name="tf_opto">CALCULATIONS!$C$227</definedName>
    <definedName name="ton_max">CALCULATIONS!$C$97</definedName>
    <definedName name="ton_max_est">CALCULATIONS!$C$66</definedName>
    <definedName name="ton_min">CALCULATIONS!$C$112</definedName>
    <definedName name="tonmin_limit">CALCULATIONS!$C$111</definedName>
    <definedName name="tov">CALCULATIONS!$C$205</definedName>
    <definedName name="tres">CALCULATIONS!$C$59</definedName>
    <definedName name="tres_actual">CALCULATIONS!$C$125</definedName>
    <definedName name="tresp">CALCULATIONS!$C$25</definedName>
    <definedName name="tsw">CALCULATIONS!$C$96</definedName>
    <definedName name="tsw_target">CALCULATIONS!$C$57</definedName>
    <definedName name="uA">'LOOKUP TABLES AND DROPDOWN LIST'!$B$16</definedName>
    <definedName name="uC">'LOOKUP TABLES AND DROPDOWN LIST'!$B$20</definedName>
    <definedName name="uF">'LOOKUP TABLES AND DROPDOWN LIST'!$B$5</definedName>
    <definedName name="uH">'LOOKUP TABLES AND DROPDOWN LIST'!$B$11</definedName>
    <definedName name="us">'LOOKUP TABLES AND DROPDOWN LIST'!$B$10</definedName>
    <definedName name="Vbridge">CALCULATIONS!$C$48</definedName>
    <definedName name="Vbrownout_max">CALCULATIONS!$C$178</definedName>
    <definedName name="Vbrownout_min">CALCULATIONS!$C$176</definedName>
    <definedName name="Vbrownout_nom">CALCULATIONS!$C$177</definedName>
    <definedName name="Vbulk_max">CALCULATIONS!$C$11</definedName>
    <definedName name="Vbulk_min">CALCULATIONS!$C$10</definedName>
    <definedName name="Vbulk_nom">CALCULATIONS!$C$12</definedName>
    <definedName name="Vbulk_run">CALCULATIONS!$C$13</definedName>
    <definedName name="Vbulk_valley">CALCULATIONS!$C$39</definedName>
    <definedName name="Vbulk_valley_rcmd">CALCULATIONS!#REF!</definedName>
    <definedName name="Vbulkvalley">'LOOKUP TABLES AND DROPDOWN LIST'!$J$51</definedName>
    <definedName name="Vbulkvalley_1">'LOOKUP TABLES AND DROPDOWN LIST'!$J$33</definedName>
    <definedName name="Vbulkvalley_2">'LOOKUP TABLES AND DROPDOWN LIST'!$J$39</definedName>
    <definedName name="Vbulkvalley_3">'LOOKUP TABLES AND DROPDOWN LIST'!$J$45</definedName>
    <definedName name="Vbulkvalley_desired">'START HERE'!$C$39</definedName>
    <definedName name="Vccr_max">CALCULATIONS!$C$72</definedName>
    <definedName name="Vccr_min">CALCULATIONS!$C$70</definedName>
    <definedName name="Vccr_nom">CALCULATIONS!$C$71</definedName>
    <definedName name="Vcin_rated">CALCULATIONS!$C$41</definedName>
    <definedName name="Vcstmax_max">CALCULATIONS!$C$80</definedName>
    <definedName name="Vcstmax_min">CALCULATIONS!$C$78</definedName>
    <definedName name="Vcstmax_nom">CALCULATIONS!$C$79</definedName>
    <definedName name="VDbias_blocking">CALCULATIONS!$C$143</definedName>
    <definedName name="VDD">CALCULATIONS!$C$109</definedName>
    <definedName name="VDDoff">CALCULATIONS!$C$203</definedName>
    <definedName name="VDDoff_max">CALCULATIONS!$C$103</definedName>
    <definedName name="VDDoff_min">CALCULATIONS!$C$104</definedName>
    <definedName name="VDDon">CALCULATIONS!$C$202</definedName>
    <definedName name="Vdout_blocking">CALCULATIONS!$C$137</definedName>
    <definedName name="Vdrain_clamp">CALCULATIONS!$C$133</definedName>
    <definedName name="Vds">CALCULATIONS!$C$118</definedName>
    <definedName name="VDS_derating">CALCULATIONS!$C$127</definedName>
    <definedName name="Vds_min_rating">CALCULATIONS!$C$117</definedName>
    <definedName name="Vf">CALCULATIONS!$C$136</definedName>
    <definedName name="Vf_bridge">CALCULATIONS!$C$50</definedName>
    <definedName name="Vf_opto">CALCULATIONS!$C$230</definedName>
    <definedName name="Vfa">CALCULATIONS!$C$142</definedName>
    <definedName name="Vflyback">CALCULATIONS!$C$64</definedName>
    <definedName name="Vflyback_rcmd">CALCULATIONS!#REF!</definedName>
    <definedName name="Vin_type">'START HERE'!$C$16</definedName>
    <definedName name="Vinput_max">CALCULATIONS!$C$6</definedName>
    <definedName name="Vinput_min">CALCULATIONS!$C$5</definedName>
    <definedName name="Vinput_nom">CALCULATIONS!$C$7</definedName>
    <definedName name="Vinput_run">CALCULATIONS!$C$9</definedName>
    <definedName name="Vleakage">CALCULATIONS!$C$65</definedName>
    <definedName name="Vocbc">CALCULATIONS!#REF!</definedName>
    <definedName name="Vout_cc">CALCULATIONS!$C$19</definedName>
    <definedName name="Vout_cc_min">CALCULATIONS!$C$114</definedName>
    <definedName name="Vout_cv">CALCULATIONS!$C$16</definedName>
    <definedName name="Vout_delta">CALCULATIONS!$C$21</definedName>
    <definedName name="Vout_ovp">CALCULATIONS!$C$27</definedName>
    <definedName name="Voutripple">CALCULATIONS!$C$159</definedName>
    <definedName name="Vovp_max">CALCULATIONS!$C$181</definedName>
    <definedName name="Vovp_min">CALCULATIONS!$C$179</definedName>
    <definedName name="Vovp_nom">CALCULATIONS!$C$180</definedName>
    <definedName name="Vref431">CALCULATIONS!$C$212</definedName>
    <definedName name="Vripple_target">CALCULATIONS!$C$23</definedName>
    <definedName name="Vturnon_max">CALCULATIONS!$C$175</definedName>
    <definedName name="Vturnon_min">CALCULATIONS!$C$173</definedName>
    <definedName name="Vturnon_nom">CALCULATIONS!$C$174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2" i="6" l="1"/>
  <c r="C251" i="6"/>
  <c r="C249" i="6"/>
  <c r="C248" i="6"/>
  <c r="C244" i="6"/>
  <c r="C243" i="6"/>
  <c r="C242" i="6"/>
  <c r="C241" i="6"/>
  <c r="C239" i="6"/>
  <c r="C238" i="6"/>
  <c r="C237" i="6"/>
  <c r="C236" i="6"/>
  <c r="C235" i="6"/>
  <c r="C231" i="6"/>
  <c r="C225" i="6"/>
  <c r="C223" i="6"/>
  <c r="C221" i="6"/>
  <c r="C219" i="6"/>
  <c r="C218" i="6"/>
  <c r="C216" i="6"/>
  <c r="C214" i="6"/>
  <c r="C213" i="6"/>
  <c r="C212" i="6"/>
  <c r="C196" i="6"/>
  <c r="C195" i="6"/>
  <c r="C193" i="6"/>
  <c r="C186" i="6"/>
  <c r="C184" i="6"/>
  <c r="D178" i="6"/>
  <c r="D177" i="6"/>
  <c r="D176" i="6"/>
  <c r="D175" i="6"/>
  <c r="D174" i="6"/>
  <c r="D173" i="6"/>
  <c r="C172" i="6"/>
  <c r="C170" i="6"/>
  <c r="C158" i="6"/>
  <c r="C157" i="6"/>
  <c r="C154" i="6"/>
  <c r="C153" i="6"/>
  <c r="C149" i="6"/>
  <c r="C146" i="6"/>
  <c r="C142" i="6"/>
  <c r="C136" i="6"/>
  <c r="C123" i="6"/>
  <c r="C122" i="6"/>
  <c r="C121" i="6"/>
  <c r="C120" i="6"/>
  <c r="C119" i="6"/>
  <c r="C118" i="6"/>
  <c r="C107" i="6"/>
  <c r="C93" i="6"/>
  <c r="C75" i="6"/>
  <c r="C62" i="6"/>
  <c r="C60" i="6"/>
  <c r="C59" i="6"/>
  <c r="C57" i="6"/>
  <c r="C56" i="6"/>
  <c r="C51" i="6"/>
  <c r="C50" i="6"/>
  <c r="C49" i="6"/>
  <c r="C48" i="6"/>
  <c r="C45" i="6"/>
  <c r="D44" i="6"/>
  <c r="C44" i="6"/>
  <c r="C41" i="6"/>
  <c r="C40" i="6"/>
  <c r="C38" i="6"/>
  <c r="C37" i="6"/>
  <c r="C36" i="6"/>
  <c r="C31" i="6"/>
  <c r="C30" i="6"/>
  <c r="C29" i="6"/>
  <c r="C28" i="6"/>
  <c r="C27" i="6"/>
  <c r="C25" i="6"/>
  <c r="C24" i="6"/>
  <c r="C23" i="6"/>
  <c r="C21" i="6"/>
  <c r="C19" i="6"/>
  <c r="C18" i="6"/>
  <c r="C17" i="6"/>
  <c r="C16" i="6"/>
  <c r="C14" i="6"/>
  <c r="C13" i="6"/>
  <c r="C12" i="6"/>
  <c r="C11" i="6"/>
  <c r="C10" i="6"/>
  <c r="D9" i="6"/>
  <c r="C9" i="6"/>
  <c r="C8" i="6"/>
  <c r="D7" i="6"/>
  <c r="C7" i="6"/>
  <c r="D6" i="6"/>
  <c r="C6" i="6"/>
  <c r="D5" i="6"/>
  <c r="C5" i="6"/>
  <c r="C4" i="6"/>
  <c r="C39" i="6" s="1"/>
  <c r="C251" i="3" l="1"/>
  <c r="C248" i="3"/>
  <c r="C249" i="3" s="1"/>
  <c r="C241" i="3"/>
  <c r="C242" i="3" s="1"/>
  <c r="C238" i="3"/>
  <c r="C235" i="3"/>
  <c r="C236" i="3" s="1"/>
  <c r="C221" i="3"/>
  <c r="C216" i="3"/>
  <c r="C195" i="3"/>
  <c r="C184" i="3"/>
  <c r="C170" i="3"/>
  <c r="C157" i="3"/>
  <c r="C153" i="3"/>
  <c r="C146" i="3"/>
  <c r="C142" i="3"/>
  <c r="C50" i="3"/>
  <c r="C18" i="3"/>
  <c r="C5" i="3"/>
  <c r="C6" i="3"/>
  <c r="C7" i="3"/>
  <c r="C8" i="3"/>
  <c r="C17" i="3"/>
  <c r="C19" i="3"/>
  <c r="C119" i="3" l="1"/>
  <c r="C62" i="3" l="1"/>
  <c r="C63" i="6" s="1"/>
  <c r="C37" i="3"/>
  <c r="C56" i="3"/>
  <c r="E26" i="2" l="1"/>
  <c r="D111" i="4"/>
  <c r="E132" i="4" l="1"/>
  <c r="E120" i="4"/>
  <c r="E105" i="4"/>
  <c r="E102" i="4"/>
  <c r="E99" i="4"/>
  <c r="E88" i="4"/>
  <c r="D88" i="4"/>
  <c r="E72" i="4"/>
  <c r="E64" i="4"/>
  <c r="E46" i="4"/>
  <c r="E42" i="4"/>
  <c r="E60" i="4"/>
  <c r="E114" i="4"/>
  <c r="E129" i="4"/>
  <c r="E126" i="4"/>
  <c r="E68" i="4"/>
  <c r="E53" i="4"/>
  <c r="E52" i="4"/>
  <c r="E51" i="4"/>
  <c r="E50" i="4"/>
  <c r="E78" i="4"/>
  <c r="E77" i="4"/>
  <c r="E76" i="4"/>
  <c r="E93" i="4"/>
  <c r="E92" i="4"/>
  <c r="E91" i="4"/>
  <c r="E90" i="4"/>
  <c r="E96" i="4"/>
  <c r="E95" i="4"/>
  <c r="E141" i="4"/>
  <c r="E140" i="4" l="1"/>
  <c r="E139" i="4"/>
  <c r="E138" i="4"/>
  <c r="E137" i="4"/>
  <c r="E134" i="4"/>
  <c r="E34" i="4"/>
  <c r="E33" i="4"/>
  <c r="E32" i="4"/>
  <c r="E86" i="4"/>
  <c r="E39" i="4"/>
  <c r="E38" i="4"/>
  <c r="E37" i="4"/>
  <c r="D120" i="4"/>
  <c r="C105" i="2"/>
  <c r="B106" i="5"/>
  <c r="S82" i="5" s="1"/>
  <c r="B107" i="5"/>
  <c r="S81" i="5" s="1"/>
  <c r="B108" i="5"/>
  <c r="S80" i="5" s="1"/>
  <c r="B109" i="5"/>
  <c r="S79" i="5" s="1"/>
  <c r="B95" i="5"/>
  <c r="S93" i="5" s="1"/>
  <c r="B96" i="5"/>
  <c r="S92" i="5" s="1"/>
  <c r="B97" i="5"/>
  <c r="S91" i="5" s="1"/>
  <c r="B98" i="5"/>
  <c r="S90" i="5" s="1"/>
  <c r="B99" i="5"/>
  <c r="S89" i="5" s="1"/>
  <c r="B100" i="5"/>
  <c r="S88" i="5" s="1"/>
  <c r="B101" i="5"/>
  <c r="S87" i="5" s="1"/>
  <c r="B102" i="5"/>
  <c r="S86" i="5" s="1"/>
  <c r="B103" i="5"/>
  <c r="S85" i="5" s="1"/>
  <c r="B104" i="5"/>
  <c r="S84" i="5" s="1"/>
  <c r="B105" i="5"/>
  <c r="C105" i="5" s="1"/>
  <c r="B85" i="5"/>
  <c r="S103" i="5" s="1"/>
  <c r="B86" i="5"/>
  <c r="S102" i="5" s="1"/>
  <c r="B87" i="5"/>
  <c r="S101" i="5" s="1"/>
  <c r="B88" i="5"/>
  <c r="S100" i="5" s="1"/>
  <c r="B89" i="5"/>
  <c r="S99" i="5" s="1"/>
  <c r="B90" i="5"/>
  <c r="S98" i="5" s="1"/>
  <c r="B91" i="5"/>
  <c r="S97" i="5" s="1"/>
  <c r="B92" i="5"/>
  <c r="S96" i="5" s="1"/>
  <c r="B93" i="5"/>
  <c r="S95" i="5" s="1"/>
  <c r="B94" i="5"/>
  <c r="S94" i="5" s="1"/>
  <c r="B80" i="5"/>
  <c r="S108" i="5" s="1"/>
  <c r="B81" i="5"/>
  <c r="S107" i="5" s="1"/>
  <c r="B82" i="5"/>
  <c r="S106" i="5" s="1"/>
  <c r="B83" i="5"/>
  <c r="S105" i="5" s="1"/>
  <c r="B84" i="5"/>
  <c r="S104" i="5" s="1"/>
  <c r="B79" i="5"/>
  <c r="S109" i="5" s="1"/>
  <c r="B20" i="5"/>
  <c r="C103" i="2"/>
  <c r="D46" i="4"/>
  <c r="D42" i="4"/>
  <c r="B19" i="5"/>
  <c r="C85" i="5" l="1"/>
  <c r="C91" i="5"/>
  <c r="C95" i="5"/>
  <c r="C102" i="5"/>
  <c r="C84" i="5"/>
  <c r="C90" i="5"/>
  <c r="C109" i="5"/>
  <c r="C101" i="5"/>
  <c r="C83" i="5"/>
  <c r="C89" i="5"/>
  <c r="C108" i="5"/>
  <c r="C79" i="5"/>
  <c r="C82" i="5"/>
  <c r="C100" i="5"/>
  <c r="C107" i="5"/>
  <c r="C80" i="5"/>
  <c r="C81" i="5"/>
  <c r="C99" i="5"/>
  <c r="C106" i="5"/>
  <c r="C88" i="5"/>
  <c r="C94" i="5"/>
  <c r="C98" i="5"/>
  <c r="C87" i="5"/>
  <c r="C93" i="5"/>
  <c r="C97" i="5"/>
  <c r="C104" i="5"/>
  <c r="C86" i="5"/>
  <c r="C92" i="5"/>
  <c r="C96" i="5"/>
  <c r="C103" i="5"/>
  <c r="D108" i="4"/>
  <c r="C213" i="3"/>
  <c r="C212" i="3"/>
  <c r="D132" i="4" s="1"/>
  <c r="C123" i="3" l="1"/>
  <c r="C28" i="3" l="1"/>
  <c r="B18" i="5"/>
  <c r="C122" i="3" l="1"/>
  <c r="C193" i="3" s="1"/>
  <c r="C27" i="3"/>
  <c r="D174" i="3" l="1"/>
  <c r="D175" i="3"/>
  <c r="D176" i="3"/>
  <c r="D177" i="3"/>
  <c r="D178" i="3"/>
  <c r="D173" i="3" l="1"/>
  <c r="D5" i="3"/>
  <c r="B17" i="5"/>
  <c r="B16" i="5"/>
  <c r="H65" i="5" s="1"/>
  <c r="H66" i="5" s="1"/>
  <c r="C214" i="3" s="1"/>
  <c r="C88" i="2" l="1"/>
  <c r="C218" i="3"/>
  <c r="D102" i="4" s="1"/>
  <c r="C244" i="3"/>
  <c r="C243" i="3"/>
  <c r="C25" i="3"/>
  <c r="C24" i="3"/>
  <c r="D44" i="3" l="1"/>
  <c r="E85" i="4" s="1"/>
  <c r="B15" i="5" l="1"/>
  <c r="B14" i="5" l="1"/>
  <c r="C121" i="3"/>
  <c r="E18" i="2" l="1"/>
  <c r="D19" i="2"/>
  <c r="C120" i="3" l="1"/>
  <c r="B13" i="5"/>
  <c r="C118" i="3" l="1"/>
  <c r="D90" i="4" l="1"/>
  <c r="C136" i="3"/>
  <c r="C23" i="3"/>
  <c r="C21" i="3"/>
  <c r="C16" i="3"/>
  <c r="C9" i="3"/>
  <c r="C44" i="3"/>
  <c r="D85" i="4" s="1"/>
  <c r="D9" i="3"/>
  <c r="D7" i="3"/>
  <c r="D6" i="3"/>
  <c r="C4" i="3"/>
  <c r="C61" i="6" l="1"/>
  <c r="E27" i="2"/>
  <c r="C30" i="3"/>
  <c r="C14" i="3"/>
  <c r="B22" i="2"/>
  <c r="E21" i="2"/>
  <c r="D51" i="4"/>
  <c r="H68" i="5"/>
  <c r="H69" i="5" s="1"/>
  <c r="C219" i="3" s="1"/>
  <c r="C223" i="3" s="1"/>
  <c r="B12" i="5"/>
  <c r="B11" i="5"/>
  <c r="B10" i="5"/>
  <c r="B9" i="5"/>
  <c r="B8" i="5"/>
  <c r="B7" i="5"/>
  <c r="B6" i="5"/>
  <c r="B4" i="5"/>
  <c r="E1" i="5" l="1"/>
  <c r="C57" i="3"/>
  <c r="C231" i="3"/>
  <c r="C59" i="3"/>
  <c r="C60" i="3" s="1"/>
  <c r="C90" i="2"/>
  <c r="B5" i="5"/>
  <c r="C149" i="3" s="1"/>
  <c r="W22" i="5" l="1"/>
  <c r="D79" i="5"/>
  <c r="D89" i="5"/>
  <c r="D88" i="5"/>
  <c r="D106" i="5"/>
  <c r="D103" i="5"/>
  <c r="D102" i="5"/>
  <c r="D99" i="5"/>
  <c r="D84" i="5"/>
  <c r="D109" i="5"/>
  <c r="D98" i="5"/>
  <c r="D95" i="5"/>
  <c r="D104" i="5"/>
  <c r="D91" i="5"/>
  <c r="D90" i="5"/>
  <c r="D87" i="5"/>
  <c r="D108" i="5"/>
  <c r="D86" i="5"/>
  <c r="D105" i="5"/>
  <c r="D82" i="5"/>
  <c r="D100" i="5"/>
  <c r="D80" i="5"/>
  <c r="D94" i="5"/>
  <c r="D107" i="5"/>
  <c r="D92" i="5"/>
  <c r="D96" i="5"/>
  <c r="D83" i="5"/>
  <c r="D101" i="5"/>
  <c r="D97" i="5"/>
  <c r="D81" i="5"/>
  <c r="D93" i="5"/>
  <c r="D85" i="5"/>
  <c r="C225" i="3"/>
  <c r="D99" i="4"/>
  <c r="D21" i="2"/>
  <c r="E99" i="5" l="1"/>
  <c r="F99" i="5"/>
  <c r="F93" i="5"/>
  <c r="E93" i="5"/>
  <c r="F94" i="5"/>
  <c r="E94" i="5"/>
  <c r="F90" i="5"/>
  <c r="E90" i="5"/>
  <c r="E102" i="5"/>
  <c r="F102" i="5"/>
  <c r="E87" i="5"/>
  <c r="F87" i="5"/>
  <c r="F81" i="5"/>
  <c r="E81" i="5"/>
  <c r="F80" i="5"/>
  <c r="E80" i="5"/>
  <c r="E91" i="5"/>
  <c r="F91" i="5"/>
  <c r="E103" i="5"/>
  <c r="F103" i="5"/>
  <c r="F85" i="5"/>
  <c r="E85" i="5"/>
  <c r="E97" i="5"/>
  <c r="F97" i="5"/>
  <c r="F100" i="5"/>
  <c r="E100" i="5"/>
  <c r="F104" i="5"/>
  <c r="E104" i="5"/>
  <c r="E106" i="5"/>
  <c r="F106" i="5"/>
  <c r="F107" i="5"/>
  <c r="E107" i="5"/>
  <c r="E101" i="5"/>
  <c r="F101" i="5"/>
  <c r="F82" i="5"/>
  <c r="E82" i="5"/>
  <c r="F95" i="5"/>
  <c r="E95" i="5"/>
  <c r="F88" i="5"/>
  <c r="E88" i="5"/>
  <c r="E83" i="5"/>
  <c r="F83" i="5"/>
  <c r="F105" i="5"/>
  <c r="E105" i="5"/>
  <c r="E98" i="5"/>
  <c r="F98" i="5"/>
  <c r="F89" i="5"/>
  <c r="E89" i="5"/>
  <c r="F96" i="5"/>
  <c r="E96" i="5"/>
  <c r="F86" i="5"/>
  <c r="E86" i="5"/>
  <c r="F109" i="5"/>
  <c r="E109" i="5"/>
  <c r="E79" i="5"/>
  <c r="F79" i="5"/>
  <c r="F92" i="5"/>
  <c r="E92" i="5"/>
  <c r="F108" i="5"/>
  <c r="E108" i="5"/>
  <c r="F84" i="5"/>
  <c r="E84" i="5"/>
  <c r="W24" i="5"/>
  <c r="W25" i="5"/>
  <c r="W23" i="5" s="1"/>
  <c r="C237" i="3" s="1"/>
  <c r="D18" i="2"/>
  <c r="D17" i="2"/>
  <c r="C10" i="3"/>
  <c r="C11" i="3"/>
  <c r="C48" i="3" s="1"/>
  <c r="C239" i="3" l="1"/>
  <c r="C101" i="2"/>
  <c r="J29" i="5"/>
  <c r="D32" i="4"/>
  <c r="C41" i="3"/>
  <c r="D38" i="4" s="1"/>
  <c r="C12" i="3" l="1"/>
  <c r="E19" i="2"/>
  <c r="J30" i="5"/>
  <c r="J31" i="5" l="1"/>
  <c r="J32" i="5"/>
  <c r="C13" i="3"/>
  <c r="C29" i="3"/>
  <c r="C31" i="3" l="1"/>
  <c r="C36" i="3" s="1"/>
  <c r="C38" i="3" l="1"/>
  <c r="B35" i="2"/>
  <c r="E30" i="2"/>
  <c r="C40" i="2" l="1"/>
  <c r="J22" i="5"/>
  <c r="D37" i="4"/>
  <c r="J33" i="5"/>
  <c r="J35" i="5" l="1"/>
  <c r="J38" i="5" s="1"/>
  <c r="J36" i="5" l="1"/>
  <c r="J37" i="5" s="1"/>
  <c r="J39" i="5" s="1"/>
  <c r="J41" i="5" s="1"/>
  <c r="J44" i="5" s="1"/>
  <c r="J42" i="5" l="1"/>
  <c r="J43" i="5" s="1"/>
  <c r="J45" i="5" s="1"/>
  <c r="J47" i="5" s="1"/>
  <c r="J50" i="5" s="1"/>
  <c r="J48" i="5" l="1"/>
  <c r="J49" i="5" s="1"/>
  <c r="J51" i="5" s="1"/>
  <c r="C39" i="3" s="1"/>
  <c r="C61" i="3" s="1"/>
  <c r="C63" i="3" l="1"/>
  <c r="C49" i="3"/>
  <c r="D33" i="4" s="1"/>
  <c r="C45" i="3"/>
  <c r="D86" i="4" s="1"/>
  <c r="C40" i="3"/>
  <c r="C51" i="3" s="1"/>
  <c r="E31" i="2"/>
  <c r="C73" i="3" l="1"/>
  <c r="C74" i="3" s="1"/>
  <c r="C65" i="6"/>
  <c r="C133" i="6"/>
  <c r="C64" i="6"/>
  <c r="C117" i="6"/>
  <c r="C73" i="6"/>
  <c r="C66" i="6"/>
  <c r="C48" i="2"/>
  <c r="D39" i="4"/>
  <c r="D34" i="4"/>
  <c r="E49" i="2"/>
  <c r="C64" i="3"/>
  <c r="D135" i="4"/>
  <c r="C65" i="3"/>
  <c r="C117" i="3"/>
  <c r="C127" i="6" s="1"/>
  <c r="C133" i="3"/>
  <c r="C66" i="3"/>
  <c r="C74" i="6" l="1"/>
  <c r="D72" i="4"/>
  <c r="C127" i="3"/>
  <c r="E60" i="2" s="1"/>
  <c r="C59" i="2"/>
  <c r="C93" i="3" l="1"/>
  <c r="C94" i="6" s="1"/>
  <c r="C51" i="2" l="1"/>
  <c r="C75" i="3" s="1"/>
  <c r="C76" i="3" l="1"/>
  <c r="C82" i="3" s="1"/>
  <c r="C76" i="6"/>
  <c r="C81" i="6"/>
  <c r="C83" i="3"/>
  <c r="C107" i="3"/>
  <c r="C108" i="6" s="1"/>
  <c r="C81" i="3" l="1"/>
  <c r="C82" i="6"/>
  <c r="C83" i="6"/>
  <c r="C86" i="3"/>
  <c r="C129" i="6" s="1"/>
  <c r="C86" i="6"/>
  <c r="D95" i="4"/>
  <c r="C85" i="6"/>
  <c r="C84" i="6"/>
  <c r="C101" i="6"/>
  <c r="C84" i="3"/>
  <c r="D137" i="4"/>
  <c r="C85" i="3"/>
  <c r="C101" i="3"/>
  <c r="C129" i="3"/>
  <c r="D92" i="4" s="1"/>
  <c r="C88" i="3"/>
  <c r="C88" i="6" l="1"/>
  <c r="C105" i="6"/>
  <c r="C139" i="6"/>
  <c r="C92" i="6"/>
  <c r="C91" i="6"/>
  <c r="C137" i="6"/>
  <c r="C156" i="6"/>
  <c r="C102" i="6"/>
  <c r="G52" i="2"/>
  <c r="C92" i="3"/>
  <c r="C91" i="3"/>
  <c r="C102" i="3"/>
  <c r="C138" i="6" s="1"/>
  <c r="C156" i="3"/>
  <c r="C158" i="3" s="1"/>
  <c r="D139" i="4"/>
  <c r="C105" i="3"/>
  <c r="C137" i="3"/>
  <c r="D76" i="4" s="1"/>
  <c r="C139" i="3"/>
  <c r="D78" i="4" s="1"/>
  <c r="C106" i="3" l="1"/>
  <c r="C56" i="2" s="1"/>
  <c r="C106" i="6"/>
  <c r="C54" i="2"/>
  <c r="C94" i="3"/>
  <c r="C138" i="3"/>
  <c r="D77" i="4" s="1"/>
  <c r="D140" i="4"/>
  <c r="C108" i="3"/>
  <c r="D53" i="4"/>
  <c r="C70" i="2"/>
  <c r="C124" i="3" l="1"/>
  <c r="C124" i="6"/>
  <c r="C112" i="6"/>
  <c r="C204" i="6"/>
  <c r="C99" i="6"/>
  <c r="C97" i="6"/>
  <c r="C95" i="6"/>
  <c r="C110" i="6"/>
  <c r="C109" i="6"/>
  <c r="D136" i="4"/>
  <c r="H56" i="5"/>
  <c r="H57" i="5" s="1"/>
  <c r="C110" i="3"/>
  <c r="C109" i="3"/>
  <c r="C112" i="3"/>
  <c r="C204" i="3"/>
  <c r="Q30" i="5" s="1"/>
  <c r="D134" i="4"/>
  <c r="C99" i="3"/>
  <c r="C97" i="3"/>
  <c r="C95" i="3"/>
  <c r="C155" i="6" s="1"/>
  <c r="C143" i="3" l="1"/>
  <c r="D68" i="4" s="1"/>
  <c r="E109" i="6"/>
  <c r="C168" i="3"/>
  <c r="C77" i="2" s="1"/>
  <c r="C168" i="6"/>
  <c r="C98" i="6"/>
  <c r="E55" i="2"/>
  <c r="E112" i="6"/>
  <c r="C113" i="6"/>
  <c r="C96" i="6"/>
  <c r="E95" i="6"/>
  <c r="C131" i="6"/>
  <c r="C246" i="6"/>
  <c r="C114" i="3"/>
  <c r="C114" i="6"/>
  <c r="C143" i="6"/>
  <c r="C125" i="3"/>
  <c r="C126" i="6" s="1"/>
  <c r="D126" i="6" s="1"/>
  <c r="C125" i="6"/>
  <c r="C172" i="3"/>
  <c r="C155" i="3"/>
  <c r="D52" i="4" s="1"/>
  <c r="G55" i="2"/>
  <c r="E95" i="3"/>
  <c r="Q33" i="5"/>
  <c r="Q32" i="5"/>
  <c r="E57" i="2"/>
  <c r="Q26" i="5"/>
  <c r="E109" i="3"/>
  <c r="C131" i="3"/>
  <c r="D141" i="4"/>
  <c r="C96" i="3"/>
  <c r="C100" i="3" s="1"/>
  <c r="C246" i="3"/>
  <c r="T22" i="5"/>
  <c r="C98" i="3"/>
  <c r="E112" i="3"/>
  <c r="C113" i="3"/>
  <c r="C100" i="6" l="1"/>
  <c r="C128" i="6"/>
  <c r="G61" i="2"/>
  <c r="C77" i="3"/>
  <c r="D96" i="4" s="1"/>
  <c r="C130" i="6"/>
  <c r="C77" i="6"/>
  <c r="C126" i="3"/>
  <c r="D126" i="3" s="1"/>
  <c r="C178" i="6"/>
  <c r="C174" i="6"/>
  <c r="C177" i="6"/>
  <c r="C173" i="6"/>
  <c r="C176" i="6"/>
  <c r="C175" i="6"/>
  <c r="C175" i="3"/>
  <c r="H59" i="5"/>
  <c r="H60" i="5" s="1"/>
  <c r="H62" i="5"/>
  <c r="H63" i="5" s="1"/>
  <c r="C174" i="3"/>
  <c r="D126" i="4"/>
  <c r="C176" i="3"/>
  <c r="C173" i="3"/>
  <c r="C177" i="3"/>
  <c r="C178" i="3"/>
  <c r="Q31" i="5"/>
  <c r="C128" i="3"/>
  <c r="D91" i="4" s="1"/>
  <c r="C130" i="3"/>
  <c r="D138" i="4"/>
  <c r="Q29" i="5"/>
  <c r="Q27" i="5" s="1"/>
  <c r="Q28" i="5"/>
  <c r="T24" i="5"/>
  <c r="T25" i="5"/>
  <c r="T23" i="5" s="1"/>
  <c r="C182" i="3" l="1"/>
  <c r="C186" i="3" s="1"/>
  <c r="D129" i="4" s="1"/>
  <c r="C182" i="6"/>
  <c r="C151" i="3"/>
  <c r="C154" i="3" s="1"/>
  <c r="C159" i="6" s="1"/>
  <c r="C151" i="6"/>
  <c r="C208" i="3"/>
  <c r="C208" i="6"/>
  <c r="C207" i="3"/>
  <c r="C207" i="6"/>
  <c r="C132" i="3"/>
  <c r="D93" i="4" s="1"/>
  <c r="C132" i="6"/>
  <c r="C194" i="3"/>
  <c r="C83" i="2" s="1"/>
  <c r="C194" i="6"/>
  <c r="C196" i="3"/>
  <c r="C188" i="3"/>
  <c r="C80" i="2" l="1"/>
  <c r="C187" i="3"/>
  <c r="C68" i="2"/>
  <c r="B197" i="3"/>
  <c r="B197" i="6"/>
  <c r="C189" i="3"/>
  <c r="C188" i="6"/>
  <c r="C187" i="6"/>
  <c r="C189" i="6"/>
  <c r="D114" i="4"/>
  <c r="D50" i="4"/>
  <c r="G100" i="5"/>
  <c r="G109" i="5"/>
  <c r="G84" i="5"/>
  <c r="G96" i="5"/>
  <c r="G106" i="5"/>
  <c r="G82" i="5"/>
  <c r="G101" i="5"/>
  <c r="G86" i="5"/>
  <c r="G91" i="5"/>
  <c r="G108" i="5"/>
  <c r="G94" i="5"/>
  <c r="G90" i="5"/>
  <c r="G88" i="5"/>
  <c r="G98" i="5"/>
  <c r="G104" i="5"/>
  <c r="G83" i="5"/>
  <c r="G92" i="5"/>
  <c r="G85" i="5"/>
  <c r="G81" i="5"/>
  <c r="G93" i="5"/>
  <c r="G102" i="5"/>
  <c r="G79" i="5"/>
  <c r="G105" i="5"/>
  <c r="G89" i="5"/>
  <c r="G87" i="5"/>
  <c r="G97" i="5"/>
  <c r="G103" i="5"/>
  <c r="G99" i="5"/>
  <c r="G107" i="5"/>
  <c r="G80" i="5"/>
  <c r="G95" i="5"/>
  <c r="Q22" i="5"/>
  <c r="C159" i="3"/>
  <c r="Q24" i="5" l="1"/>
  <c r="Q25" i="5"/>
  <c r="Q23" i="5" s="1"/>
  <c r="H93" i="5"/>
  <c r="I93" i="5"/>
  <c r="J93" i="5"/>
  <c r="H90" i="5"/>
  <c r="I90" i="5"/>
  <c r="J90" i="5"/>
  <c r="H96" i="5"/>
  <c r="I96" i="5"/>
  <c r="J96" i="5"/>
  <c r="I103" i="5"/>
  <c r="H103" i="5"/>
  <c r="J103" i="5"/>
  <c r="H104" i="5"/>
  <c r="I104" i="5"/>
  <c r="J104" i="5"/>
  <c r="H101" i="5"/>
  <c r="I101" i="5"/>
  <c r="J101" i="5"/>
  <c r="I80" i="5"/>
  <c r="H80" i="5"/>
  <c r="J80" i="5"/>
  <c r="H97" i="5"/>
  <c r="I97" i="5"/>
  <c r="J97" i="5"/>
  <c r="H79" i="5"/>
  <c r="I79" i="5"/>
  <c r="J79" i="5"/>
  <c r="I85" i="5"/>
  <c r="H85" i="5"/>
  <c r="J85" i="5"/>
  <c r="H98" i="5"/>
  <c r="I98" i="5"/>
  <c r="J98" i="5"/>
  <c r="I108" i="5"/>
  <c r="H108" i="5"/>
  <c r="J108" i="5"/>
  <c r="I82" i="5"/>
  <c r="H82" i="5"/>
  <c r="J82" i="5"/>
  <c r="H109" i="5"/>
  <c r="I109" i="5"/>
  <c r="J109" i="5"/>
  <c r="I99" i="5"/>
  <c r="H99" i="5"/>
  <c r="J99" i="5"/>
  <c r="I89" i="5"/>
  <c r="H89" i="5"/>
  <c r="J89" i="5"/>
  <c r="H83" i="5"/>
  <c r="I83" i="5"/>
  <c r="J83" i="5"/>
  <c r="I86" i="5"/>
  <c r="H86" i="5"/>
  <c r="J86" i="5"/>
  <c r="H95" i="5"/>
  <c r="I95" i="5"/>
  <c r="J95" i="5"/>
  <c r="H105" i="5"/>
  <c r="I105" i="5"/>
  <c r="J105" i="5"/>
  <c r="H81" i="5"/>
  <c r="I81" i="5"/>
  <c r="J81" i="5"/>
  <c r="I94" i="5"/>
  <c r="H94" i="5"/>
  <c r="J94" i="5"/>
  <c r="I84" i="5"/>
  <c r="H84" i="5"/>
  <c r="J84" i="5"/>
  <c r="H107" i="5"/>
  <c r="I107" i="5"/>
  <c r="J107" i="5"/>
  <c r="I87" i="5"/>
  <c r="H87" i="5"/>
  <c r="J87" i="5"/>
  <c r="I102" i="5"/>
  <c r="H102" i="5"/>
  <c r="J102" i="5"/>
  <c r="I92" i="5"/>
  <c r="H92" i="5"/>
  <c r="J92" i="5"/>
  <c r="H88" i="5"/>
  <c r="I88" i="5"/>
  <c r="J88" i="5"/>
  <c r="H91" i="5"/>
  <c r="I91" i="5"/>
  <c r="J91" i="5"/>
  <c r="I106" i="5"/>
  <c r="H106" i="5"/>
  <c r="J106" i="5"/>
  <c r="H100" i="5"/>
  <c r="I100" i="5"/>
  <c r="J100" i="5"/>
  <c r="C206" i="3" l="1"/>
  <c r="C209" i="3" s="1"/>
  <c r="D60" i="4" s="1"/>
  <c r="C206" i="6"/>
  <c r="C209" i="6" s="1"/>
  <c r="L81" i="5"/>
  <c r="R107" i="5" s="1"/>
  <c r="K81" i="5"/>
  <c r="K82" i="5"/>
  <c r="L82" i="5"/>
  <c r="R106" i="5" s="1"/>
  <c r="L93" i="5"/>
  <c r="R95" i="5" s="1"/>
  <c r="K93" i="5"/>
  <c r="L106" i="5"/>
  <c r="R82" i="5" s="1"/>
  <c r="K106" i="5"/>
  <c r="L94" i="5"/>
  <c r="R94" i="5" s="1"/>
  <c r="K94" i="5"/>
  <c r="L109" i="5"/>
  <c r="R79" i="5" s="1"/>
  <c r="K109" i="5"/>
  <c r="L101" i="5"/>
  <c r="R87" i="5" s="1"/>
  <c r="K101" i="5"/>
  <c r="L92" i="5"/>
  <c r="R96" i="5" s="1"/>
  <c r="K92" i="5"/>
  <c r="L84" i="5"/>
  <c r="R104" i="5" s="1"/>
  <c r="K84" i="5"/>
  <c r="K95" i="5"/>
  <c r="L95" i="5"/>
  <c r="R93" i="5" s="1"/>
  <c r="K99" i="5"/>
  <c r="L99" i="5"/>
  <c r="R89" i="5" s="1"/>
  <c r="L98" i="5"/>
  <c r="R90" i="5" s="1"/>
  <c r="K98" i="5"/>
  <c r="K80" i="5"/>
  <c r="L80" i="5"/>
  <c r="R108" i="5" s="1"/>
  <c r="K96" i="5"/>
  <c r="L96" i="5"/>
  <c r="R92" i="5" s="1"/>
  <c r="K91" i="5"/>
  <c r="L91" i="5"/>
  <c r="R97" i="5" s="1"/>
  <c r="L87" i="5"/>
  <c r="R101" i="5" s="1"/>
  <c r="K87" i="5"/>
  <c r="L83" i="5"/>
  <c r="R105" i="5" s="1"/>
  <c r="K83" i="5"/>
  <c r="L79" i="5"/>
  <c r="R109" i="5" s="1"/>
  <c r="K79" i="5"/>
  <c r="L104" i="5"/>
  <c r="R84" i="5" s="1"/>
  <c r="K104" i="5"/>
  <c r="L102" i="5"/>
  <c r="R86" i="5" s="1"/>
  <c r="K102" i="5"/>
  <c r="L86" i="5"/>
  <c r="R102" i="5" s="1"/>
  <c r="K86" i="5"/>
  <c r="K85" i="5"/>
  <c r="L85" i="5"/>
  <c r="R103" i="5" s="1"/>
  <c r="K90" i="5"/>
  <c r="L90" i="5"/>
  <c r="R98" i="5" s="1"/>
  <c r="K100" i="5"/>
  <c r="L100" i="5"/>
  <c r="R88" i="5" s="1"/>
  <c r="K88" i="5"/>
  <c r="L88" i="5"/>
  <c r="R100" i="5" s="1"/>
  <c r="L107" i="5"/>
  <c r="R81" i="5" s="1"/>
  <c r="K107" i="5"/>
  <c r="L105" i="5"/>
  <c r="R83" i="5" s="1"/>
  <c r="K105" i="5"/>
  <c r="L89" i="5"/>
  <c r="R99" i="5" s="1"/>
  <c r="K89" i="5"/>
  <c r="L108" i="5"/>
  <c r="R80" i="5" s="1"/>
  <c r="K108" i="5"/>
  <c r="L97" i="5"/>
  <c r="R91" i="5" s="1"/>
  <c r="K97" i="5"/>
  <c r="K103" i="5"/>
  <c r="L103" i="5"/>
  <c r="R85" i="5" s="1"/>
  <c r="W78" i="5" l="1"/>
  <c r="W81" i="5" s="1"/>
  <c r="W83" i="5" l="1"/>
  <c r="W82" i="5" s="1"/>
  <c r="W84" i="5"/>
  <c r="C250" i="3" l="1"/>
  <c r="C252" i="3" s="1"/>
  <c r="C250" i="6"/>
  <c r="C107" i="2"/>
  <c r="D64" i="4"/>
</calcChain>
</file>

<file path=xl/sharedStrings.xml><?xml version="1.0" encoding="utf-8"?>
<sst xmlns="http://schemas.openxmlformats.org/spreadsheetml/2006/main" count="1812" uniqueCount="760">
  <si>
    <t>Disclaimer</t>
  </si>
  <si>
    <t>This product is designed as an aid for customers of Texas Instruments. No warranties, either expressed or implied, with respect to this software or its fitness for any particular purpose, are claimed by Texas Instruments or the author. The software is licensed solely on an "as is" basis. The entire risk as to its quality and performance is with the customer.</t>
  </si>
  <si>
    <t>UCC28740 DESIGN CALCULATOR TOOL</t>
  </si>
  <si>
    <t>UCC28740 CONSTANT-VOLTAGE, CONSTANT-CURRENT FLYBACK DESIGN CALCULATOR</t>
  </si>
  <si>
    <t>CLEAR ALL USER INPUT CELLS BEFORE STARTING A NEW DESIGN</t>
  </si>
  <si>
    <t>DESIGN REQUIREMENTS</t>
  </si>
  <si>
    <t>Input voltage type:</t>
  </si>
  <si>
    <t>AC</t>
  </si>
  <si>
    <t>DC</t>
  </si>
  <si>
    <t>UCC28740 DESIGN CALCULATIONS</t>
  </si>
  <si>
    <t>V</t>
  </si>
  <si>
    <t>VDC</t>
  </si>
  <si>
    <t>A</t>
  </si>
  <si>
    <t>W</t>
  </si>
  <si>
    <t>mV</t>
  </si>
  <si>
    <t>kHz</t>
  </si>
  <si>
    <t>INPUT SPECIFICATIONS</t>
  </si>
  <si>
    <t>OUTPUT SPECIFICATIONS</t>
  </si>
  <si>
    <t>COMPONENT</t>
  </si>
  <si>
    <t>Standard E48 Resistor Values</t>
  </si>
  <si>
    <t>Standard Capacitor Values</t>
  </si>
  <si>
    <t>C values up to 10nF</t>
  </si>
  <si>
    <t>C values greater than 10nF</t>
  </si>
  <si>
    <t>µF</t>
  </si>
  <si>
    <t>ms</t>
  </si>
  <si>
    <t>Choose either AC or DC</t>
  </si>
  <si>
    <t>INPUT</t>
  </si>
  <si>
    <t>OUTPUT</t>
  </si>
  <si>
    <t>pF</t>
  </si>
  <si>
    <t>for desired bulk valley voltage</t>
  </si>
  <si>
    <t>Resultant Minimum Bulk Voltage Calculations:</t>
  </si>
  <si>
    <t>s</t>
  </si>
  <si>
    <t>First Iteration:</t>
  </si>
  <si>
    <t>Second Iteration:</t>
  </si>
  <si>
    <t>Initial Calculations:</t>
  </si>
  <si>
    <t>Third Iteration:</t>
  </si>
  <si>
    <t>mA</t>
  </si>
  <si>
    <t>µs</t>
  </si>
  <si>
    <t>COMMENT</t>
  </si>
  <si>
    <t>Enter actual input bulk capacitor used</t>
  </si>
  <si>
    <r>
      <t>Enter V</t>
    </r>
    <r>
      <rPr>
        <vertAlign val="subscript"/>
        <sz val="11"/>
        <color theme="1"/>
        <rFont val="Arial"/>
        <family val="2"/>
      </rPr>
      <t>F</t>
    </r>
    <r>
      <rPr>
        <sz val="11"/>
        <color theme="1"/>
        <rFont val="Arial"/>
        <family val="2"/>
      </rPr>
      <t xml:space="preserve"> at full load</t>
    </r>
  </si>
  <si>
    <t>Enter 0 if no secondary LC filter used</t>
  </si>
  <si>
    <t>mV factor</t>
  </si>
  <si>
    <t>uF factor</t>
  </si>
  <si>
    <t>kHz factor</t>
  </si>
  <si>
    <t>ms factor</t>
  </si>
  <si>
    <t>mA factor</t>
  </si>
  <si>
    <t>us factor</t>
  </si>
  <si>
    <t>Ω</t>
  </si>
  <si>
    <t>uH factor</t>
  </si>
  <si>
    <t>µH</t>
  </si>
  <si>
    <t>ns factor</t>
  </si>
  <si>
    <t>ns</t>
  </si>
  <si>
    <t>Hz</t>
  </si>
  <si>
    <t>Input Voltage Type, AC or DC:</t>
  </si>
  <si>
    <r>
      <t>Minimum Input Voltage, V</t>
    </r>
    <r>
      <rPr>
        <vertAlign val="subscript"/>
        <sz val="11"/>
        <color theme="1"/>
        <rFont val="Arial"/>
        <family val="2"/>
      </rPr>
      <t>INPUTmin</t>
    </r>
    <r>
      <rPr>
        <sz val="11"/>
        <color theme="1"/>
        <rFont val="Arial"/>
        <family val="2"/>
      </rPr>
      <t xml:space="preserve"> =</t>
    </r>
  </si>
  <si>
    <r>
      <t>Maximum Input Voltage, V</t>
    </r>
    <r>
      <rPr>
        <vertAlign val="subscript"/>
        <sz val="11"/>
        <color theme="1"/>
        <rFont val="Arial"/>
        <family val="2"/>
      </rPr>
      <t>INPUTmax</t>
    </r>
    <r>
      <rPr>
        <sz val="11"/>
        <color theme="1"/>
        <rFont val="Arial"/>
        <family val="2"/>
      </rPr>
      <t xml:space="preserve"> =</t>
    </r>
  </si>
  <si>
    <t>The Values Entered by the User on the DESIGN INPUT Page are Used in the Design Calculations</t>
  </si>
  <si>
    <t>mΩ</t>
  </si>
  <si>
    <t>mΩ factor</t>
  </si>
  <si>
    <r>
      <t>C</t>
    </r>
    <r>
      <rPr>
        <vertAlign val="subscript"/>
        <sz val="11"/>
        <color theme="1"/>
        <rFont val="Arial"/>
        <family val="2"/>
      </rPr>
      <t>IN</t>
    </r>
    <r>
      <rPr>
        <sz val="11"/>
        <color theme="1"/>
        <rFont val="Arial"/>
        <family val="2"/>
      </rPr>
      <t xml:space="preserve"> Calculations:</t>
    </r>
  </si>
  <si>
    <r>
      <t>C</t>
    </r>
    <r>
      <rPr>
        <vertAlign val="subscript"/>
        <sz val="11"/>
        <color theme="1"/>
        <rFont val="Arial"/>
        <family val="2"/>
      </rPr>
      <t>IN</t>
    </r>
    <r>
      <rPr>
        <sz val="11"/>
        <color theme="1"/>
        <rFont val="Arial"/>
        <family val="2"/>
      </rPr>
      <t xml:space="preserve"> Recommended:</t>
    </r>
  </si>
  <si>
    <r>
      <t>t</t>
    </r>
    <r>
      <rPr>
        <vertAlign val="subscript"/>
        <sz val="11"/>
        <color theme="1"/>
        <rFont val="Arial"/>
        <family val="2"/>
      </rPr>
      <t>1</t>
    </r>
  </si>
  <si>
    <r>
      <t>t</t>
    </r>
    <r>
      <rPr>
        <vertAlign val="subscript"/>
        <sz val="11"/>
        <color theme="1"/>
        <rFont val="Arial"/>
        <family val="2"/>
      </rPr>
      <t>2</t>
    </r>
  </si>
  <si>
    <r>
      <t>t</t>
    </r>
    <r>
      <rPr>
        <vertAlign val="subscript"/>
        <sz val="11"/>
        <color theme="1"/>
        <rFont val="Arial"/>
        <family val="2"/>
      </rPr>
      <t>discharge</t>
    </r>
  </si>
  <si>
    <r>
      <t>t</t>
    </r>
    <r>
      <rPr>
        <vertAlign val="subscript"/>
        <sz val="11"/>
        <color theme="1"/>
        <rFont val="Arial"/>
        <family val="2"/>
      </rPr>
      <t>charge</t>
    </r>
  </si>
  <si>
    <r>
      <t>V</t>
    </r>
    <r>
      <rPr>
        <vertAlign val="subscript"/>
        <sz val="11"/>
        <color theme="1"/>
        <rFont val="Arial"/>
        <family val="2"/>
      </rPr>
      <t>BULKvalley_1</t>
    </r>
  </si>
  <si>
    <r>
      <t>t</t>
    </r>
    <r>
      <rPr>
        <vertAlign val="subscript"/>
        <sz val="11"/>
        <color theme="1"/>
        <rFont val="Arial"/>
        <family val="2"/>
      </rPr>
      <t>1_1</t>
    </r>
  </si>
  <si>
    <r>
      <t>t</t>
    </r>
    <r>
      <rPr>
        <vertAlign val="subscript"/>
        <sz val="11"/>
        <color theme="1"/>
        <rFont val="Arial"/>
        <family val="2"/>
      </rPr>
      <t>2_1</t>
    </r>
  </si>
  <si>
    <r>
      <t>t</t>
    </r>
    <r>
      <rPr>
        <vertAlign val="subscript"/>
        <sz val="11"/>
        <color theme="1"/>
        <rFont val="Arial"/>
        <family val="2"/>
      </rPr>
      <t>discharge_1</t>
    </r>
  </si>
  <si>
    <r>
      <t>t</t>
    </r>
    <r>
      <rPr>
        <vertAlign val="subscript"/>
        <sz val="11"/>
        <color theme="1"/>
        <rFont val="Arial"/>
        <family val="2"/>
      </rPr>
      <t>charge_1</t>
    </r>
  </si>
  <si>
    <r>
      <t>V</t>
    </r>
    <r>
      <rPr>
        <vertAlign val="subscript"/>
        <sz val="11"/>
        <color theme="1"/>
        <rFont val="Arial"/>
        <family val="2"/>
      </rPr>
      <t>BULKvalley_2</t>
    </r>
  </si>
  <si>
    <r>
      <t>t</t>
    </r>
    <r>
      <rPr>
        <vertAlign val="subscript"/>
        <sz val="11"/>
        <color theme="1"/>
        <rFont val="Arial"/>
        <family val="2"/>
      </rPr>
      <t>1_2</t>
    </r>
  </si>
  <si>
    <r>
      <t>t</t>
    </r>
    <r>
      <rPr>
        <vertAlign val="subscript"/>
        <sz val="11"/>
        <color theme="1"/>
        <rFont val="Arial"/>
        <family val="2"/>
      </rPr>
      <t>2_2</t>
    </r>
  </si>
  <si>
    <r>
      <t>t</t>
    </r>
    <r>
      <rPr>
        <vertAlign val="subscript"/>
        <sz val="11"/>
        <color theme="1"/>
        <rFont val="Arial"/>
        <family val="2"/>
      </rPr>
      <t>discharge_2</t>
    </r>
  </si>
  <si>
    <r>
      <t>t</t>
    </r>
    <r>
      <rPr>
        <vertAlign val="subscript"/>
        <sz val="11"/>
        <color theme="1"/>
        <rFont val="Arial"/>
        <family val="2"/>
      </rPr>
      <t>charge_2</t>
    </r>
  </si>
  <si>
    <r>
      <t>V</t>
    </r>
    <r>
      <rPr>
        <vertAlign val="subscript"/>
        <sz val="11"/>
        <color theme="1"/>
        <rFont val="Arial"/>
        <family val="2"/>
      </rPr>
      <t>BULKvalley_3</t>
    </r>
  </si>
  <si>
    <r>
      <t>t</t>
    </r>
    <r>
      <rPr>
        <vertAlign val="subscript"/>
        <sz val="11"/>
        <color theme="1"/>
        <rFont val="Arial"/>
        <family val="2"/>
      </rPr>
      <t>1_3</t>
    </r>
  </si>
  <si>
    <r>
      <t>t</t>
    </r>
    <r>
      <rPr>
        <vertAlign val="subscript"/>
        <sz val="11"/>
        <color theme="1"/>
        <rFont val="Arial"/>
        <family val="2"/>
      </rPr>
      <t>2_3</t>
    </r>
  </si>
  <si>
    <r>
      <t>t</t>
    </r>
    <r>
      <rPr>
        <vertAlign val="subscript"/>
        <sz val="11"/>
        <color theme="1"/>
        <rFont val="Arial"/>
        <family val="2"/>
      </rPr>
      <t>discharge_3</t>
    </r>
  </si>
  <si>
    <r>
      <t>t</t>
    </r>
    <r>
      <rPr>
        <vertAlign val="subscript"/>
        <sz val="11"/>
        <color theme="1"/>
        <rFont val="Arial"/>
        <family val="2"/>
      </rPr>
      <t>charge_3</t>
    </r>
  </si>
  <si>
    <r>
      <t>V</t>
    </r>
    <r>
      <rPr>
        <vertAlign val="subscript"/>
        <sz val="11"/>
        <color theme="1"/>
        <rFont val="Arial"/>
        <family val="2"/>
      </rPr>
      <t>BULKvalley_4</t>
    </r>
  </si>
  <si>
    <r>
      <t>Nominal Input Voltage, V</t>
    </r>
    <r>
      <rPr>
        <vertAlign val="subscript"/>
        <sz val="11"/>
        <color theme="1"/>
        <rFont val="Arial"/>
        <family val="2"/>
      </rPr>
      <t>INPUTnom</t>
    </r>
    <r>
      <rPr>
        <sz val="11"/>
        <color theme="1"/>
        <rFont val="Arial"/>
        <family val="2"/>
      </rPr>
      <t xml:space="preserve"> =</t>
    </r>
  </si>
  <si>
    <r>
      <t>Minimum Line Frequency, f</t>
    </r>
    <r>
      <rPr>
        <vertAlign val="subscript"/>
        <sz val="11"/>
        <color theme="1"/>
        <rFont val="Arial"/>
        <family val="2"/>
      </rPr>
      <t>LINEmin</t>
    </r>
    <r>
      <rPr>
        <sz val="11"/>
        <color theme="1"/>
        <rFont val="Arial"/>
        <family val="2"/>
      </rPr>
      <t xml:space="preserve"> =</t>
    </r>
  </si>
  <si>
    <r>
      <t>Minimum Input Voltage for Start-Up, V</t>
    </r>
    <r>
      <rPr>
        <vertAlign val="subscript"/>
        <sz val="11"/>
        <color theme="1"/>
        <rFont val="Arial"/>
        <family val="2"/>
      </rPr>
      <t>INPUTrun</t>
    </r>
    <r>
      <rPr>
        <sz val="11"/>
        <color theme="1"/>
        <rFont val="Arial"/>
        <family val="2"/>
      </rPr>
      <t xml:space="preserve"> =</t>
    </r>
  </si>
  <si>
    <r>
      <t>Regulated Output Voltage, Constant Voltage Mode, V</t>
    </r>
    <r>
      <rPr>
        <vertAlign val="subscript"/>
        <sz val="11"/>
        <color theme="1"/>
        <rFont val="Arial"/>
        <family val="2"/>
      </rPr>
      <t>OUT_CV</t>
    </r>
    <r>
      <rPr>
        <sz val="11"/>
        <color theme="1"/>
        <rFont val="Arial"/>
        <family val="2"/>
      </rPr>
      <t xml:space="preserve"> =</t>
    </r>
  </si>
  <si>
    <r>
      <t>Target Minimum Output Voltage During Constant Current Regulation, V</t>
    </r>
    <r>
      <rPr>
        <vertAlign val="subscript"/>
        <sz val="11"/>
        <color theme="1"/>
        <rFont val="Arial"/>
        <family val="2"/>
      </rPr>
      <t>OUT_CC</t>
    </r>
    <r>
      <rPr>
        <sz val="11"/>
        <color theme="1"/>
        <rFont val="Arial"/>
        <family val="2"/>
      </rPr>
      <t xml:space="preserve"> =</t>
    </r>
  </si>
  <si>
    <r>
      <t>Maximum Peak to Peak Output Voltage Ripple, V</t>
    </r>
    <r>
      <rPr>
        <vertAlign val="subscript"/>
        <sz val="11"/>
        <color theme="1"/>
        <rFont val="Arial"/>
        <family val="2"/>
      </rPr>
      <t>RIPPLE</t>
    </r>
    <r>
      <rPr>
        <sz val="11"/>
        <color theme="1"/>
        <rFont val="Arial"/>
        <family val="2"/>
      </rPr>
      <t xml:space="preserve"> =</t>
    </r>
  </si>
  <si>
    <r>
      <t>INPUT CAPACITOR, C</t>
    </r>
    <r>
      <rPr>
        <b/>
        <i/>
        <vertAlign val="subscript"/>
        <sz val="11"/>
        <color theme="0"/>
        <rFont val="Arial"/>
        <family val="2"/>
      </rPr>
      <t>BULK</t>
    </r>
  </si>
  <si>
    <r>
      <rPr>
        <b/>
        <sz val="11"/>
        <color theme="1"/>
        <rFont val="Arial"/>
        <family val="2"/>
      </rPr>
      <t>Recommended</t>
    </r>
    <r>
      <rPr>
        <sz val="11"/>
        <color theme="1"/>
        <rFont val="Arial"/>
        <family val="2"/>
      </rPr>
      <t xml:space="preserve"> Input Bulk Capacitance, C</t>
    </r>
    <r>
      <rPr>
        <vertAlign val="subscript"/>
        <sz val="11"/>
        <color theme="1"/>
        <rFont val="Arial"/>
        <family val="2"/>
      </rPr>
      <t>BULK</t>
    </r>
    <r>
      <rPr>
        <sz val="11"/>
        <color theme="1"/>
        <rFont val="Arial"/>
        <family val="2"/>
      </rPr>
      <t xml:space="preserve"> =</t>
    </r>
  </si>
  <si>
    <t>PARAMETER</t>
  </si>
  <si>
    <r>
      <rPr>
        <b/>
        <sz val="11"/>
        <color theme="1"/>
        <rFont val="Arial"/>
        <family val="2"/>
      </rPr>
      <t>Actual</t>
    </r>
    <r>
      <rPr>
        <sz val="11"/>
        <color theme="1"/>
        <rFont val="Arial"/>
        <family val="2"/>
      </rPr>
      <t xml:space="preserve"> Input Bulk Capacitance, C</t>
    </r>
    <r>
      <rPr>
        <vertAlign val="subscript"/>
        <sz val="11"/>
        <color theme="1"/>
        <rFont val="Arial"/>
        <family val="2"/>
      </rPr>
      <t>BULK</t>
    </r>
    <r>
      <rPr>
        <sz val="11"/>
        <color theme="1"/>
        <rFont val="Arial"/>
        <family val="2"/>
      </rPr>
      <t>, Used =</t>
    </r>
  </si>
  <si>
    <r>
      <t>Output Rectifier, D</t>
    </r>
    <r>
      <rPr>
        <b/>
        <vertAlign val="subscript"/>
        <sz val="11"/>
        <color theme="0"/>
        <rFont val="Arial"/>
        <family val="2"/>
      </rPr>
      <t>OUT</t>
    </r>
  </si>
  <si>
    <r>
      <t>Output Inductor, L</t>
    </r>
    <r>
      <rPr>
        <b/>
        <vertAlign val="subscript"/>
        <sz val="11"/>
        <color theme="0"/>
        <rFont val="Arial"/>
        <family val="2"/>
      </rPr>
      <t>OUT</t>
    </r>
  </si>
  <si>
    <t>MOSFET Switch, Q</t>
  </si>
  <si>
    <r>
      <t>Input Capacitor, C</t>
    </r>
    <r>
      <rPr>
        <b/>
        <vertAlign val="subscript"/>
        <sz val="11"/>
        <color theme="0"/>
        <rFont val="Arial"/>
        <family val="2"/>
      </rPr>
      <t>BULK</t>
    </r>
  </si>
  <si>
    <t>Flyback Transformer, T</t>
  </si>
  <si>
    <t>User Input Values From Design Input Page</t>
  </si>
  <si>
    <t>User Input</t>
  </si>
  <si>
    <r>
      <t>Forward Voltage Drop of Output Rectifier, V</t>
    </r>
    <r>
      <rPr>
        <vertAlign val="subscript"/>
        <sz val="11"/>
        <color theme="1"/>
        <rFont val="Arial"/>
        <family val="2"/>
      </rPr>
      <t>F</t>
    </r>
    <r>
      <rPr>
        <sz val="11"/>
        <color theme="1"/>
        <rFont val="Arial"/>
        <family val="2"/>
      </rPr>
      <t xml:space="preserve"> =</t>
    </r>
  </si>
  <si>
    <r>
      <t>DCR of Output Inductor, DCR</t>
    </r>
    <r>
      <rPr>
        <vertAlign val="subscript"/>
        <sz val="11"/>
        <color theme="1"/>
        <rFont val="Arial"/>
        <family val="2"/>
      </rPr>
      <t>Lout</t>
    </r>
    <r>
      <rPr>
        <sz val="11"/>
        <color theme="1"/>
        <rFont val="Arial"/>
        <family val="2"/>
      </rPr>
      <t>, if used =</t>
    </r>
  </si>
  <si>
    <t>MOSFET, Q</t>
  </si>
  <si>
    <r>
      <t>MOSFET Rated Drain to Source Voltage, V</t>
    </r>
    <r>
      <rPr>
        <vertAlign val="subscript"/>
        <sz val="11"/>
        <color theme="1"/>
        <rFont val="Arial"/>
        <family val="2"/>
      </rPr>
      <t>DS</t>
    </r>
    <r>
      <rPr>
        <sz val="11"/>
        <color theme="1"/>
        <rFont val="Arial"/>
        <family val="2"/>
      </rPr>
      <t xml:space="preserve"> =</t>
    </r>
  </si>
  <si>
    <r>
      <t>Enter Actual N</t>
    </r>
    <r>
      <rPr>
        <vertAlign val="subscript"/>
        <sz val="11"/>
        <color theme="1"/>
        <rFont val="Arial"/>
        <family val="2"/>
      </rPr>
      <t>PS</t>
    </r>
    <r>
      <rPr>
        <sz val="11"/>
        <color theme="1"/>
        <rFont val="Arial"/>
        <family val="2"/>
      </rPr>
      <t xml:space="preserve"> of Transformer Used</t>
    </r>
  </si>
  <si>
    <r>
      <t>Current Sense Resistor, R</t>
    </r>
    <r>
      <rPr>
        <b/>
        <vertAlign val="subscript"/>
        <sz val="11"/>
        <color theme="0"/>
        <rFont val="Arial"/>
        <family val="2"/>
      </rPr>
      <t>CS</t>
    </r>
  </si>
  <si>
    <r>
      <rPr>
        <b/>
        <sz val="11"/>
        <color theme="1"/>
        <rFont val="Arial"/>
        <family val="2"/>
      </rPr>
      <t>Recommended</t>
    </r>
    <r>
      <rPr>
        <sz val="11"/>
        <color theme="1"/>
        <rFont val="Arial"/>
        <family val="2"/>
      </rPr>
      <t xml:space="preserve"> Primary Inductance Value, L</t>
    </r>
    <r>
      <rPr>
        <vertAlign val="subscript"/>
        <sz val="11"/>
        <color theme="1"/>
        <rFont val="Arial"/>
        <family val="2"/>
      </rPr>
      <t>P</t>
    </r>
    <r>
      <rPr>
        <sz val="11"/>
        <color theme="1"/>
        <rFont val="Arial"/>
        <family val="2"/>
      </rPr>
      <t xml:space="preserve"> =</t>
    </r>
  </si>
  <si>
    <r>
      <rPr>
        <b/>
        <sz val="11"/>
        <color theme="1"/>
        <rFont val="Arial"/>
        <family val="2"/>
      </rPr>
      <t>Actual</t>
    </r>
    <r>
      <rPr>
        <sz val="11"/>
        <color theme="1"/>
        <rFont val="Arial"/>
        <family val="2"/>
      </rPr>
      <t xml:space="preserve"> Primary to Secondary Turns Ratio Used, N</t>
    </r>
    <r>
      <rPr>
        <vertAlign val="subscript"/>
        <sz val="11"/>
        <color theme="1"/>
        <rFont val="Arial"/>
        <family val="2"/>
      </rPr>
      <t>PS</t>
    </r>
    <r>
      <rPr>
        <sz val="11"/>
        <color theme="1"/>
        <rFont val="Arial"/>
        <family val="2"/>
      </rPr>
      <t xml:space="preserve">  =</t>
    </r>
  </si>
  <si>
    <r>
      <t>Output Capacitance of Selected MOSFET, C</t>
    </r>
    <r>
      <rPr>
        <vertAlign val="subscript"/>
        <sz val="11"/>
        <color theme="1"/>
        <rFont val="Arial"/>
        <family val="2"/>
      </rPr>
      <t>OSS</t>
    </r>
    <r>
      <rPr>
        <sz val="11"/>
        <color theme="1"/>
        <rFont val="Arial"/>
        <family val="2"/>
      </rPr>
      <t xml:space="preserve"> =</t>
    </r>
  </si>
  <si>
    <r>
      <rPr>
        <b/>
        <sz val="11"/>
        <color theme="1"/>
        <rFont val="Arial"/>
        <family val="2"/>
      </rPr>
      <t xml:space="preserve">Actual </t>
    </r>
    <r>
      <rPr>
        <sz val="11"/>
        <color theme="1"/>
        <rFont val="Arial"/>
        <family val="2"/>
      </rPr>
      <t>Primary Inductance Used, L</t>
    </r>
    <r>
      <rPr>
        <vertAlign val="subscript"/>
        <sz val="11"/>
        <color theme="1"/>
        <rFont val="Arial"/>
        <family val="2"/>
      </rPr>
      <t xml:space="preserve">P </t>
    </r>
    <r>
      <rPr>
        <sz val="11"/>
        <color theme="1"/>
        <rFont val="Arial"/>
        <family val="2"/>
      </rPr>
      <t>=</t>
    </r>
  </si>
  <si>
    <t>WHERE APPLICABLE, A RECOMMENDED VALUE IS GIVEN THAT WILL BE THE BEST CHOICE TO MEET THE GIVEN SPECIFICATION.  IT IS IN THE BEST INTEREST OF THE USER TO USE A VALUE AS CLOSE AS POSSIBLE TO THE SUGGESTED RECOMMENDED VALUE.  FOR ACCURATE RESULTS, THE USER MUST ENTER THE ACTUAL VALUE USED IN THE APPROPRIATE CELL.</t>
  </si>
  <si>
    <t>AC or DC:</t>
  </si>
  <si>
    <t>Input Voltage Type</t>
  </si>
  <si>
    <t>mW factor</t>
  </si>
  <si>
    <t>mW</t>
  </si>
  <si>
    <r>
      <t>I</t>
    </r>
    <r>
      <rPr>
        <vertAlign val="subscript"/>
        <sz val="11"/>
        <color theme="1"/>
        <rFont val="Arial"/>
        <family val="2"/>
      </rPr>
      <t>PRI_RMS</t>
    </r>
    <r>
      <rPr>
        <sz val="11"/>
        <color theme="1"/>
        <rFont val="Arial"/>
        <family val="2"/>
      </rPr>
      <t xml:space="preserve"> =</t>
    </r>
  </si>
  <si>
    <t>COMPONENT PARAMETER CALCULATIONS</t>
  </si>
  <si>
    <t>Maximum Input Voltage</t>
  </si>
  <si>
    <t>Minimum Input Voltage</t>
  </si>
  <si>
    <r>
      <t>Drain to Source On-Resistance of Selected MOSFET, R</t>
    </r>
    <r>
      <rPr>
        <vertAlign val="subscript"/>
        <sz val="11"/>
        <color theme="1"/>
        <rFont val="Arial"/>
        <family val="2"/>
      </rPr>
      <t>DSon</t>
    </r>
    <r>
      <rPr>
        <sz val="11"/>
        <color theme="1"/>
        <rFont val="Arial"/>
        <family val="2"/>
      </rPr>
      <t xml:space="preserve"> =</t>
    </r>
  </si>
  <si>
    <t xml:space="preserve">Nominal Input Voltage </t>
  </si>
  <si>
    <t>Minimum Line Frequency</t>
  </si>
  <si>
    <t>Minimum Input Voltage for Start-Up</t>
  </si>
  <si>
    <t xml:space="preserve">Minimum Peak Bulk Input Voltage </t>
  </si>
  <si>
    <r>
      <t>V</t>
    </r>
    <r>
      <rPr>
        <vertAlign val="subscript"/>
        <sz val="11"/>
        <color theme="1"/>
        <rFont val="Arial"/>
        <family val="2"/>
      </rPr>
      <t>BULKmin</t>
    </r>
    <r>
      <rPr>
        <sz val="11"/>
        <color theme="1"/>
        <rFont val="Arial"/>
        <family val="2"/>
      </rPr>
      <t xml:space="preserve"> =</t>
    </r>
  </si>
  <si>
    <t>Maximum Peak Bulk Input Voltage</t>
  </si>
  <si>
    <r>
      <t>V</t>
    </r>
    <r>
      <rPr>
        <vertAlign val="subscript"/>
        <sz val="11"/>
        <color theme="1"/>
        <rFont val="Arial"/>
        <family val="2"/>
      </rPr>
      <t>BULKmax</t>
    </r>
    <r>
      <rPr>
        <sz val="11"/>
        <color theme="1"/>
        <rFont val="Arial"/>
        <family val="2"/>
      </rPr>
      <t xml:space="preserve"> =</t>
    </r>
  </si>
  <si>
    <t>Nominal Peak Bulk Input Voltage</t>
  </si>
  <si>
    <r>
      <t>V</t>
    </r>
    <r>
      <rPr>
        <vertAlign val="subscript"/>
        <sz val="11"/>
        <color theme="1"/>
        <rFont val="Arial"/>
        <family val="2"/>
      </rPr>
      <t>BULKnom</t>
    </r>
    <r>
      <rPr>
        <sz val="11"/>
        <color theme="1"/>
        <rFont val="Arial"/>
        <family val="2"/>
      </rPr>
      <t xml:space="preserve"> =</t>
    </r>
  </si>
  <si>
    <r>
      <t>V</t>
    </r>
    <r>
      <rPr>
        <vertAlign val="subscript"/>
        <sz val="11"/>
        <color theme="1"/>
        <rFont val="Arial"/>
        <family val="2"/>
      </rPr>
      <t>BULKstartup</t>
    </r>
    <r>
      <rPr>
        <sz val="11"/>
        <color theme="1"/>
        <rFont val="Arial"/>
        <family val="2"/>
      </rPr>
      <t xml:space="preserve"> =</t>
    </r>
  </si>
  <si>
    <t>Turn-On Peak Bulk Input Voltage</t>
  </si>
  <si>
    <r>
      <t>t</t>
    </r>
    <r>
      <rPr>
        <vertAlign val="subscript"/>
        <sz val="11"/>
        <color theme="1"/>
        <rFont val="Arial"/>
        <family val="2"/>
      </rPr>
      <t>LINE</t>
    </r>
    <r>
      <rPr>
        <sz val="11"/>
        <color theme="1"/>
        <rFont val="Arial"/>
        <family val="2"/>
      </rPr>
      <t xml:space="preserve"> = </t>
    </r>
  </si>
  <si>
    <t xml:space="preserve">Line Cycle Period </t>
  </si>
  <si>
    <t xml:space="preserve">Regulated Output Voltage, Constant Voltage Mode </t>
  </si>
  <si>
    <t>Target Minimum Output Voltage During Constant Current Regulation</t>
  </si>
  <si>
    <t>η  =</t>
  </si>
  <si>
    <t>Estimated Input Power</t>
  </si>
  <si>
    <t>Output Power</t>
  </si>
  <si>
    <t>Estimated Efficiency</t>
  </si>
  <si>
    <t>Maximum Peak to Peak Output Voltage Ripple</t>
  </si>
  <si>
    <t>Allowable Output Voltage Drop During Load-Step Transient in Constant Voltage Mode</t>
  </si>
  <si>
    <r>
      <t>P</t>
    </r>
    <r>
      <rPr>
        <vertAlign val="subscript"/>
        <sz val="11"/>
        <color theme="1"/>
        <rFont val="Arial"/>
        <family val="2"/>
      </rPr>
      <t>OUT</t>
    </r>
    <r>
      <rPr>
        <sz val="11"/>
        <color theme="1"/>
        <rFont val="Arial"/>
        <family val="2"/>
      </rPr>
      <t xml:space="preserve"> =</t>
    </r>
  </si>
  <si>
    <r>
      <t>P</t>
    </r>
    <r>
      <rPr>
        <vertAlign val="subscript"/>
        <sz val="11"/>
        <color theme="1"/>
        <rFont val="Arial"/>
        <family val="2"/>
      </rPr>
      <t>IN</t>
    </r>
    <r>
      <rPr>
        <sz val="11"/>
        <color theme="1"/>
        <rFont val="Arial"/>
        <family val="2"/>
      </rPr>
      <t xml:space="preserve"> =</t>
    </r>
  </si>
  <si>
    <r>
      <rPr>
        <b/>
        <sz val="11"/>
        <color theme="1"/>
        <rFont val="Arial"/>
        <family val="2"/>
      </rPr>
      <t>Recommended</t>
    </r>
    <r>
      <rPr>
        <sz val="11"/>
        <color theme="1"/>
        <rFont val="Arial"/>
        <family val="2"/>
      </rPr>
      <t xml:space="preserve"> Input Bulk Capacitance</t>
    </r>
  </si>
  <si>
    <r>
      <t>C</t>
    </r>
    <r>
      <rPr>
        <vertAlign val="subscript"/>
        <sz val="11"/>
        <color theme="1"/>
        <rFont val="Arial"/>
        <family val="2"/>
      </rPr>
      <t>BULKrecommended</t>
    </r>
    <r>
      <rPr>
        <sz val="11"/>
        <color theme="1"/>
        <rFont val="Arial"/>
        <family val="2"/>
      </rPr>
      <t xml:space="preserve"> =</t>
    </r>
  </si>
  <si>
    <r>
      <rPr>
        <b/>
        <sz val="11"/>
        <color theme="1"/>
        <rFont val="Arial"/>
        <family val="2"/>
      </rPr>
      <t>Actual</t>
    </r>
    <r>
      <rPr>
        <sz val="11"/>
        <color theme="1"/>
        <rFont val="Arial"/>
        <family val="2"/>
      </rPr>
      <t xml:space="preserve"> Input Bulk Capacitance</t>
    </r>
  </si>
  <si>
    <r>
      <t>C</t>
    </r>
    <r>
      <rPr>
        <vertAlign val="subscript"/>
        <sz val="11"/>
        <color theme="1"/>
        <rFont val="Arial"/>
        <family val="2"/>
      </rPr>
      <t>BULKactual</t>
    </r>
    <r>
      <rPr>
        <sz val="11"/>
        <color theme="1"/>
        <rFont val="Arial"/>
        <family val="2"/>
      </rPr>
      <t xml:space="preserve"> =</t>
    </r>
  </si>
  <si>
    <t>Input Capacitor Value Used in Calculations</t>
  </si>
  <si>
    <r>
      <t>C</t>
    </r>
    <r>
      <rPr>
        <vertAlign val="subscript"/>
        <sz val="11"/>
        <color theme="1"/>
        <rFont val="Arial"/>
        <family val="2"/>
      </rPr>
      <t xml:space="preserve">BULK </t>
    </r>
    <r>
      <rPr>
        <sz val="11"/>
        <color theme="1"/>
        <rFont val="Arial"/>
        <family val="2"/>
      </rPr>
      <t>=</t>
    </r>
  </si>
  <si>
    <t>Minimum Valley Voltage on Input Bulk Capacitors</t>
  </si>
  <si>
    <r>
      <t>V</t>
    </r>
    <r>
      <rPr>
        <vertAlign val="subscript"/>
        <sz val="11"/>
        <color theme="1"/>
        <rFont val="Arial"/>
        <family val="2"/>
      </rPr>
      <t>BULKvalley</t>
    </r>
    <r>
      <rPr>
        <sz val="11"/>
        <color theme="1"/>
        <rFont val="Arial"/>
        <family val="2"/>
      </rPr>
      <t xml:space="preserve"> =</t>
    </r>
  </si>
  <si>
    <t>Minimum Input Capacitor Ripple Current Rating</t>
  </si>
  <si>
    <r>
      <t>I</t>
    </r>
    <r>
      <rPr>
        <vertAlign val="subscript"/>
        <sz val="11"/>
        <color theme="1"/>
        <rFont val="Arial"/>
        <family val="2"/>
      </rPr>
      <t>CINripple</t>
    </r>
    <r>
      <rPr>
        <sz val="11"/>
        <color theme="1"/>
        <rFont val="Arial"/>
        <family val="2"/>
      </rPr>
      <t xml:space="preserve"> = </t>
    </r>
  </si>
  <si>
    <t>Minimum Input Capacitor Voltage Rating</t>
  </si>
  <si>
    <r>
      <t>V</t>
    </r>
    <r>
      <rPr>
        <vertAlign val="subscript"/>
        <sz val="11"/>
        <color theme="1"/>
        <rFont val="Arial"/>
        <family val="2"/>
      </rPr>
      <t>Cin</t>
    </r>
    <r>
      <rPr>
        <sz val="11"/>
        <color theme="1"/>
        <rFont val="Arial"/>
        <family val="2"/>
      </rPr>
      <t xml:space="preserve"> =</t>
    </r>
  </si>
  <si>
    <t>Primary to Secondary Turns Ratio Used in Calculations</t>
  </si>
  <si>
    <r>
      <t>N</t>
    </r>
    <r>
      <rPr>
        <vertAlign val="subscript"/>
        <sz val="11"/>
        <color theme="1"/>
        <rFont val="Arial"/>
        <family val="2"/>
      </rPr>
      <t>PS</t>
    </r>
    <r>
      <rPr>
        <sz val="11"/>
        <color theme="1"/>
        <rFont val="Arial"/>
        <family val="2"/>
      </rPr>
      <t xml:space="preserve"> =</t>
    </r>
  </si>
  <si>
    <t>Demagnetizing Duty Cycle</t>
  </si>
  <si>
    <r>
      <t>D</t>
    </r>
    <r>
      <rPr>
        <vertAlign val="subscript"/>
        <sz val="11"/>
        <color theme="1"/>
        <rFont val="Arial"/>
        <family val="2"/>
      </rPr>
      <t>DEMAG_CC</t>
    </r>
    <r>
      <rPr>
        <sz val="11"/>
        <color theme="1"/>
        <rFont val="Arial"/>
        <family val="2"/>
      </rPr>
      <t xml:space="preserve"> =</t>
    </r>
  </si>
  <si>
    <t>Amplitude Modulation Control Ratio</t>
  </si>
  <si>
    <r>
      <t>K</t>
    </r>
    <r>
      <rPr>
        <vertAlign val="subscript"/>
        <sz val="11"/>
        <color theme="1"/>
        <rFont val="Arial"/>
        <family val="2"/>
      </rPr>
      <t>AMnom</t>
    </r>
    <r>
      <rPr>
        <sz val="11"/>
        <color theme="1"/>
        <rFont val="Arial"/>
        <family val="2"/>
      </rPr>
      <t xml:space="preserve"> =</t>
    </r>
  </si>
  <si>
    <t>Maximum Desired Switching Frequency</t>
  </si>
  <si>
    <r>
      <t>f</t>
    </r>
    <r>
      <rPr>
        <vertAlign val="subscript"/>
        <sz val="11"/>
        <color theme="1"/>
        <rFont val="Arial"/>
        <family val="2"/>
      </rPr>
      <t>max_target</t>
    </r>
    <r>
      <rPr>
        <sz val="11"/>
        <color theme="1"/>
        <rFont val="Arial"/>
        <family val="2"/>
      </rPr>
      <t xml:space="preserve"> =</t>
    </r>
  </si>
  <si>
    <t>Desired Switching Period</t>
  </si>
  <si>
    <r>
      <t>t</t>
    </r>
    <r>
      <rPr>
        <vertAlign val="subscript"/>
        <sz val="11"/>
        <color theme="1"/>
        <rFont val="Arial"/>
        <family val="2"/>
      </rPr>
      <t>SW_target</t>
    </r>
    <r>
      <rPr>
        <sz val="11"/>
        <color theme="1"/>
        <rFont val="Arial"/>
        <family val="2"/>
      </rPr>
      <t xml:space="preserve"> =</t>
    </r>
  </si>
  <si>
    <t>Resonant Frequency During DCM Dead Time</t>
  </si>
  <si>
    <r>
      <t>f</t>
    </r>
    <r>
      <rPr>
        <vertAlign val="subscript"/>
        <sz val="11"/>
        <color theme="1"/>
        <rFont val="Arial"/>
        <family val="2"/>
      </rPr>
      <t>RES</t>
    </r>
    <r>
      <rPr>
        <sz val="11"/>
        <color theme="1"/>
        <rFont val="Arial"/>
        <family val="2"/>
      </rPr>
      <t xml:space="preserve"> =</t>
    </r>
  </si>
  <si>
    <t>Time to First Resonant Valley</t>
  </si>
  <si>
    <r>
      <t>t</t>
    </r>
    <r>
      <rPr>
        <vertAlign val="subscript"/>
        <sz val="11"/>
        <color theme="1"/>
        <rFont val="Arial"/>
        <family val="2"/>
      </rPr>
      <t>RES</t>
    </r>
    <r>
      <rPr>
        <sz val="11"/>
        <color theme="1"/>
        <rFont val="Arial"/>
        <family val="2"/>
      </rPr>
      <t xml:space="preserve"> =</t>
    </r>
  </si>
  <si>
    <t>Estimated Maximum Duty Cycle</t>
  </si>
  <si>
    <r>
      <t>D</t>
    </r>
    <r>
      <rPr>
        <vertAlign val="subscript"/>
        <sz val="11"/>
        <color theme="1"/>
        <rFont val="Arial"/>
        <family val="2"/>
      </rPr>
      <t>max_target</t>
    </r>
    <r>
      <rPr>
        <sz val="11"/>
        <color theme="1"/>
        <rFont val="Arial"/>
        <family val="2"/>
      </rPr>
      <t xml:space="preserve"> = </t>
    </r>
  </si>
  <si>
    <r>
      <rPr>
        <b/>
        <sz val="11"/>
        <color theme="1"/>
        <rFont val="Arial"/>
        <family val="2"/>
      </rPr>
      <t>Actual</t>
    </r>
    <r>
      <rPr>
        <sz val="11"/>
        <color theme="1"/>
        <rFont val="Arial"/>
        <family val="2"/>
      </rPr>
      <t xml:space="preserve"> Primary to Secondary Turns Ratio</t>
    </r>
  </si>
  <si>
    <t>Drain to Source On-Resistance of Selected MOSFET</t>
  </si>
  <si>
    <t>Output Capacitance of Selected MOSFET</t>
  </si>
  <si>
    <t>MOSFET Rated Drain to Source Voltage</t>
  </si>
  <si>
    <t xml:space="preserve">Peak Primary Current During Light Load, FM Mode </t>
  </si>
  <si>
    <r>
      <t>N</t>
    </r>
    <r>
      <rPr>
        <vertAlign val="subscript"/>
        <sz val="11"/>
        <color theme="1"/>
        <rFont val="Arial"/>
        <family val="2"/>
      </rPr>
      <t>PSactual</t>
    </r>
    <r>
      <rPr>
        <sz val="11"/>
        <color theme="1"/>
        <rFont val="Arial"/>
        <family val="2"/>
      </rPr>
      <t xml:space="preserve"> =</t>
    </r>
  </si>
  <si>
    <t>Actual Flyback Voltage</t>
  </si>
  <si>
    <r>
      <t>V</t>
    </r>
    <r>
      <rPr>
        <vertAlign val="subscript"/>
        <sz val="11"/>
        <color theme="1"/>
        <rFont val="Arial"/>
        <family val="2"/>
      </rPr>
      <t>FLYBACK</t>
    </r>
    <r>
      <rPr>
        <sz val="11"/>
        <color theme="1"/>
        <rFont val="Arial"/>
        <family val="2"/>
      </rPr>
      <t xml:space="preserve"> =</t>
    </r>
  </si>
  <si>
    <t>Allowable Leakage Inductance Voltage Spike</t>
  </si>
  <si>
    <r>
      <t>V</t>
    </r>
    <r>
      <rPr>
        <vertAlign val="subscript"/>
        <sz val="11"/>
        <color theme="1"/>
        <rFont val="Arial"/>
        <family val="2"/>
      </rPr>
      <t>LEAKAGE</t>
    </r>
    <r>
      <rPr>
        <sz val="11"/>
        <color theme="1"/>
        <rFont val="Arial"/>
        <family val="2"/>
      </rPr>
      <t xml:space="preserve"> =</t>
    </r>
  </si>
  <si>
    <t>Estimated Maximum On-Time</t>
  </si>
  <si>
    <r>
      <t>t</t>
    </r>
    <r>
      <rPr>
        <vertAlign val="subscript"/>
        <sz val="11"/>
        <color theme="1"/>
        <rFont val="Arial"/>
        <family val="2"/>
      </rPr>
      <t>ONestimated</t>
    </r>
    <r>
      <rPr>
        <sz val="11"/>
        <color theme="1"/>
        <rFont val="Arial"/>
        <family val="2"/>
      </rPr>
      <t xml:space="preserve"> =</t>
    </r>
  </si>
  <si>
    <r>
      <t>η</t>
    </r>
    <r>
      <rPr>
        <vertAlign val="subscript"/>
        <sz val="11"/>
        <color theme="1"/>
        <rFont val="Arial"/>
        <family val="2"/>
      </rPr>
      <t>XFMR</t>
    </r>
    <r>
      <rPr>
        <sz val="11"/>
        <color theme="1"/>
        <rFont val="Arial"/>
        <family val="2"/>
      </rPr>
      <t xml:space="preserve"> =</t>
    </r>
  </si>
  <si>
    <r>
      <t>I</t>
    </r>
    <r>
      <rPr>
        <vertAlign val="subscript"/>
        <sz val="11"/>
        <color theme="1"/>
        <rFont val="Arial"/>
        <family val="2"/>
      </rPr>
      <t>PP_FM</t>
    </r>
    <r>
      <rPr>
        <sz val="11"/>
        <color theme="1"/>
        <rFont val="Arial"/>
        <family val="2"/>
      </rPr>
      <t xml:space="preserve"> =</t>
    </r>
  </si>
  <si>
    <t>Worst Case Peak Primary Current</t>
  </si>
  <si>
    <r>
      <t>I</t>
    </r>
    <r>
      <rPr>
        <vertAlign val="subscript"/>
        <sz val="11"/>
        <color theme="1"/>
        <rFont val="Arial"/>
        <family val="2"/>
      </rPr>
      <t>PP_WC</t>
    </r>
    <r>
      <rPr>
        <sz val="11"/>
        <color theme="1"/>
        <rFont val="Arial"/>
        <family val="2"/>
      </rPr>
      <t xml:space="preserve"> =</t>
    </r>
  </si>
  <si>
    <t>Maximum Current Sense Threshold Voltage, Nominal</t>
  </si>
  <si>
    <r>
      <t>V</t>
    </r>
    <r>
      <rPr>
        <vertAlign val="subscript"/>
        <sz val="11"/>
        <color theme="1"/>
        <rFont val="Arial"/>
        <family val="2"/>
      </rPr>
      <t>CSTmax_nom</t>
    </r>
    <r>
      <rPr>
        <sz val="11"/>
        <color theme="1"/>
        <rFont val="Arial"/>
        <family val="2"/>
      </rPr>
      <t xml:space="preserve"> =</t>
    </r>
  </si>
  <si>
    <t>Maximum Current Sense Threshold Voltage, Maximum</t>
  </si>
  <si>
    <r>
      <t>V</t>
    </r>
    <r>
      <rPr>
        <vertAlign val="subscript"/>
        <sz val="11"/>
        <color theme="1"/>
        <rFont val="Arial"/>
        <family val="2"/>
      </rPr>
      <t>CSTmax_max</t>
    </r>
    <r>
      <rPr>
        <sz val="11"/>
        <color theme="1"/>
        <rFont val="Arial"/>
        <family val="2"/>
      </rPr>
      <t xml:space="preserve"> =</t>
    </r>
  </si>
  <si>
    <r>
      <t>L</t>
    </r>
    <r>
      <rPr>
        <vertAlign val="subscript"/>
        <sz val="11"/>
        <color theme="1"/>
        <rFont val="Arial"/>
        <family val="2"/>
      </rPr>
      <t>Precommended</t>
    </r>
    <r>
      <rPr>
        <sz val="11"/>
        <color theme="1"/>
        <rFont val="Arial"/>
        <family val="2"/>
      </rPr>
      <t xml:space="preserve"> =</t>
    </r>
  </si>
  <si>
    <r>
      <rPr>
        <b/>
        <sz val="11"/>
        <color theme="1"/>
        <rFont val="Arial"/>
        <family val="2"/>
      </rPr>
      <t>Actual</t>
    </r>
    <r>
      <rPr>
        <sz val="11"/>
        <color theme="1"/>
        <rFont val="Arial"/>
        <family val="2"/>
      </rPr>
      <t xml:space="preserve"> Primary Inductance</t>
    </r>
  </si>
  <si>
    <r>
      <t>L</t>
    </r>
    <r>
      <rPr>
        <vertAlign val="subscript"/>
        <sz val="11"/>
        <color theme="1"/>
        <rFont val="Arial"/>
        <family val="2"/>
      </rPr>
      <t>Pactual</t>
    </r>
    <r>
      <rPr>
        <sz val="11"/>
        <color theme="1"/>
        <rFont val="Arial"/>
        <family val="2"/>
      </rPr>
      <t xml:space="preserve"> =</t>
    </r>
  </si>
  <si>
    <t>Primary Inductance Used in Calculations</t>
  </si>
  <si>
    <r>
      <t>L</t>
    </r>
    <r>
      <rPr>
        <vertAlign val="subscript"/>
        <sz val="11"/>
        <color theme="1"/>
        <rFont val="Arial"/>
        <family val="2"/>
      </rPr>
      <t>P</t>
    </r>
    <r>
      <rPr>
        <sz val="11"/>
        <color theme="1"/>
        <rFont val="Arial"/>
        <family val="2"/>
      </rPr>
      <t xml:space="preserve"> =</t>
    </r>
  </si>
  <si>
    <t>Actual Maximum Nominal Switching Frequency</t>
  </si>
  <si>
    <t>Actual Switching Period</t>
  </si>
  <si>
    <r>
      <t>t</t>
    </r>
    <r>
      <rPr>
        <vertAlign val="subscript"/>
        <sz val="11"/>
        <color theme="1"/>
        <rFont val="Arial"/>
        <family val="2"/>
      </rPr>
      <t>SWactual</t>
    </r>
    <r>
      <rPr>
        <sz val="11"/>
        <color theme="1"/>
        <rFont val="Arial"/>
        <family val="2"/>
      </rPr>
      <t xml:space="preserve"> =</t>
    </r>
  </si>
  <si>
    <t>Actual Maximum On-Time</t>
  </si>
  <si>
    <r>
      <t>t</t>
    </r>
    <r>
      <rPr>
        <vertAlign val="subscript"/>
        <sz val="11"/>
        <color theme="1"/>
        <rFont val="Arial"/>
        <family val="2"/>
      </rPr>
      <t>ONmax</t>
    </r>
    <r>
      <rPr>
        <sz val="11"/>
        <color theme="1"/>
        <rFont val="Arial"/>
        <family val="2"/>
      </rPr>
      <t xml:space="preserve"> =</t>
    </r>
  </si>
  <si>
    <t>Primary RMS Current</t>
  </si>
  <si>
    <r>
      <rPr>
        <b/>
        <sz val="11"/>
        <color theme="1"/>
        <rFont val="Arial"/>
        <family val="2"/>
      </rPr>
      <t>Recommended</t>
    </r>
    <r>
      <rPr>
        <sz val="11"/>
        <color theme="1"/>
        <rFont val="Arial"/>
        <family val="2"/>
      </rPr>
      <t xml:space="preserve"> Current Sense Resistor Value</t>
    </r>
  </si>
  <si>
    <r>
      <t>R</t>
    </r>
    <r>
      <rPr>
        <vertAlign val="subscript"/>
        <sz val="11"/>
        <color theme="1"/>
        <rFont val="Arial"/>
        <family val="2"/>
      </rPr>
      <t>CSrecommended</t>
    </r>
    <r>
      <rPr>
        <sz val="11"/>
        <color theme="1"/>
        <rFont val="Arial"/>
        <family val="2"/>
      </rPr>
      <t xml:space="preserve"> =</t>
    </r>
  </si>
  <si>
    <r>
      <rPr>
        <b/>
        <sz val="11"/>
        <color theme="1"/>
        <rFont val="Arial"/>
        <family val="2"/>
      </rPr>
      <t>Actual</t>
    </r>
    <r>
      <rPr>
        <sz val="11"/>
        <color theme="1"/>
        <rFont val="Arial"/>
        <family val="2"/>
      </rPr>
      <t xml:space="preserve"> Current Sense Resistor Used</t>
    </r>
  </si>
  <si>
    <r>
      <t>R</t>
    </r>
    <r>
      <rPr>
        <vertAlign val="subscript"/>
        <sz val="11"/>
        <color theme="1"/>
        <rFont val="Arial"/>
        <family val="2"/>
      </rPr>
      <t>CSactual</t>
    </r>
    <r>
      <rPr>
        <sz val="11"/>
        <color theme="1"/>
        <rFont val="Arial"/>
        <family val="2"/>
      </rPr>
      <t xml:space="preserve"> =</t>
    </r>
  </si>
  <si>
    <t>Current Sense Resistor Value Used in Calculation</t>
  </si>
  <si>
    <r>
      <t>Power Dissipation of R</t>
    </r>
    <r>
      <rPr>
        <vertAlign val="subscript"/>
        <sz val="11"/>
        <color theme="1"/>
        <rFont val="Arial"/>
        <family val="2"/>
      </rPr>
      <t>CS</t>
    </r>
  </si>
  <si>
    <r>
      <t>P</t>
    </r>
    <r>
      <rPr>
        <vertAlign val="subscript"/>
        <sz val="11"/>
        <color theme="1"/>
        <rFont val="Arial"/>
        <family val="2"/>
      </rPr>
      <t>Rcs</t>
    </r>
    <r>
      <rPr>
        <sz val="11"/>
        <color theme="1"/>
        <rFont val="Arial"/>
        <family val="2"/>
      </rPr>
      <t xml:space="preserve"> =</t>
    </r>
  </si>
  <si>
    <t>Secondary Peak Current</t>
  </si>
  <si>
    <r>
      <t>I</t>
    </r>
    <r>
      <rPr>
        <vertAlign val="subscript"/>
        <sz val="11"/>
        <color theme="1"/>
        <rFont val="Arial"/>
        <family val="2"/>
      </rPr>
      <t>SPmax</t>
    </r>
    <r>
      <rPr>
        <sz val="11"/>
        <color theme="1"/>
        <rFont val="Arial"/>
        <family val="2"/>
      </rPr>
      <t xml:space="preserve"> =</t>
    </r>
  </si>
  <si>
    <t>Secondary RMS Current</t>
  </si>
  <si>
    <r>
      <t>I</t>
    </r>
    <r>
      <rPr>
        <vertAlign val="subscript"/>
        <sz val="11"/>
        <color theme="1"/>
        <rFont val="Arial"/>
        <family val="2"/>
      </rPr>
      <t>SEC_RMS</t>
    </r>
    <r>
      <rPr>
        <sz val="11"/>
        <color theme="1"/>
        <rFont val="Arial"/>
        <family val="2"/>
      </rPr>
      <t xml:space="preserve"> =</t>
    </r>
  </si>
  <si>
    <t>Maximum Duty Cycle</t>
  </si>
  <si>
    <r>
      <t>D</t>
    </r>
    <r>
      <rPr>
        <vertAlign val="subscript"/>
        <sz val="11"/>
        <color theme="1"/>
        <rFont val="Arial"/>
        <family val="2"/>
      </rPr>
      <t>MAX</t>
    </r>
    <r>
      <rPr>
        <sz val="11"/>
        <color theme="1"/>
        <rFont val="Arial"/>
        <family val="2"/>
      </rPr>
      <t xml:space="preserve"> =</t>
    </r>
  </si>
  <si>
    <t>Demagnetization Time</t>
  </si>
  <si>
    <r>
      <t>t</t>
    </r>
    <r>
      <rPr>
        <vertAlign val="subscript"/>
        <sz val="11"/>
        <color theme="1"/>
        <rFont val="Arial"/>
        <family val="2"/>
      </rPr>
      <t>DEMAG</t>
    </r>
    <r>
      <rPr>
        <sz val="11"/>
        <color theme="1"/>
        <rFont val="Arial"/>
        <family val="2"/>
      </rPr>
      <t xml:space="preserve"> =</t>
    </r>
  </si>
  <si>
    <r>
      <t>Output Over Voltage Protection, V</t>
    </r>
    <r>
      <rPr>
        <vertAlign val="subscript"/>
        <sz val="11"/>
        <color theme="1"/>
        <rFont val="Arial"/>
        <family val="2"/>
      </rPr>
      <t>OUT_OVP</t>
    </r>
    <r>
      <rPr>
        <sz val="11"/>
        <color theme="1"/>
        <rFont val="Arial"/>
        <family val="2"/>
      </rPr>
      <t xml:space="preserve"> =</t>
    </r>
  </si>
  <si>
    <r>
      <t>f</t>
    </r>
    <r>
      <rPr>
        <vertAlign val="subscript"/>
        <sz val="11"/>
        <color theme="1"/>
        <rFont val="Arial"/>
        <family val="2"/>
      </rPr>
      <t>SWmax</t>
    </r>
  </si>
  <si>
    <r>
      <t>f</t>
    </r>
    <r>
      <rPr>
        <vertAlign val="subscript"/>
        <sz val="11"/>
        <color theme="1"/>
        <rFont val="Arial"/>
        <family val="2"/>
      </rPr>
      <t>SWmin</t>
    </r>
  </si>
  <si>
    <t>INPUT FUSE</t>
  </si>
  <si>
    <t>Peak Input Current</t>
  </si>
  <si>
    <r>
      <t>I</t>
    </r>
    <r>
      <rPr>
        <vertAlign val="subscript"/>
        <sz val="11"/>
        <color theme="1"/>
        <rFont val="Arial"/>
        <family val="2"/>
      </rPr>
      <t>INpeak</t>
    </r>
    <r>
      <rPr>
        <sz val="11"/>
        <color theme="1"/>
        <rFont val="Arial"/>
        <family val="2"/>
      </rPr>
      <t xml:space="preserve"> =</t>
    </r>
  </si>
  <si>
    <r>
      <t>Ideal L</t>
    </r>
    <r>
      <rPr>
        <vertAlign val="subscript"/>
        <sz val="11"/>
        <color theme="1"/>
        <rFont val="Arial"/>
        <family val="2"/>
      </rPr>
      <t>P</t>
    </r>
  </si>
  <si>
    <r>
      <t>Ideal N</t>
    </r>
    <r>
      <rPr>
        <vertAlign val="subscript"/>
        <sz val="11"/>
        <color theme="1"/>
        <rFont val="Arial"/>
        <family val="2"/>
      </rPr>
      <t>PS</t>
    </r>
  </si>
  <si>
    <t>Maximum Current Sense Threshold Voltage, Minimum</t>
  </si>
  <si>
    <r>
      <t>V</t>
    </r>
    <r>
      <rPr>
        <vertAlign val="subscript"/>
        <sz val="11"/>
        <color theme="1"/>
        <rFont val="Arial"/>
        <family val="2"/>
      </rPr>
      <t>CSTmax_min</t>
    </r>
    <r>
      <rPr>
        <sz val="11"/>
        <color theme="1"/>
        <rFont val="Arial"/>
        <family val="2"/>
      </rPr>
      <t xml:space="preserve"> =</t>
    </r>
  </si>
  <si>
    <t>Peak Primary Current, Nominal, Full Load</t>
  </si>
  <si>
    <r>
      <t>V</t>
    </r>
    <r>
      <rPr>
        <vertAlign val="subscript"/>
        <sz val="11"/>
        <color theme="1"/>
        <rFont val="Arial"/>
        <family val="2"/>
      </rPr>
      <t>DS</t>
    </r>
    <r>
      <rPr>
        <sz val="11"/>
        <color theme="1"/>
        <rFont val="Arial"/>
        <family val="2"/>
      </rPr>
      <t xml:space="preserve"> =</t>
    </r>
  </si>
  <si>
    <r>
      <t>V</t>
    </r>
    <r>
      <rPr>
        <vertAlign val="subscript"/>
        <sz val="11"/>
        <color theme="1"/>
        <rFont val="Arial"/>
        <family val="2"/>
      </rPr>
      <t>DSderated</t>
    </r>
    <r>
      <rPr>
        <sz val="11"/>
        <color theme="1"/>
        <rFont val="Arial"/>
        <family val="2"/>
      </rPr>
      <t xml:space="preserve"> =</t>
    </r>
  </si>
  <si>
    <r>
      <t>C</t>
    </r>
    <r>
      <rPr>
        <vertAlign val="subscript"/>
        <sz val="11"/>
        <color theme="1"/>
        <rFont val="Arial"/>
        <family val="2"/>
      </rPr>
      <t>OSS</t>
    </r>
    <r>
      <rPr>
        <sz val="11"/>
        <color theme="1"/>
        <rFont val="Arial"/>
        <family val="2"/>
      </rPr>
      <t xml:space="preserve"> =</t>
    </r>
  </si>
  <si>
    <r>
      <t>R</t>
    </r>
    <r>
      <rPr>
        <vertAlign val="subscript"/>
        <sz val="11"/>
        <color theme="1"/>
        <rFont val="Arial"/>
        <family val="2"/>
      </rPr>
      <t>DSon</t>
    </r>
    <r>
      <rPr>
        <sz val="11"/>
        <color theme="1"/>
        <rFont val="Arial"/>
        <family val="2"/>
      </rPr>
      <t xml:space="preserve"> =</t>
    </r>
  </si>
  <si>
    <t>Constant Current Regulation Factor, Minimum</t>
  </si>
  <si>
    <t>Constant Current Regulation Factor, Nominal</t>
  </si>
  <si>
    <r>
      <t>V</t>
    </r>
    <r>
      <rPr>
        <vertAlign val="subscript"/>
        <sz val="11"/>
        <rFont val="Arial"/>
        <family val="2"/>
      </rPr>
      <t>CCR_min</t>
    </r>
    <r>
      <rPr>
        <sz val="11"/>
        <rFont val="Arial"/>
        <family val="2"/>
      </rPr>
      <t xml:space="preserve"> =</t>
    </r>
  </si>
  <si>
    <r>
      <t>V</t>
    </r>
    <r>
      <rPr>
        <vertAlign val="subscript"/>
        <sz val="11"/>
        <rFont val="Arial"/>
        <family val="2"/>
      </rPr>
      <t>CCR_nom</t>
    </r>
    <r>
      <rPr>
        <sz val="11"/>
        <rFont val="Arial"/>
        <family val="2"/>
      </rPr>
      <t xml:space="preserve"> =</t>
    </r>
  </si>
  <si>
    <r>
      <t>P</t>
    </r>
    <r>
      <rPr>
        <vertAlign val="subscript"/>
        <sz val="11"/>
        <color theme="1"/>
        <rFont val="Arial"/>
        <family val="2"/>
      </rPr>
      <t>FETconduction</t>
    </r>
    <r>
      <rPr>
        <sz val="11"/>
        <color theme="1"/>
        <rFont val="Arial"/>
        <family val="2"/>
      </rPr>
      <t xml:space="preserve"> =</t>
    </r>
  </si>
  <si>
    <t>Estimated MOSFET Conduction Losses</t>
  </si>
  <si>
    <t>Estimated MOSFET Switching Losses</t>
  </si>
  <si>
    <r>
      <t>P</t>
    </r>
    <r>
      <rPr>
        <vertAlign val="subscript"/>
        <sz val="11"/>
        <color theme="1"/>
        <rFont val="Arial"/>
        <family val="2"/>
      </rPr>
      <t>FETswitching</t>
    </r>
    <r>
      <rPr>
        <sz val="11"/>
        <color theme="1"/>
        <rFont val="Arial"/>
        <family val="2"/>
      </rPr>
      <t xml:space="preserve"> =</t>
    </r>
  </si>
  <si>
    <t>MOSFET Fall Time</t>
  </si>
  <si>
    <r>
      <t>MOSFET Fall Time, t</t>
    </r>
    <r>
      <rPr>
        <vertAlign val="subscript"/>
        <sz val="11"/>
        <color theme="1"/>
        <rFont val="Arial"/>
        <family val="2"/>
      </rPr>
      <t>f</t>
    </r>
    <r>
      <rPr>
        <sz val="11"/>
        <color theme="1"/>
        <rFont val="Arial"/>
        <family val="2"/>
      </rPr>
      <t xml:space="preserve"> =</t>
    </r>
  </si>
  <si>
    <r>
      <t>t</t>
    </r>
    <r>
      <rPr>
        <vertAlign val="subscript"/>
        <sz val="11"/>
        <color theme="1"/>
        <rFont val="Arial"/>
        <family val="2"/>
      </rPr>
      <t>f</t>
    </r>
    <r>
      <rPr>
        <sz val="11"/>
        <color theme="1"/>
        <rFont val="Arial"/>
        <family val="2"/>
      </rPr>
      <t xml:space="preserve"> =</t>
    </r>
  </si>
  <si>
    <t>pF factor</t>
  </si>
  <si>
    <t xml:space="preserve">Total Estimated MOSFET Power Loss </t>
  </si>
  <si>
    <r>
      <t>P</t>
    </r>
    <r>
      <rPr>
        <vertAlign val="subscript"/>
        <sz val="11"/>
        <color theme="1"/>
        <rFont val="Arial"/>
        <family val="2"/>
      </rPr>
      <t>FET</t>
    </r>
    <r>
      <rPr>
        <sz val="11"/>
        <color theme="1"/>
        <rFont val="Arial"/>
        <family val="2"/>
      </rPr>
      <t xml:space="preserve"> =</t>
    </r>
  </si>
  <si>
    <r>
      <t>Recommended R</t>
    </r>
    <r>
      <rPr>
        <vertAlign val="subscript"/>
        <sz val="11"/>
        <color theme="1"/>
        <rFont val="Arial"/>
        <family val="2"/>
      </rPr>
      <t>CS</t>
    </r>
  </si>
  <si>
    <r>
      <t xml:space="preserve"> DCR</t>
    </r>
    <r>
      <rPr>
        <vertAlign val="subscript"/>
        <sz val="11"/>
        <color theme="1"/>
        <rFont val="Arial"/>
        <family val="2"/>
      </rPr>
      <t>Lout</t>
    </r>
    <r>
      <rPr>
        <sz val="11"/>
        <color theme="1"/>
        <rFont val="Arial"/>
        <family val="2"/>
      </rPr>
      <t xml:space="preserve"> =</t>
    </r>
  </si>
  <si>
    <t>DCR of Output Inductor</t>
  </si>
  <si>
    <r>
      <t>V</t>
    </r>
    <r>
      <rPr>
        <vertAlign val="subscript"/>
        <sz val="11"/>
        <color theme="1"/>
        <rFont val="Arial"/>
        <family val="2"/>
      </rPr>
      <t>F</t>
    </r>
    <r>
      <rPr>
        <sz val="11"/>
        <color theme="1"/>
        <rFont val="Arial"/>
        <family val="2"/>
      </rPr>
      <t xml:space="preserve"> =</t>
    </r>
  </si>
  <si>
    <t>BRIDGE RECTIFIER</t>
  </si>
  <si>
    <t>Voltage Rating</t>
  </si>
  <si>
    <r>
      <t>V</t>
    </r>
    <r>
      <rPr>
        <vertAlign val="subscript"/>
        <sz val="11"/>
        <color theme="1"/>
        <rFont val="Arial"/>
        <family val="2"/>
      </rPr>
      <t>BRIDGE_minrating</t>
    </r>
    <r>
      <rPr>
        <sz val="11"/>
        <color theme="1"/>
        <rFont val="Arial"/>
        <family val="2"/>
      </rPr>
      <t xml:space="preserve"> =</t>
    </r>
  </si>
  <si>
    <t>Current Rating</t>
  </si>
  <si>
    <r>
      <t>I</t>
    </r>
    <r>
      <rPr>
        <vertAlign val="subscript"/>
        <sz val="11"/>
        <color theme="1"/>
        <rFont val="Arial"/>
        <family val="2"/>
      </rPr>
      <t>BRIDGE_minrating</t>
    </r>
    <r>
      <rPr>
        <sz val="11"/>
        <color theme="1"/>
        <rFont val="Arial"/>
        <family val="2"/>
      </rPr>
      <t xml:space="preserve"> =</t>
    </r>
  </si>
  <si>
    <r>
      <t>P</t>
    </r>
    <r>
      <rPr>
        <vertAlign val="subscript"/>
        <sz val="11"/>
        <color theme="1"/>
        <rFont val="Arial"/>
        <family val="2"/>
      </rPr>
      <t>BRIDGE</t>
    </r>
    <r>
      <rPr>
        <sz val="11"/>
        <color theme="1"/>
        <rFont val="Arial"/>
        <family val="2"/>
      </rPr>
      <t xml:space="preserve"> = </t>
    </r>
  </si>
  <si>
    <t>Forward Voltage Drop</t>
  </si>
  <si>
    <r>
      <rPr>
        <b/>
        <sz val="11"/>
        <color theme="1"/>
        <rFont val="Arial"/>
        <family val="2"/>
      </rPr>
      <t xml:space="preserve">Recommended </t>
    </r>
    <r>
      <rPr>
        <sz val="11"/>
        <color theme="1"/>
        <rFont val="Arial"/>
        <family val="2"/>
      </rPr>
      <t>Current Sense Resistor, R</t>
    </r>
    <r>
      <rPr>
        <vertAlign val="subscript"/>
        <sz val="11"/>
        <color theme="1"/>
        <rFont val="Arial"/>
        <family val="2"/>
      </rPr>
      <t>CS</t>
    </r>
    <r>
      <rPr>
        <sz val="11"/>
        <color theme="1"/>
        <rFont val="Arial"/>
        <family val="2"/>
      </rPr>
      <t xml:space="preserve"> =</t>
    </r>
  </si>
  <si>
    <r>
      <rPr>
        <b/>
        <sz val="11"/>
        <color theme="1"/>
        <rFont val="Arial"/>
        <family val="2"/>
      </rPr>
      <t>Actual</t>
    </r>
    <r>
      <rPr>
        <sz val="11"/>
        <color theme="1"/>
        <rFont val="Arial"/>
        <family val="2"/>
      </rPr>
      <t xml:space="preserve"> Current Sense Resistor Used, R</t>
    </r>
    <r>
      <rPr>
        <vertAlign val="subscript"/>
        <sz val="11"/>
        <color theme="1"/>
        <rFont val="Arial"/>
        <family val="2"/>
      </rPr>
      <t>CS</t>
    </r>
    <r>
      <rPr>
        <sz val="11"/>
        <color theme="1"/>
        <rFont val="Arial"/>
        <family val="2"/>
      </rPr>
      <t xml:space="preserve"> =</t>
    </r>
  </si>
  <si>
    <r>
      <t>Forward Voltage Drop, V</t>
    </r>
    <r>
      <rPr>
        <vertAlign val="subscript"/>
        <sz val="11"/>
        <color theme="1"/>
        <rFont val="Arial"/>
        <family val="2"/>
      </rPr>
      <t>F_BRIDGE</t>
    </r>
    <r>
      <rPr>
        <sz val="11"/>
        <color theme="1"/>
        <rFont val="Arial"/>
        <family val="2"/>
      </rPr>
      <t xml:space="preserve"> =</t>
    </r>
  </si>
  <si>
    <r>
      <t>At I</t>
    </r>
    <r>
      <rPr>
        <vertAlign val="subscript"/>
        <sz val="11"/>
        <color theme="1"/>
        <rFont val="Arial"/>
        <family val="2"/>
      </rPr>
      <t>INPEAK</t>
    </r>
  </si>
  <si>
    <r>
      <t>Bridge Rectifier, D</t>
    </r>
    <r>
      <rPr>
        <b/>
        <vertAlign val="subscript"/>
        <sz val="11"/>
        <color theme="0"/>
        <rFont val="Arial"/>
        <family val="2"/>
      </rPr>
      <t>BRIDGE</t>
    </r>
  </si>
  <si>
    <r>
      <t>V</t>
    </r>
    <r>
      <rPr>
        <vertAlign val="subscript"/>
        <sz val="11"/>
        <color theme="1"/>
        <rFont val="Arial"/>
        <family val="2"/>
      </rPr>
      <t>F_BRIDGE</t>
    </r>
    <r>
      <rPr>
        <sz val="11"/>
        <color theme="1"/>
        <rFont val="Arial"/>
        <family val="2"/>
      </rPr>
      <t xml:space="preserve"> =</t>
    </r>
  </si>
  <si>
    <t>Full Load Power Dissipation of Bridge Rectifier</t>
  </si>
  <si>
    <t>MHz</t>
  </si>
  <si>
    <t>MHz factor</t>
  </si>
  <si>
    <r>
      <t>Assumes -1%R</t>
    </r>
    <r>
      <rPr>
        <vertAlign val="subscript"/>
        <sz val="11"/>
        <color theme="1"/>
        <rFont val="Arial"/>
        <family val="2"/>
      </rPr>
      <t>CS</t>
    </r>
    <r>
      <rPr>
        <sz val="11"/>
        <color theme="1"/>
        <rFont val="Arial"/>
        <family val="2"/>
      </rPr>
      <t xml:space="preserve"> and V</t>
    </r>
    <r>
      <rPr>
        <vertAlign val="subscript"/>
        <sz val="11"/>
        <color theme="1"/>
        <rFont val="Arial"/>
        <family val="2"/>
      </rPr>
      <t>CSTmax_max</t>
    </r>
  </si>
  <si>
    <t>Maximum Output Current During Constant Current Mode</t>
  </si>
  <si>
    <r>
      <t>I</t>
    </r>
    <r>
      <rPr>
        <vertAlign val="subscript"/>
        <sz val="11"/>
        <color theme="1"/>
        <rFont val="Arial"/>
        <family val="2"/>
      </rPr>
      <t>OCCmax</t>
    </r>
    <r>
      <rPr>
        <sz val="11"/>
        <color theme="1"/>
        <rFont val="Arial"/>
        <family val="2"/>
      </rPr>
      <t xml:space="preserve"> =</t>
    </r>
  </si>
  <si>
    <t>Recommended Clamping Voltage on Drain</t>
  </si>
  <si>
    <r>
      <t>V</t>
    </r>
    <r>
      <rPr>
        <vertAlign val="subscript"/>
        <sz val="11"/>
        <color theme="1"/>
        <rFont val="Arial"/>
        <family val="2"/>
      </rPr>
      <t>DRAINclamp</t>
    </r>
    <r>
      <rPr>
        <sz val="11"/>
        <color theme="1"/>
        <rFont val="Arial"/>
        <family val="2"/>
      </rPr>
      <t xml:space="preserve"> =</t>
    </r>
  </si>
  <si>
    <r>
      <t>N</t>
    </r>
    <r>
      <rPr>
        <vertAlign val="subscript"/>
        <sz val="11"/>
        <color theme="1"/>
        <rFont val="Arial"/>
        <family val="2"/>
      </rPr>
      <t>PArecommended</t>
    </r>
    <r>
      <rPr>
        <sz val="11"/>
        <color theme="1"/>
        <rFont val="Arial"/>
        <family val="2"/>
      </rPr>
      <t xml:space="preserve"> =</t>
    </r>
  </si>
  <si>
    <r>
      <t>Auxiliary Rectifier Forward Voltage Drop, V</t>
    </r>
    <r>
      <rPr>
        <vertAlign val="subscript"/>
        <sz val="11"/>
        <color theme="1"/>
        <rFont val="Arial"/>
        <family val="2"/>
      </rPr>
      <t>FA</t>
    </r>
    <r>
      <rPr>
        <sz val="11"/>
        <color theme="1"/>
        <rFont val="Arial"/>
        <family val="2"/>
      </rPr>
      <t xml:space="preserve"> =</t>
    </r>
  </si>
  <si>
    <r>
      <t>Auxiliary Winding Rectifier, D</t>
    </r>
    <r>
      <rPr>
        <b/>
        <vertAlign val="subscript"/>
        <sz val="11"/>
        <color theme="0"/>
        <rFont val="Arial"/>
        <family val="2"/>
      </rPr>
      <t>AUX</t>
    </r>
  </si>
  <si>
    <t>Auxiliary Rectifier Forward Voltage Drop</t>
  </si>
  <si>
    <r>
      <t xml:space="preserve"> V</t>
    </r>
    <r>
      <rPr>
        <vertAlign val="subscript"/>
        <sz val="11"/>
        <color theme="1"/>
        <rFont val="Arial"/>
        <family val="2"/>
      </rPr>
      <t>FA</t>
    </r>
    <r>
      <rPr>
        <sz val="11"/>
        <color theme="1"/>
        <rFont val="Arial"/>
        <family val="2"/>
      </rPr>
      <t xml:space="preserve"> =</t>
    </r>
  </si>
  <si>
    <r>
      <t>Suggested N</t>
    </r>
    <r>
      <rPr>
        <vertAlign val="subscript"/>
        <sz val="11"/>
        <color theme="1"/>
        <rFont val="Arial"/>
        <family val="2"/>
      </rPr>
      <t>PA</t>
    </r>
  </si>
  <si>
    <r>
      <rPr>
        <b/>
        <sz val="11"/>
        <color theme="1"/>
        <rFont val="Arial"/>
        <family val="2"/>
      </rPr>
      <t>Recommended</t>
    </r>
    <r>
      <rPr>
        <sz val="11"/>
        <color theme="1"/>
        <rFont val="Arial"/>
        <family val="2"/>
      </rPr>
      <t xml:space="preserve"> Primary to Auxillary Turns Ratio, N</t>
    </r>
    <r>
      <rPr>
        <vertAlign val="subscript"/>
        <sz val="11"/>
        <color theme="1"/>
        <rFont val="Arial"/>
        <family val="2"/>
      </rPr>
      <t>PA</t>
    </r>
    <r>
      <rPr>
        <sz val="11"/>
        <color theme="1"/>
        <rFont val="Arial"/>
        <family val="2"/>
      </rPr>
      <t xml:space="preserve"> =</t>
    </r>
  </si>
  <si>
    <r>
      <t>N</t>
    </r>
    <r>
      <rPr>
        <vertAlign val="subscript"/>
        <sz val="11"/>
        <color theme="1"/>
        <rFont val="Arial"/>
        <family val="2"/>
      </rPr>
      <t xml:space="preserve">PAactual </t>
    </r>
    <r>
      <rPr>
        <sz val="11"/>
        <color theme="1"/>
        <rFont val="Arial"/>
        <family val="2"/>
      </rPr>
      <t>=</t>
    </r>
  </si>
  <si>
    <r>
      <rPr>
        <b/>
        <sz val="11"/>
        <color theme="1"/>
        <rFont val="Arial"/>
        <family val="2"/>
      </rPr>
      <t xml:space="preserve">Recommended </t>
    </r>
    <r>
      <rPr>
        <sz val="11"/>
        <color theme="1"/>
        <rFont val="Arial"/>
        <family val="2"/>
      </rPr>
      <t>Primary to Auxilliary Turns Ratio</t>
    </r>
  </si>
  <si>
    <r>
      <rPr>
        <b/>
        <sz val="11"/>
        <color theme="1"/>
        <rFont val="Arial"/>
        <family val="2"/>
      </rPr>
      <t>Actual</t>
    </r>
    <r>
      <rPr>
        <sz val="11"/>
        <color theme="1"/>
        <rFont val="Arial"/>
        <family val="2"/>
      </rPr>
      <t xml:space="preserve"> Primary to Auxiliary Turns Ratio</t>
    </r>
  </si>
  <si>
    <r>
      <t>Enter Actual N</t>
    </r>
    <r>
      <rPr>
        <vertAlign val="subscript"/>
        <sz val="11"/>
        <color theme="1"/>
        <rFont val="Arial"/>
        <family val="2"/>
      </rPr>
      <t>PA</t>
    </r>
    <r>
      <rPr>
        <sz val="11"/>
        <color theme="1"/>
        <rFont val="Arial"/>
        <family val="2"/>
      </rPr>
      <t xml:space="preserve"> of Transformer Used</t>
    </r>
  </si>
  <si>
    <r>
      <rPr>
        <b/>
        <sz val="11"/>
        <color theme="1"/>
        <rFont val="Arial"/>
        <family val="2"/>
      </rPr>
      <t>Actual</t>
    </r>
    <r>
      <rPr>
        <sz val="11"/>
        <color theme="1"/>
        <rFont val="Arial"/>
        <family val="2"/>
      </rPr>
      <t xml:space="preserve"> Primary to Auxiliary Turns Ratio, N</t>
    </r>
    <r>
      <rPr>
        <vertAlign val="subscript"/>
        <sz val="11"/>
        <color theme="1"/>
        <rFont val="Arial"/>
        <family val="2"/>
      </rPr>
      <t>PA</t>
    </r>
    <r>
      <rPr>
        <sz val="11"/>
        <color theme="1"/>
        <rFont val="Arial"/>
        <family val="2"/>
      </rPr>
      <t xml:space="preserve"> =</t>
    </r>
  </si>
  <si>
    <t>Primary to Auxiliary Turns Ratio Used in Calculations</t>
  </si>
  <si>
    <r>
      <t>N</t>
    </r>
    <r>
      <rPr>
        <vertAlign val="subscript"/>
        <sz val="11"/>
        <color theme="1"/>
        <rFont val="Arial"/>
        <family val="2"/>
      </rPr>
      <t>PA</t>
    </r>
    <r>
      <rPr>
        <sz val="11"/>
        <color theme="1"/>
        <rFont val="Arial"/>
        <family val="2"/>
      </rPr>
      <t xml:space="preserve"> =</t>
    </r>
  </si>
  <si>
    <t>Nominal VDD Voltage</t>
  </si>
  <si>
    <t>VDD =</t>
  </si>
  <si>
    <t>Actual Output Current During Constant Current Mode</t>
  </si>
  <si>
    <t>Recommended Auxiliary to Secondary Turns Ratio</t>
  </si>
  <si>
    <r>
      <t>N</t>
    </r>
    <r>
      <rPr>
        <vertAlign val="subscript"/>
        <sz val="11"/>
        <color theme="1"/>
        <rFont val="Arial"/>
        <family val="2"/>
      </rPr>
      <t xml:space="preserve">ASrecommended </t>
    </r>
    <r>
      <rPr>
        <sz val="11"/>
        <color theme="1"/>
        <rFont val="Arial"/>
        <family val="2"/>
      </rPr>
      <t>=</t>
    </r>
  </si>
  <si>
    <t>Minimum Output Voltage During Constant Current Mode</t>
  </si>
  <si>
    <t>VDD Under Voltage Lock Out (UVLO) Voltage, Maximum</t>
  </si>
  <si>
    <r>
      <t>VDD</t>
    </r>
    <r>
      <rPr>
        <vertAlign val="subscript"/>
        <sz val="11"/>
        <color theme="1"/>
        <rFont val="Arial"/>
        <family val="2"/>
      </rPr>
      <t>OFF_max</t>
    </r>
    <r>
      <rPr>
        <sz val="11"/>
        <color theme="1"/>
        <rFont val="Arial"/>
        <family val="2"/>
      </rPr>
      <t xml:space="preserve"> =</t>
    </r>
  </si>
  <si>
    <t>VDD Under Voltage Lock Out (UVLO) Voltage, Minimum</t>
  </si>
  <si>
    <r>
      <t>VDD</t>
    </r>
    <r>
      <rPr>
        <vertAlign val="subscript"/>
        <sz val="11"/>
        <color theme="1"/>
        <rFont val="Arial"/>
        <family val="2"/>
      </rPr>
      <t>OFF_min</t>
    </r>
    <r>
      <rPr>
        <sz val="11"/>
        <color theme="1"/>
        <rFont val="Arial"/>
        <family val="2"/>
      </rPr>
      <t xml:space="preserve"> =</t>
    </r>
  </si>
  <si>
    <t>Actual Auxiliary to Secondary Turns Ratio</t>
  </si>
  <si>
    <r>
      <t>N</t>
    </r>
    <r>
      <rPr>
        <vertAlign val="subscript"/>
        <sz val="11"/>
        <color theme="1"/>
        <rFont val="Arial"/>
        <family val="2"/>
      </rPr>
      <t>AS</t>
    </r>
    <r>
      <rPr>
        <sz val="11"/>
        <color theme="1"/>
        <rFont val="Arial"/>
        <family val="2"/>
      </rPr>
      <t xml:space="preserve"> =</t>
    </r>
  </si>
  <si>
    <r>
      <t>V</t>
    </r>
    <r>
      <rPr>
        <vertAlign val="subscript"/>
        <sz val="11"/>
        <color theme="1"/>
        <rFont val="Arial"/>
        <family val="2"/>
      </rPr>
      <t>DBIAS_blocking</t>
    </r>
    <r>
      <rPr>
        <sz val="11"/>
        <color theme="1"/>
        <rFont val="Arial"/>
        <family val="2"/>
      </rPr>
      <t xml:space="preserve"> =</t>
    </r>
  </si>
  <si>
    <t>Minimum Required Blocking Voltage Rating</t>
  </si>
  <si>
    <r>
      <t>V</t>
    </r>
    <r>
      <rPr>
        <vertAlign val="subscript"/>
        <sz val="11"/>
        <color theme="1"/>
        <rFont val="Arial"/>
        <family val="2"/>
      </rPr>
      <t>DOUT_blocking</t>
    </r>
    <r>
      <rPr>
        <sz val="11"/>
        <color theme="1"/>
        <rFont val="Arial"/>
        <family val="2"/>
      </rPr>
      <t xml:space="preserve"> =</t>
    </r>
  </si>
  <si>
    <r>
      <t>V</t>
    </r>
    <r>
      <rPr>
        <vertAlign val="subscript"/>
        <sz val="11"/>
        <rFont val="Arial"/>
        <family val="2"/>
      </rPr>
      <t>FUSE</t>
    </r>
    <r>
      <rPr>
        <sz val="11"/>
        <rFont val="Arial"/>
        <family val="2"/>
      </rPr>
      <t xml:space="preserve"> =</t>
    </r>
  </si>
  <si>
    <r>
      <t>MOSFET V</t>
    </r>
    <r>
      <rPr>
        <vertAlign val="subscript"/>
        <sz val="11"/>
        <color theme="1"/>
        <rFont val="Arial"/>
        <family val="2"/>
      </rPr>
      <t>DS</t>
    </r>
    <r>
      <rPr>
        <sz val="11"/>
        <color theme="1"/>
        <rFont val="Arial"/>
        <family val="2"/>
      </rPr>
      <t xml:space="preserve"> Derating</t>
    </r>
  </si>
  <si>
    <t>MOSFET Continuous Current Rating</t>
  </si>
  <si>
    <r>
      <t>I</t>
    </r>
    <r>
      <rPr>
        <vertAlign val="subscript"/>
        <sz val="11"/>
        <color theme="1"/>
        <rFont val="Arial"/>
        <family val="2"/>
      </rPr>
      <t>DRAIN</t>
    </r>
    <r>
      <rPr>
        <sz val="11"/>
        <color theme="1"/>
        <rFont val="Arial"/>
        <family val="2"/>
      </rPr>
      <t xml:space="preserve"> =</t>
    </r>
  </si>
  <si>
    <t>MOSFET Pulsed Current Rating</t>
  </si>
  <si>
    <r>
      <t>I</t>
    </r>
    <r>
      <rPr>
        <vertAlign val="subscript"/>
        <sz val="11"/>
        <color theme="1"/>
        <rFont val="Arial"/>
        <family val="2"/>
      </rPr>
      <t>PULSED</t>
    </r>
    <r>
      <rPr>
        <sz val="11"/>
        <color theme="1"/>
        <rFont val="Arial"/>
        <family val="2"/>
      </rPr>
      <t xml:space="preserve"> =</t>
    </r>
  </si>
  <si>
    <t>Required Minimum Average Rectified Output Current</t>
  </si>
  <si>
    <r>
      <t>I</t>
    </r>
    <r>
      <rPr>
        <vertAlign val="subscript"/>
        <sz val="11"/>
        <color theme="1"/>
        <rFont val="Arial"/>
        <family val="2"/>
      </rPr>
      <t>Dout</t>
    </r>
    <r>
      <rPr>
        <sz val="11"/>
        <color theme="1"/>
        <rFont val="Arial"/>
        <family val="2"/>
      </rPr>
      <t xml:space="preserve"> =</t>
    </r>
  </si>
  <si>
    <r>
      <t>Power Dissipation of D</t>
    </r>
    <r>
      <rPr>
        <vertAlign val="subscript"/>
        <sz val="11"/>
        <color theme="1"/>
        <rFont val="Arial"/>
        <family val="2"/>
      </rPr>
      <t>OUT</t>
    </r>
  </si>
  <si>
    <r>
      <t>P</t>
    </r>
    <r>
      <rPr>
        <vertAlign val="subscript"/>
        <sz val="11"/>
        <color theme="1"/>
        <rFont val="Arial"/>
        <family val="2"/>
      </rPr>
      <t>Dout</t>
    </r>
    <r>
      <rPr>
        <sz val="11"/>
        <color theme="1"/>
        <rFont val="Arial"/>
        <family val="2"/>
      </rPr>
      <t xml:space="preserve"> =</t>
    </r>
  </si>
  <si>
    <r>
      <t>OUTPUT DIODE, D</t>
    </r>
    <r>
      <rPr>
        <b/>
        <i/>
        <vertAlign val="subscript"/>
        <sz val="12"/>
        <color theme="0"/>
        <rFont val="Arial"/>
        <family val="2"/>
      </rPr>
      <t>OUT</t>
    </r>
  </si>
  <si>
    <r>
      <t>AUXILIARY WINDING DIODE, D</t>
    </r>
    <r>
      <rPr>
        <b/>
        <i/>
        <vertAlign val="subscript"/>
        <sz val="12"/>
        <color theme="0"/>
        <rFont val="Arial"/>
        <family val="2"/>
      </rPr>
      <t>AUX</t>
    </r>
    <r>
      <rPr>
        <b/>
        <i/>
        <sz val="12"/>
        <color theme="0"/>
        <rFont val="Arial"/>
        <family val="2"/>
      </rPr>
      <t xml:space="preserve"> </t>
    </r>
  </si>
  <si>
    <r>
      <t>OUTPUT INDUCTOR, L</t>
    </r>
    <r>
      <rPr>
        <b/>
        <i/>
        <vertAlign val="subscript"/>
        <sz val="12"/>
        <color theme="0"/>
        <rFont val="Arial"/>
        <family val="2"/>
      </rPr>
      <t>OUT</t>
    </r>
  </si>
  <si>
    <r>
      <t>OUTPUT CAPACITOR, C</t>
    </r>
    <r>
      <rPr>
        <b/>
        <i/>
        <vertAlign val="subscript"/>
        <sz val="12"/>
        <color theme="0"/>
        <rFont val="Arial"/>
        <family val="2"/>
      </rPr>
      <t>OUT</t>
    </r>
  </si>
  <si>
    <r>
      <t>Enter Actual R</t>
    </r>
    <r>
      <rPr>
        <vertAlign val="subscript"/>
        <sz val="11"/>
        <color theme="1"/>
        <rFont val="Arial"/>
        <family val="2"/>
      </rPr>
      <t>CS</t>
    </r>
    <r>
      <rPr>
        <sz val="11"/>
        <color theme="1"/>
        <rFont val="Arial"/>
        <family val="2"/>
      </rPr>
      <t xml:space="preserve"> Used</t>
    </r>
  </si>
  <si>
    <r>
      <t>Required Positive Load Step Transient Current, I</t>
    </r>
    <r>
      <rPr>
        <vertAlign val="subscript"/>
        <sz val="11"/>
        <color theme="1"/>
        <rFont val="Arial"/>
        <family val="2"/>
      </rPr>
      <t>TRAN</t>
    </r>
    <r>
      <rPr>
        <sz val="11"/>
        <color theme="1"/>
        <rFont val="Arial"/>
        <family val="2"/>
      </rPr>
      <t xml:space="preserve"> =</t>
    </r>
  </si>
  <si>
    <t>Required Positive Load Step Transient Current</t>
  </si>
  <si>
    <r>
      <t>Maximum Allowable Response Time to Load Step Transient, t</t>
    </r>
    <r>
      <rPr>
        <vertAlign val="subscript"/>
        <sz val="11"/>
        <color theme="1"/>
        <rFont val="Arial"/>
        <family val="2"/>
      </rPr>
      <t>RESP</t>
    </r>
    <r>
      <rPr>
        <sz val="11"/>
        <color theme="1"/>
        <rFont val="Arial"/>
        <family val="2"/>
      </rPr>
      <t xml:space="preserve"> =</t>
    </r>
  </si>
  <si>
    <t>Maximum Allowable Response Time to Load Step Transient</t>
  </si>
  <si>
    <r>
      <t>Minimum Required C</t>
    </r>
    <r>
      <rPr>
        <vertAlign val="subscript"/>
        <sz val="11"/>
        <rFont val="Arial"/>
        <family val="2"/>
      </rPr>
      <t>OUT</t>
    </r>
    <r>
      <rPr>
        <sz val="11"/>
        <rFont val="Arial"/>
        <family val="2"/>
      </rPr>
      <t xml:space="preserve"> Without Opto-Coupled FeedBack</t>
    </r>
  </si>
  <si>
    <r>
      <t>C</t>
    </r>
    <r>
      <rPr>
        <vertAlign val="subscript"/>
        <sz val="11"/>
        <rFont val="Arial"/>
        <family val="2"/>
      </rPr>
      <t>OUT_no_opto</t>
    </r>
    <r>
      <rPr>
        <sz val="11"/>
        <rFont val="Arial"/>
        <family val="2"/>
      </rPr>
      <t xml:space="preserve"> =</t>
    </r>
  </si>
  <si>
    <r>
      <t>C</t>
    </r>
    <r>
      <rPr>
        <vertAlign val="subscript"/>
        <sz val="11"/>
        <rFont val="Arial"/>
        <family val="2"/>
      </rPr>
      <t>OUT</t>
    </r>
    <r>
      <rPr>
        <sz val="11"/>
        <rFont val="Arial"/>
        <family val="2"/>
      </rPr>
      <t xml:space="preserve"> =</t>
    </r>
  </si>
  <si>
    <t>Required Minimum Ripple Current Rating</t>
  </si>
  <si>
    <r>
      <t>I</t>
    </r>
    <r>
      <rPr>
        <vertAlign val="subscript"/>
        <sz val="11"/>
        <rFont val="Arial"/>
        <family val="2"/>
      </rPr>
      <t>COUTrms</t>
    </r>
    <r>
      <rPr>
        <sz val="11"/>
        <rFont val="Arial"/>
        <family val="2"/>
      </rPr>
      <t xml:space="preserve"> =</t>
    </r>
  </si>
  <si>
    <r>
      <t>ESR</t>
    </r>
    <r>
      <rPr>
        <vertAlign val="subscript"/>
        <sz val="11"/>
        <rFont val="Arial"/>
        <family val="2"/>
      </rPr>
      <t>Cout</t>
    </r>
    <r>
      <rPr>
        <sz val="11"/>
        <rFont val="Arial"/>
        <family val="2"/>
      </rPr>
      <t xml:space="preserve"> =</t>
    </r>
  </si>
  <si>
    <t>Minimum Demagnetizing Time</t>
  </si>
  <si>
    <r>
      <t>t</t>
    </r>
    <r>
      <rPr>
        <vertAlign val="subscript"/>
        <sz val="11"/>
        <color theme="1"/>
        <rFont val="Arial"/>
        <family val="2"/>
      </rPr>
      <t>DEMAGmin</t>
    </r>
    <r>
      <rPr>
        <sz val="11"/>
        <color theme="1"/>
        <rFont val="Arial"/>
        <family val="2"/>
      </rPr>
      <t xml:space="preserve"> =</t>
    </r>
  </si>
  <si>
    <r>
      <t xml:space="preserve"> R</t>
    </r>
    <r>
      <rPr>
        <vertAlign val="subscript"/>
        <sz val="11"/>
        <color theme="1"/>
        <rFont val="Arial"/>
        <family val="2"/>
      </rPr>
      <t>CS</t>
    </r>
    <r>
      <rPr>
        <sz val="11"/>
        <color theme="1"/>
        <rFont val="Arial"/>
        <family val="2"/>
      </rPr>
      <t xml:space="preserve"> =</t>
    </r>
  </si>
  <si>
    <r>
      <t>Allowable Output Voltage Drop During Load-Step Transient in Constant Voltage Mode, V</t>
    </r>
    <r>
      <rPr>
        <vertAlign val="subscript"/>
        <sz val="11"/>
        <color theme="1"/>
        <rFont val="Arial"/>
        <family val="2"/>
      </rPr>
      <t xml:space="preserve">OUTΔ </t>
    </r>
    <r>
      <rPr>
        <sz val="11"/>
        <color theme="1"/>
        <rFont val="Arial"/>
        <family val="2"/>
      </rPr>
      <t>=</t>
    </r>
  </si>
  <si>
    <t>COMPONENT SELECTION USER INPUTS</t>
  </si>
  <si>
    <t>OPTO-COUPLED FEEDBACK</t>
  </si>
  <si>
    <r>
      <t>LINE COMPENSATION, R</t>
    </r>
    <r>
      <rPr>
        <b/>
        <i/>
        <vertAlign val="subscript"/>
        <sz val="12"/>
        <color theme="0"/>
        <rFont val="Arial"/>
        <family val="2"/>
      </rPr>
      <t>LC</t>
    </r>
  </si>
  <si>
    <r>
      <t>VDD CAPACITOR, C</t>
    </r>
    <r>
      <rPr>
        <b/>
        <i/>
        <vertAlign val="subscript"/>
        <sz val="12"/>
        <color theme="0"/>
        <rFont val="Arial"/>
        <family val="2"/>
      </rPr>
      <t>VDD</t>
    </r>
  </si>
  <si>
    <t>VS Line Sense Run Current, Minimum</t>
  </si>
  <si>
    <r>
      <t>I</t>
    </r>
    <r>
      <rPr>
        <vertAlign val="subscript"/>
        <sz val="11"/>
        <color theme="1"/>
        <rFont val="Arial"/>
        <family val="2"/>
      </rPr>
      <t>VSLrun_min</t>
    </r>
    <r>
      <rPr>
        <sz val="11"/>
        <color theme="1"/>
        <rFont val="Arial"/>
        <family val="2"/>
      </rPr>
      <t xml:space="preserve"> =</t>
    </r>
  </si>
  <si>
    <r>
      <rPr>
        <sz val="11"/>
        <color theme="1"/>
        <rFont val="Calibri"/>
        <family val="2"/>
      </rPr>
      <t>µ</t>
    </r>
    <r>
      <rPr>
        <sz val="11"/>
        <color theme="1"/>
        <rFont val="Arial"/>
        <family val="2"/>
      </rPr>
      <t>A</t>
    </r>
  </si>
  <si>
    <t>VS Line Sense Run Current, Maximum</t>
  </si>
  <si>
    <r>
      <t>I</t>
    </r>
    <r>
      <rPr>
        <vertAlign val="subscript"/>
        <sz val="11"/>
        <color theme="1"/>
        <rFont val="Arial"/>
        <family val="2"/>
      </rPr>
      <t>VSLrun_max</t>
    </r>
    <r>
      <rPr>
        <sz val="11"/>
        <color theme="1"/>
        <rFont val="Arial"/>
        <family val="2"/>
      </rPr>
      <t xml:space="preserve"> =</t>
    </r>
  </si>
  <si>
    <r>
      <t>R</t>
    </r>
    <r>
      <rPr>
        <vertAlign val="subscript"/>
        <sz val="11"/>
        <color theme="1"/>
        <rFont val="Arial"/>
        <family val="2"/>
      </rPr>
      <t>VS1</t>
    </r>
    <r>
      <rPr>
        <sz val="11"/>
        <color theme="1"/>
        <rFont val="Arial"/>
        <family val="2"/>
      </rPr>
      <t xml:space="preserve"> =</t>
    </r>
  </si>
  <si>
    <t>uA factor</t>
  </si>
  <si>
    <r>
      <t>k</t>
    </r>
    <r>
      <rPr>
        <sz val="11"/>
        <color theme="1"/>
        <rFont val="Calibri"/>
        <family val="2"/>
      </rPr>
      <t>Ω</t>
    </r>
    <r>
      <rPr>
        <sz val="11"/>
        <color theme="1"/>
        <rFont val="Arial"/>
        <family val="2"/>
      </rPr>
      <t xml:space="preserve"> factor</t>
    </r>
  </si>
  <si>
    <r>
      <t>k</t>
    </r>
    <r>
      <rPr>
        <sz val="11"/>
        <color theme="1"/>
        <rFont val="Calibri"/>
        <family val="2"/>
      </rPr>
      <t>Ω</t>
    </r>
  </si>
  <si>
    <r>
      <t>Input Line Voltage Turn On Resistor, R</t>
    </r>
    <r>
      <rPr>
        <b/>
        <vertAlign val="subscript"/>
        <sz val="11"/>
        <color theme="0"/>
        <rFont val="Arial"/>
        <family val="2"/>
      </rPr>
      <t>VS1</t>
    </r>
  </si>
  <si>
    <r>
      <t>R</t>
    </r>
    <r>
      <rPr>
        <vertAlign val="subscript"/>
        <sz val="11"/>
        <color theme="1"/>
        <rFont val="Arial"/>
        <family val="2"/>
      </rPr>
      <t>VS1recommended</t>
    </r>
    <r>
      <rPr>
        <sz val="11"/>
        <color theme="1"/>
        <rFont val="Arial"/>
        <family val="2"/>
      </rPr>
      <t xml:space="preserve"> =</t>
    </r>
  </si>
  <si>
    <r>
      <rPr>
        <b/>
        <sz val="11"/>
        <color theme="1"/>
        <rFont val="Arial"/>
        <family val="2"/>
      </rPr>
      <t>Recommended</t>
    </r>
    <r>
      <rPr>
        <sz val="11"/>
        <color theme="1"/>
        <rFont val="Arial"/>
        <family val="2"/>
      </rPr>
      <t xml:space="preserve"> Value for R</t>
    </r>
    <r>
      <rPr>
        <vertAlign val="subscript"/>
        <sz val="11"/>
        <color theme="1"/>
        <rFont val="Arial"/>
        <family val="2"/>
      </rPr>
      <t>VS1</t>
    </r>
    <r>
      <rPr>
        <sz val="11"/>
        <color theme="1"/>
        <rFont val="Arial"/>
        <family val="2"/>
      </rPr>
      <t>, R</t>
    </r>
    <r>
      <rPr>
        <vertAlign val="subscript"/>
        <sz val="11"/>
        <color theme="1"/>
        <rFont val="Arial"/>
        <family val="2"/>
      </rPr>
      <t>VS1</t>
    </r>
    <r>
      <rPr>
        <sz val="11"/>
        <color theme="1"/>
        <rFont val="Arial"/>
        <family val="2"/>
      </rPr>
      <t xml:space="preserve"> =</t>
    </r>
  </si>
  <si>
    <r>
      <rPr>
        <b/>
        <sz val="11"/>
        <color theme="1"/>
        <rFont val="Arial"/>
        <family val="2"/>
      </rPr>
      <t>Recommended</t>
    </r>
    <r>
      <rPr>
        <sz val="11"/>
        <color theme="1"/>
        <rFont val="Arial"/>
        <family val="2"/>
      </rPr>
      <t xml:space="preserve"> Resistor Value for Minimum Start Up Line Voltage</t>
    </r>
  </si>
  <si>
    <r>
      <rPr>
        <b/>
        <sz val="11"/>
        <color theme="1"/>
        <rFont val="Arial"/>
        <family val="2"/>
      </rPr>
      <t>Actual</t>
    </r>
    <r>
      <rPr>
        <sz val="11"/>
        <color theme="1"/>
        <rFont val="Arial"/>
        <family val="2"/>
      </rPr>
      <t xml:space="preserve"> Resistor Value Used for Minimum Start Up Line Voltage</t>
    </r>
  </si>
  <si>
    <r>
      <t>R</t>
    </r>
    <r>
      <rPr>
        <vertAlign val="subscript"/>
        <sz val="11"/>
        <color theme="1"/>
        <rFont val="Arial"/>
        <family val="2"/>
      </rPr>
      <t>VS1actual</t>
    </r>
    <r>
      <rPr>
        <sz val="11"/>
        <color theme="1"/>
        <rFont val="Arial"/>
        <family val="2"/>
      </rPr>
      <t xml:space="preserve"> =</t>
    </r>
  </si>
  <si>
    <r>
      <t>R</t>
    </r>
    <r>
      <rPr>
        <vertAlign val="subscript"/>
        <sz val="11"/>
        <color theme="1"/>
        <rFont val="Arial"/>
        <family val="2"/>
      </rPr>
      <t>VS1</t>
    </r>
    <r>
      <rPr>
        <sz val="11"/>
        <color theme="1"/>
        <rFont val="Arial"/>
        <family val="2"/>
      </rPr>
      <t xml:space="preserve"> Value Used in Calculations</t>
    </r>
  </si>
  <si>
    <t>VS Line Sense Run Current, Nominal</t>
  </si>
  <si>
    <r>
      <t>I</t>
    </r>
    <r>
      <rPr>
        <vertAlign val="subscript"/>
        <sz val="11"/>
        <color theme="1"/>
        <rFont val="Arial"/>
        <family val="2"/>
      </rPr>
      <t>VSLrun_nom</t>
    </r>
    <r>
      <rPr>
        <sz val="11"/>
        <color theme="1"/>
        <rFont val="Arial"/>
        <family val="2"/>
      </rPr>
      <t xml:space="preserve"> =</t>
    </r>
  </si>
  <si>
    <r>
      <t>V</t>
    </r>
    <r>
      <rPr>
        <vertAlign val="subscript"/>
        <sz val="11"/>
        <color theme="1"/>
        <rFont val="Arial"/>
        <family val="2"/>
      </rPr>
      <t>TURNONmin</t>
    </r>
    <r>
      <rPr>
        <sz val="11"/>
        <color theme="1"/>
        <rFont val="Arial"/>
        <family val="2"/>
      </rPr>
      <t xml:space="preserve"> =</t>
    </r>
  </si>
  <si>
    <r>
      <t>V</t>
    </r>
    <r>
      <rPr>
        <vertAlign val="subscript"/>
        <sz val="11"/>
        <color theme="1"/>
        <rFont val="Arial"/>
        <family val="2"/>
      </rPr>
      <t>TURNONmax</t>
    </r>
    <r>
      <rPr>
        <sz val="11"/>
        <color theme="1"/>
        <rFont val="Arial"/>
        <family val="2"/>
      </rPr>
      <t xml:space="preserve"> =</t>
    </r>
  </si>
  <si>
    <t xml:space="preserve">Resultant Turn On Voltage, Nominal </t>
  </si>
  <si>
    <t xml:space="preserve">Resultant Turn On Voltage, Minimum </t>
  </si>
  <si>
    <t xml:space="preserve">Resultant Turn On Voltage, Maximum </t>
  </si>
  <si>
    <t>Resultant Input Brown Out Voltage, Minimum</t>
  </si>
  <si>
    <t>Resultant Input Brown Out Voltage, Maximum</t>
  </si>
  <si>
    <t>VS Line Sense Stop Current, Nominal</t>
  </si>
  <si>
    <t>VS Line Sense Stop Current, Minimum</t>
  </si>
  <si>
    <t>VS Line Sense Stop Current, Maximum</t>
  </si>
  <si>
    <r>
      <t>I</t>
    </r>
    <r>
      <rPr>
        <vertAlign val="subscript"/>
        <sz val="11"/>
        <color theme="1"/>
        <rFont val="Arial"/>
        <family val="2"/>
      </rPr>
      <t>VSLstop_min</t>
    </r>
    <r>
      <rPr>
        <sz val="11"/>
        <color theme="1"/>
        <rFont val="Arial"/>
        <family val="2"/>
      </rPr>
      <t xml:space="preserve"> =</t>
    </r>
  </si>
  <si>
    <r>
      <t>I</t>
    </r>
    <r>
      <rPr>
        <vertAlign val="subscript"/>
        <sz val="11"/>
        <color theme="1"/>
        <rFont val="Arial"/>
        <family val="2"/>
      </rPr>
      <t>VSLstop_nom</t>
    </r>
    <r>
      <rPr>
        <sz val="11"/>
        <color theme="1"/>
        <rFont val="Arial"/>
        <family val="2"/>
      </rPr>
      <t xml:space="preserve"> =</t>
    </r>
  </si>
  <si>
    <r>
      <t>I</t>
    </r>
    <r>
      <rPr>
        <vertAlign val="subscript"/>
        <sz val="11"/>
        <color theme="1"/>
        <rFont val="Arial"/>
        <family val="2"/>
      </rPr>
      <t>VSLstop_max</t>
    </r>
    <r>
      <rPr>
        <sz val="11"/>
        <color theme="1"/>
        <rFont val="Arial"/>
        <family val="2"/>
      </rPr>
      <t xml:space="preserve"> =</t>
    </r>
  </si>
  <si>
    <r>
      <t>V</t>
    </r>
    <r>
      <rPr>
        <vertAlign val="subscript"/>
        <sz val="11"/>
        <color theme="1"/>
        <rFont val="Arial"/>
        <family val="2"/>
      </rPr>
      <t>BROWNOUTmin</t>
    </r>
    <r>
      <rPr>
        <sz val="11"/>
        <color theme="1"/>
        <rFont val="Arial"/>
        <family val="2"/>
      </rPr>
      <t xml:space="preserve"> =</t>
    </r>
  </si>
  <si>
    <r>
      <t>V</t>
    </r>
    <r>
      <rPr>
        <vertAlign val="subscript"/>
        <sz val="11"/>
        <color theme="1"/>
        <rFont val="Arial"/>
        <family val="2"/>
      </rPr>
      <t>BROWNOUTmax</t>
    </r>
    <r>
      <rPr>
        <sz val="11"/>
        <color theme="1"/>
        <rFont val="Arial"/>
        <family val="2"/>
      </rPr>
      <t xml:space="preserve"> =</t>
    </r>
  </si>
  <si>
    <r>
      <t>VOLTAGE SENSE DIVIDER, R</t>
    </r>
    <r>
      <rPr>
        <b/>
        <i/>
        <vertAlign val="subscript"/>
        <sz val="12"/>
        <color theme="0"/>
        <rFont val="Arial"/>
        <family val="2"/>
      </rPr>
      <t>VS1</t>
    </r>
    <r>
      <rPr>
        <b/>
        <i/>
        <sz val="12"/>
        <color theme="0"/>
        <rFont val="Arial"/>
        <family val="2"/>
      </rPr>
      <t>, R</t>
    </r>
    <r>
      <rPr>
        <b/>
        <i/>
        <vertAlign val="subscript"/>
        <sz val="12"/>
        <color theme="0"/>
        <rFont val="Arial"/>
        <family val="2"/>
      </rPr>
      <t>VS2</t>
    </r>
  </si>
  <si>
    <r>
      <t>R</t>
    </r>
    <r>
      <rPr>
        <vertAlign val="subscript"/>
        <sz val="11"/>
        <color theme="1"/>
        <rFont val="Arial"/>
        <family val="2"/>
      </rPr>
      <t>VS2recommended</t>
    </r>
    <r>
      <rPr>
        <sz val="11"/>
        <color theme="1"/>
        <rFont val="Arial"/>
        <family val="2"/>
      </rPr>
      <t xml:space="preserve"> =</t>
    </r>
  </si>
  <si>
    <r>
      <t>V</t>
    </r>
    <r>
      <rPr>
        <vertAlign val="subscript"/>
        <sz val="11"/>
        <color theme="1"/>
        <rFont val="Arial"/>
        <family val="2"/>
      </rPr>
      <t>OVPmin</t>
    </r>
    <r>
      <rPr>
        <sz val="11"/>
        <color theme="1"/>
        <rFont val="Arial"/>
        <family val="2"/>
      </rPr>
      <t xml:space="preserve"> =</t>
    </r>
  </si>
  <si>
    <t>Internal VS Over Voltage Threshold, Minimum</t>
  </si>
  <si>
    <t>Internal VS Over Voltage Threshold, Nominal</t>
  </si>
  <si>
    <r>
      <t>V</t>
    </r>
    <r>
      <rPr>
        <vertAlign val="subscript"/>
        <sz val="11"/>
        <color theme="1"/>
        <rFont val="Arial"/>
        <family val="2"/>
      </rPr>
      <t>OVPnom</t>
    </r>
    <r>
      <rPr>
        <sz val="11"/>
        <color theme="1"/>
        <rFont val="Arial"/>
        <family val="2"/>
      </rPr>
      <t xml:space="preserve"> =</t>
    </r>
  </si>
  <si>
    <t>Internal VS Over Voltage Threshold, Maximum</t>
  </si>
  <si>
    <r>
      <t>V</t>
    </r>
    <r>
      <rPr>
        <vertAlign val="subscript"/>
        <sz val="11"/>
        <color theme="1"/>
        <rFont val="Arial"/>
        <family val="2"/>
      </rPr>
      <t>OVPmax</t>
    </r>
    <r>
      <rPr>
        <sz val="11"/>
        <color theme="1"/>
        <rFont val="Arial"/>
        <family val="2"/>
      </rPr>
      <t xml:space="preserve"> =</t>
    </r>
  </si>
  <si>
    <t>Device Parameter</t>
  </si>
  <si>
    <t>kΩ</t>
  </si>
  <si>
    <r>
      <rPr>
        <b/>
        <sz val="11"/>
        <color theme="1"/>
        <rFont val="Arial"/>
        <family val="2"/>
      </rPr>
      <t>Recommended</t>
    </r>
    <r>
      <rPr>
        <sz val="11"/>
        <color theme="1"/>
        <rFont val="Arial"/>
        <family val="2"/>
      </rPr>
      <t xml:space="preserve"> Value for R</t>
    </r>
    <r>
      <rPr>
        <vertAlign val="subscript"/>
        <sz val="11"/>
        <color theme="1"/>
        <rFont val="Arial"/>
        <family val="2"/>
      </rPr>
      <t>VS2</t>
    </r>
    <r>
      <rPr>
        <sz val="11"/>
        <color theme="1"/>
        <rFont val="Arial"/>
        <family val="2"/>
      </rPr>
      <t>, R</t>
    </r>
    <r>
      <rPr>
        <vertAlign val="subscript"/>
        <sz val="11"/>
        <color theme="1"/>
        <rFont val="Arial"/>
        <family val="2"/>
      </rPr>
      <t>VS2</t>
    </r>
    <r>
      <rPr>
        <sz val="11"/>
        <color theme="1"/>
        <rFont val="Arial"/>
        <family val="2"/>
      </rPr>
      <t xml:space="preserve"> =</t>
    </r>
  </si>
  <si>
    <r>
      <t>Recommended R</t>
    </r>
    <r>
      <rPr>
        <vertAlign val="subscript"/>
        <sz val="11"/>
        <color theme="1"/>
        <rFont val="Arial"/>
        <family val="2"/>
      </rPr>
      <t>VS1</t>
    </r>
  </si>
  <si>
    <r>
      <t>Enter Actual R</t>
    </r>
    <r>
      <rPr>
        <vertAlign val="subscript"/>
        <sz val="11"/>
        <color theme="1"/>
        <rFont val="Arial"/>
        <family val="2"/>
      </rPr>
      <t>VS1</t>
    </r>
    <r>
      <rPr>
        <sz val="11"/>
        <color theme="1"/>
        <rFont val="Arial"/>
        <family val="2"/>
      </rPr>
      <t xml:space="preserve"> Used</t>
    </r>
  </si>
  <si>
    <t>Output Over Voltage Protection</t>
  </si>
  <si>
    <r>
      <t>R</t>
    </r>
    <r>
      <rPr>
        <vertAlign val="subscript"/>
        <sz val="11"/>
        <color theme="1"/>
        <rFont val="Arial"/>
        <family val="2"/>
      </rPr>
      <t>VS2actual</t>
    </r>
    <r>
      <rPr>
        <sz val="11"/>
        <color theme="1"/>
        <rFont val="Arial"/>
        <family val="2"/>
      </rPr>
      <t xml:space="preserve"> =</t>
    </r>
  </si>
  <si>
    <r>
      <rPr>
        <b/>
        <sz val="11"/>
        <color theme="1"/>
        <rFont val="Arial"/>
        <family val="2"/>
      </rPr>
      <t xml:space="preserve">Actual </t>
    </r>
    <r>
      <rPr>
        <sz val="11"/>
        <color theme="1"/>
        <rFont val="Arial"/>
        <family val="2"/>
      </rPr>
      <t>Resistor Value Used for Desired Output Over Voltage Limit</t>
    </r>
  </si>
  <si>
    <r>
      <t>R</t>
    </r>
    <r>
      <rPr>
        <vertAlign val="subscript"/>
        <sz val="11"/>
        <color theme="1"/>
        <rFont val="Arial"/>
        <family val="2"/>
      </rPr>
      <t>VS2</t>
    </r>
    <r>
      <rPr>
        <sz val="11"/>
        <color theme="1"/>
        <rFont val="Arial"/>
        <family val="2"/>
      </rPr>
      <t xml:space="preserve"> =</t>
    </r>
  </si>
  <si>
    <r>
      <rPr>
        <b/>
        <sz val="11"/>
        <color theme="1"/>
        <rFont val="Arial"/>
        <family val="2"/>
      </rPr>
      <t>Actual</t>
    </r>
    <r>
      <rPr>
        <sz val="11"/>
        <color theme="1"/>
        <rFont val="Arial"/>
        <family val="2"/>
      </rPr>
      <t xml:space="preserve"> Value for R</t>
    </r>
    <r>
      <rPr>
        <vertAlign val="subscript"/>
        <sz val="11"/>
        <color theme="1"/>
        <rFont val="Arial"/>
        <family val="2"/>
      </rPr>
      <t>VS1</t>
    </r>
    <r>
      <rPr>
        <sz val="11"/>
        <color theme="1"/>
        <rFont val="Arial"/>
        <family val="2"/>
      </rPr>
      <t>, R</t>
    </r>
    <r>
      <rPr>
        <vertAlign val="subscript"/>
        <sz val="11"/>
        <color theme="1"/>
        <rFont val="Arial"/>
        <family val="2"/>
      </rPr>
      <t>VS1</t>
    </r>
    <r>
      <rPr>
        <sz val="11"/>
        <color theme="1"/>
        <rFont val="Arial"/>
        <family val="2"/>
      </rPr>
      <t xml:space="preserve"> =</t>
    </r>
  </si>
  <si>
    <r>
      <t>Recommended R</t>
    </r>
    <r>
      <rPr>
        <vertAlign val="subscript"/>
        <sz val="11"/>
        <color theme="1"/>
        <rFont val="Arial"/>
        <family val="2"/>
      </rPr>
      <t>VS2</t>
    </r>
  </si>
  <si>
    <r>
      <t>Enter Actual R</t>
    </r>
    <r>
      <rPr>
        <vertAlign val="subscript"/>
        <sz val="11"/>
        <color theme="1"/>
        <rFont val="Arial"/>
        <family val="2"/>
      </rPr>
      <t>VS2</t>
    </r>
    <r>
      <rPr>
        <sz val="11"/>
        <color theme="1"/>
        <rFont val="Arial"/>
        <family val="2"/>
      </rPr>
      <t xml:space="preserve"> Used</t>
    </r>
  </si>
  <si>
    <r>
      <rPr>
        <b/>
        <sz val="11"/>
        <color theme="1"/>
        <rFont val="Arial"/>
        <family val="2"/>
      </rPr>
      <t>Actual</t>
    </r>
    <r>
      <rPr>
        <sz val="11"/>
        <color theme="1"/>
        <rFont val="Arial"/>
        <family val="2"/>
      </rPr>
      <t xml:space="preserve"> Value for R</t>
    </r>
    <r>
      <rPr>
        <vertAlign val="subscript"/>
        <sz val="11"/>
        <color theme="1"/>
        <rFont val="Arial"/>
        <family val="2"/>
      </rPr>
      <t>VS2</t>
    </r>
    <r>
      <rPr>
        <sz val="11"/>
        <color theme="1"/>
        <rFont val="Arial"/>
        <family val="2"/>
      </rPr>
      <t>, R</t>
    </r>
    <r>
      <rPr>
        <vertAlign val="subscript"/>
        <sz val="11"/>
        <color theme="1"/>
        <rFont val="Arial"/>
        <family val="2"/>
      </rPr>
      <t>VS2</t>
    </r>
    <r>
      <rPr>
        <sz val="11"/>
        <color theme="1"/>
        <rFont val="Arial"/>
        <family val="2"/>
      </rPr>
      <t xml:space="preserve"> =</t>
    </r>
  </si>
  <si>
    <r>
      <t>R</t>
    </r>
    <r>
      <rPr>
        <vertAlign val="subscript"/>
        <sz val="11"/>
        <color theme="1"/>
        <rFont val="Arial"/>
        <family val="2"/>
      </rPr>
      <t>VS2</t>
    </r>
    <r>
      <rPr>
        <sz val="11"/>
        <color theme="1"/>
        <rFont val="Arial"/>
        <family val="2"/>
      </rPr>
      <t xml:space="preserve"> Used in Calculations</t>
    </r>
  </si>
  <si>
    <t>Resultant Input Brown Out Voltage, Nominal</t>
  </si>
  <si>
    <t>Resultant Output Over Voltage Threshold, Minimum</t>
  </si>
  <si>
    <r>
      <t>V</t>
    </r>
    <r>
      <rPr>
        <vertAlign val="subscript"/>
        <sz val="11"/>
        <color theme="1"/>
        <rFont val="Arial"/>
        <family val="2"/>
      </rPr>
      <t>OUT_OVPmin</t>
    </r>
    <r>
      <rPr>
        <sz val="11"/>
        <color theme="1"/>
        <rFont val="Arial"/>
        <family val="2"/>
      </rPr>
      <t xml:space="preserve"> =</t>
    </r>
  </si>
  <si>
    <t>Resultant Output Over Voltage Threshold, Nominal</t>
  </si>
  <si>
    <r>
      <t>V</t>
    </r>
    <r>
      <rPr>
        <vertAlign val="subscript"/>
        <sz val="11"/>
        <color theme="1"/>
        <rFont val="Arial"/>
        <family val="2"/>
      </rPr>
      <t>OUT_OVPmax</t>
    </r>
    <r>
      <rPr>
        <sz val="11"/>
        <color theme="1"/>
        <rFont val="Arial"/>
        <family val="2"/>
      </rPr>
      <t xml:space="preserve"> =</t>
    </r>
  </si>
  <si>
    <t>Resultant Output Over Voltage Threshold, Maximum</t>
  </si>
  <si>
    <r>
      <t xml:space="preserve"> V</t>
    </r>
    <r>
      <rPr>
        <vertAlign val="subscript"/>
        <sz val="11"/>
        <rFont val="Arial"/>
        <family val="2"/>
      </rPr>
      <t>INPUTmin</t>
    </r>
    <r>
      <rPr>
        <sz val="11"/>
        <rFont val="Arial"/>
        <family val="2"/>
      </rPr>
      <t xml:space="preserve"> =</t>
    </r>
  </si>
  <si>
    <r>
      <t>V</t>
    </r>
    <r>
      <rPr>
        <vertAlign val="subscript"/>
        <sz val="11"/>
        <rFont val="Arial"/>
        <family val="2"/>
      </rPr>
      <t>INPUTmax</t>
    </r>
    <r>
      <rPr>
        <sz val="11"/>
        <rFont val="Arial"/>
        <family val="2"/>
      </rPr>
      <t xml:space="preserve"> =</t>
    </r>
  </si>
  <si>
    <r>
      <t>V</t>
    </r>
    <r>
      <rPr>
        <vertAlign val="subscript"/>
        <sz val="11"/>
        <rFont val="Arial"/>
        <family val="2"/>
      </rPr>
      <t>INPUTnom</t>
    </r>
    <r>
      <rPr>
        <sz val="11"/>
        <rFont val="Arial"/>
        <family val="2"/>
      </rPr>
      <t xml:space="preserve"> =</t>
    </r>
  </si>
  <si>
    <r>
      <t xml:space="preserve"> f</t>
    </r>
    <r>
      <rPr>
        <vertAlign val="subscript"/>
        <sz val="11"/>
        <rFont val="Arial"/>
        <family val="2"/>
      </rPr>
      <t>LINEmin</t>
    </r>
    <r>
      <rPr>
        <sz val="11"/>
        <rFont val="Arial"/>
        <family val="2"/>
      </rPr>
      <t xml:space="preserve"> =</t>
    </r>
  </si>
  <si>
    <r>
      <t>V</t>
    </r>
    <r>
      <rPr>
        <vertAlign val="subscript"/>
        <sz val="11"/>
        <rFont val="Arial"/>
        <family val="2"/>
      </rPr>
      <t>INPUTrun</t>
    </r>
    <r>
      <rPr>
        <sz val="11"/>
        <rFont val="Arial"/>
        <family val="2"/>
      </rPr>
      <t xml:space="preserve"> =</t>
    </r>
  </si>
  <si>
    <r>
      <t>V</t>
    </r>
    <r>
      <rPr>
        <vertAlign val="subscript"/>
        <sz val="11"/>
        <rFont val="Arial"/>
        <family val="2"/>
      </rPr>
      <t>OUT_CV</t>
    </r>
    <r>
      <rPr>
        <sz val="11"/>
        <rFont val="Arial"/>
        <family val="2"/>
      </rPr>
      <t xml:space="preserve"> =</t>
    </r>
  </si>
  <si>
    <r>
      <t>I</t>
    </r>
    <r>
      <rPr>
        <vertAlign val="subscript"/>
        <sz val="11"/>
        <rFont val="Arial"/>
        <family val="2"/>
      </rPr>
      <t>OCC_target</t>
    </r>
    <r>
      <rPr>
        <sz val="11"/>
        <rFont val="Arial"/>
        <family val="2"/>
      </rPr>
      <t xml:space="preserve"> =</t>
    </r>
  </si>
  <si>
    <r>
      <t>V</t>
    </r>
    <r>
      <rPr>
        <vertAlign val="subscript"/>
        <sz val="11"/>
        <rFont val="Arial"/>
        <family val="2"/>
      </rPr>
      <t>OUT_CC</t>
    </r>
    <r>
      <rPr>
        <sz val="11"/>
        <rFont val="Arial"/>
        <family val="2"/>
      </rPr>
      <t xml:space="preserve"> =</t>
    </r>
  </si>
  <si>
    <r>
      <t>V</t>
    </r>
    <r>
      <rPr>
        <vertAlign val="subscript"/>
        <sz val="11"/>
        <rFont val="Arial"/>
        <family val="2"/>
      </rPr>
      <t>OUTΔ</t>
    </r>
    <r>
      <rPr>
        <sz val="11"/>
        <rFont val="Arial"/>
        <family val="2"/>
      </rPr>
      <t xml:space="preserve"> =</t>
    </r>
  </si>
  <si>
    <r>
      <t>V</t>
    </r>
    <r>
      <rPr>
        <vertAlign val="subscript"/>
        <sz val="11"/>
        <rFont val="Arial"/>
        <family val="2"/>
      </rPr>
      <t>RIPPLE</t>
    </r>
    <r>
      <rPr>
        <sz val="11"/>
        <rFont val="Arial"/>
        <family val="2"/>
      </rPr>
      <t xml:space="preserve"> =</t>
    </r>
  </si>
  <si>
    <r>
      <t>I</t>
    </r>
    <r>
      <rPr>
        <vertAlign val="subscript"/>
        <sz val="11"/>
        <rFont val="Arial"/>
        <family val="2"/>
      </rPr>
      <t>TRAN</t>
    </r>
    <r>
      <rPr>
        <sz val="11"/>
        <rFont val="Arial"/>
        <family val="2"/>
      </rPr>
      <t xml:space="preserve"> =</t>
    </r>
  </si>
  <si>
    <r>
      <t>t</t>
    </r>
    <r>
      <rPr>
        <vertAlign val="subscript"/>
        <sz val="11"/>
        <rFont val="Arial"/>
        <family val="2"/>
      </rPr>
      <t>RESP</t>
    </r>
    <r>
      <rPr>
        <sz val="11"/>
        <rFont val="Arial"/>
        <family val="2"/>
      </rPr>
      <t xml:space="preserve"> =</t>
    </r>
  </si>
  <si>
    <r>
      <t>V</t>
    </r>
    <r>
      <rPr>
        <vertAlign val="subscript"/>
        <sz val="11"/>
        <rFont val="Arial"/>
        <family val="2"/>
      </rPr>
      <t>OUT_OVP</t>
    </r>
    <r>
      <rPr>
        <sz val="11"/>
        <rFont val="Arial"/>
        <family val="2"/>
      </rPr>
      <t xml:space="preserve"> =</t>
    </r>
  </si>
  <si>
    <t>A/A</t>
  </si>
  <si>
    <r>
      <t>K</t>
    </r>
    <r>
      <rPr>
        <vertAlign val="subscript"/>
        <sz val="11"/>
        <color theme="1"/>
        <rFont val="Arial"/>
        <family val="2"/>
      </rPr>
      <t>LCnom</t>
    </r>
    <r>
      <rPr>
        <sz val="11"/>
        <color theme="1"/>
        <rFont val="Arial"/>
        <family val="2"/>
      </rPr>
      <t xml:space="preserve"> =</t>
    </r>
  </si>
  <si>
    <t>Line Compensation Current Ratio, Nominal</t>
  </si>
  <si>
    <r>
      <t>MOSFET Turn Off Delay Time, t</t>
    </r>
    <r>
      <rPr>
        <vertAlign val="subscript"/>
        <sz val="11"/>
        <color theme="1"/>
        <rFont val="Arial"/>
        <family val="2"/>
      </rPr>
      <t>Doff</t>
    </r>
    <r>
      <rPr>
        <sz val="11"/>
        <color theme="1"/>
        <rFont val="Arial"/>
        <family val="2"/>
      </rPr>
      <t xml:space="preserve"> =</t>
    </r>
  </si>
  <si>
    <t>MOSFET Turn Off Delay Time</t>
  </si>
  <si>
    <r>
      <t>t</t>
    </r>
    <r>
      <rPr>
        <vertAlign val="subscript"/>
        <sz val="11"/>
        <color theme="1"/>
        <rFont val="Arial"/>
        <family val="2"/>
      </rPr>
      <t>Doff</t>
    </r>
    <r>
      <rPr>
        <sz val="11"/>
        <color theme="1"/>
        <rFont val="Arial"/>
        <family val="2"/>
      </rPr>
      <t xml:space="preserve"> =</t>
    </r>
  </si>
  <si>
    <r>
      <t>t</t>
    </r>
    <r>
      <rPr>
        <vertAlign val="subscript"/>
        <sz val="11"/>
        <color theme="1"/>
        <rFont val="Arial"/>
        <family val="2"/>
      </rPr>
      <t>DELAY</t>
    </r>
    <r>
      <rPr>
        <sz val="11"/>
        <color theme="1"/>
        <rFont val="Arial"/>
        <family val="2"/>
      </rPr>
      <t xml:space="preserve"> =</t>
    </r>
  </si>
  <si>
    <t>Total Estimated Current Sense Delay</t>
  </si>
  <si>
    <r>
      <rPr>
        <b/>
        <sz val="11"/>
        <color theme="1"/>
        <rFont val="Arial"/>
        <family val="2"/>
      </rPr>
      <t>Recommended</t>
    </r>
    <r>
      <rPr>
        <sz val="11"/>
        <color theme="1"/>
        <rFont val="Arial"/>
        <family val="2"/>
      </rPr>
      <t xml:space="preserve"> Resistor Value for Desired Output Over Voltage Limit</t>
    </r>
  </si>
  <si>
    <r>
      <t>R</t>
    </r>
    <r>
      <rPr>
        <vertAlign val="subscript"/>
        <sz val="11"/>
        <color theme="1"/>
        <rFont val="Arial"/>
        <family val="2"/>
      </rPr>
      <t>LC</t>
    </r>
    <r>
      <rPr>
        <sz val="11"/>
        <color theme="1"/>
        <rFont val="Arial"/>
        <family val="2"/>
      </rPr>
      <t xml:space="preserve"> =</t>
    </r>
  </si>
  <si>
    <r>
      <rPr>
        <b/>
        <sz val="11"/>
        <rFont val="Arial"/>
        <family val="2"/>
      </rPr>
      <t>Recommended</t>
    </r>
    <r>
      <rPr>
        <sz val="11"/>
        <rFont val="Arial"/>
        <family val="2"/>
      </rPr>
      <t xml:space="preserve"> Resistor Value for Line Compensation</t>
    </r>
  </si>
  <si>
    <r>
      <t>I</t>
    </r>
    <r>
      <rPr>
        <vertAlign val="subscript"/>
        <sz val="11"/>
        <color theme="1"/>
        <rFont val="Arial"/>
        <family val="2"/>
      </rPr>
      <t>RUNmax</t>
    </r>
    <r>
      <rPr>
        <sz val="11"/>
        <color theme="1"/>
        <rFont val="Arial"/>
        <family val="2"/>
      </rPr>
      <t xml:space="preserve"> =</t>
    </r>
  </si>
  <si>
    <r>
      <t>MOSFET Total Gate Charge, Q</t>
    </r>
    <r>
      <rPr>
        <vertAlign val="subscript"/>
        <sz val="11"/>
        <color theme="1"/>
        <rFont val="Arial"/>
        <family val="2"/>
      </rPr>
      <t>g</t>
    </r>
    <r>
      <rPr>
        <sz val="11"/>
        <color theme="1"/>
        <rFont val="Arial"/>
        <family val="2"/>
      </rPr>
      <t xml:space="preserve"> =</t>
    </r>
  </si>
  <si>
    <t>nC</t>
  </si>
  <si>
    <t>nC factor</t>
  </si>
  <si>
    <r>
      <rPr>
        <b/>
        <sz val="11"/>
        <rFont val="Arial"/>
        <family val="2"/>
      </rPr>
      <t>Recommended</t>
    </r>
    <r>
      <rPr>
        <sz val="11"/>
        <rFont val="Arial"/>
        <family val="2"/>
      </rPr>
      <t xml:space="preserve"> Minimum Required Output Capacitor With Opto-Coupled FeedBack</t>
    </r>
  </si>
  <si>
    <r>
      <t>Output Capacitor, C</t>
    </r>
    <r>
      <rPr>
        <b/>
        <vertAlign val="subscript"/>
        <sz val="11"/>
        <color theme="0"/>
        <rFont val="Arial"/>
        <family val="2"/>
      </rPr>
      <t>OUT</t>
    </r>
  </si>
  <si>
    <r>
      <rPr>
        <b/>
        <sz val="11"/>
        <color theme="1"/>
        <rFont val="Arial"/>
        <family val="2"/>
      </rPr>
      <t>Recommended</t>
    </r>
    <r>
      <rPr>
        <sz val="11"/>
        <color theme="1"/>
        <rFont val="Arial"/>
        <family val="2"/>
      </rPr>
      <t xml:space="preserve"> Minimum Output Capacitance, C</t>
    </r>
    <r>
      <rPr>
        <vertAlign val="subscript"/>
        <sz val="11"/>
        <color theme="1"/>
        <rFont val="Arial"/>
        <family val="2"/>
      </rPr>
      <t>OUT</t>
    </r>
    <r>
      <rPr>
        <sz val="11"/>
        <color theme="1"/>
        <rFont val="Arial"/>
        <family val="2"/>
      </rPr>
      <t xml:space="preserve"> =</t>
    </r>
  </si>
  <si>
    <r>
      <rPr>
        <b/>
        <sz val="11"/>
        <color theme="1"/>
        <rFont val="Arial"/>
        <family val="2"/>
      </rPr>
      <t>Actual</t>
    </r>
    <r>
      <rPr>
        <sz val="11"/>
        <color theme="1"/>
        <rFont val="Arial"/>
        <family val="2"/>
      </rPr>
      <t xml:space="preserve"> Minimum Output Capacitance, C</t>
    </r>
    <r>
      <rPr>
        <vertAlign val="subscript"/>
        <sz val="11"/>
        <color theme="1"/>
        <rFont val="Arial"/>
        <family val="2"/>
      </rPr>
      <t>OUT</t>
    </r>
    <r>
      <rPr>
        <sz val="11"/>
        <color theme="1"/>
        <rFont val="Arial"/>
        <family val="2"/>
      </rPr>
      <t xml:space="preserve"> =</t>
    </r>
  </si>
  <si>
    <r>
      <t>C</t>
    </r>
    <r>
      <rPr>
        <vertAlign val="subscript"/>
        <sz val="11"/>
        <rFont val="Arial"/>
        <family val="2"/>
      </rPr>
      <t>OUTrecommended</t>
    </r>
    <r>
      <rPr>
        <sz val="11"/>
        <rFont val="Arial"/>
        <family val="2"/>
      </rPr>
      <t>=</t>
    </r>
  </si>
  <si>
    <r>
      <rPr>
        <b/>
        <sz val="11"/>
        <rFont val="Arial"/>
        <family val="2"/>
      </rPr>
      <t>Actual</t>
    </r>
    <r>
      <rPr>
        <sz val="11"/>
        <rFont val="Arial"/>
        <family val="2"/>
      </rPr>
      <t xml:space="preserve"> Output Capacitance Used</t>
    </r>
  </si>
  <si>
    <r>
      <t>C</t>
    </r>
    <r>
      <rPr>
        <vertAlign val="subscript"/>
        <sz val="11"/>
        <rFont val="Arial"/>
        <family val="2"/>
      </rPr>
      <t>OUTactual</t>
    </r>
    <r>
      <rPr>
        <sz val="11"/>
        <rFont val="Arial"/>
        <family val="2"/>
      </rPr>
      <t xml:space="preserve"> =</t>
    </r>
  </si>
  <si>
    <r>
      <rPr>
        <sz val="11"/>
        <rFont val="Calibri"/>
        <family val="2"/>
      </rPr>
      <t>µ</t>
    </r>
    <r>
      <rPr>
        <sz val="11"/>
        <rFont val="Arial"/>
        <family val="2"/>
      </rPr>
      <t>F</t>
    </r>
  </si>
  <si>
    <r>
      <t>C</t>
    </r>
    <r>
      <rPr>
        <vertAlign val="subscript"/>
        <sz val="11"/>
        <rFont val="Arial"/>
        <family val="2"/>
      </rPr>
      <t>OUT</t>
    </r>
    <r>
      <rPr>
        <sz val="11"/>
        <rFont val="Arial"/>
        <family val="2"/>
      </rPr>
      <t xml:space="preserve"> Used in Calculations</t>
    </r>
  </si>
  <si>
    <r>
      <rPr>
        <b/>
        <sz val="11"/>
        <color theme="1"/>
        <rFont val="Arial"/>
        <family val="2"/>
      </rPr>
      <t>Recommended</t>
    </r>
    <r>
      <rPr>
        <sz val="11"/>
        <color theme="1"/>
        <rFont val="Arial"/>
        <family val="2"/>
      </rPr>
      <t xml:space="preserve"> Maximum ESR, ESR</t>
    </r>
    <r>
      <rPr>
        <vertAlign val="subscript"/>
        <sz val="11"/>
        <color theme="1"/>
        <rFont val="Arial"/>
        <family val="2"/>
      </rPr>
      <t>Cout</t>
    </r>
    <r>
      <rPr>
        <sz val="11"/>
        <color theme="1"/>
        <rFont val="Arial"/>
        <family val="2"/>
      </rPr>
      <t xml:space="preserve"> =</t>
    </r>
  </si>
  <si>
    <r>
      <t>ESR</t>
    </r>
    <r>
      <rPr>
        <vertAlign val="subscript"/>
        <sz val="11"/>
        <rFont val="Arial"/>
        <family val="2"/>
      </rPr>
      <t>Coutrecommended</t>
    </r>
    <r>
      <rPr>
        <sz val="11"/>
        <rFont val="Arial"/>
        <family val="2"/>
      </rPr>
      <t xml:space="preserve"> =</t>
    </r>
  </si>
  <si>
    <r>
      <rPr>
        <b/>
        <sz val="11"/>
        <rFont val="Arial"/>
        <family val="2"/>
      </rPr>
      <t>Recommended</t>
    </r>
    <r>
      <rPr>
        <sz val="11"/>
        <rFont val="Arial"/>
        <family val="2"/>
      </rPr>
      <t xml:space="preserve"> Maximum ESR</t>
    </r>
  </si>
  <si>
    <r>
      <rPr>
        <b/>
        <sz val="11"/>
        <rFont val="Arial"/>
        <family val="2"/>
      </rPr>
      <t>Actual</t>
    </r>
    <r>
      <rPr>
        <sz val="11"/>
        <rFont val="Arial"/>
        <family val="2"/>
      </rPr>
      <t xml:space="preserve"> ESR of C</t>
    </r>
    <r>
      <rPr>
        <vertAlign val="subscript"/>
        <sz val="11"/>
        <rFont val="Arial"/>
        <family val="2"/>
      </rPr>
      <t>OUT</t>
    </r>
    <r>
      <rPr>
        <sz val="11"/>
        <rFont val="Arial"/>
        <family val="2"/>
      </rPr>
      <t xml:space="preserve"> Used</t>
    </r>
  </si>
  <si>
    <r>
      <t>ESR</t>
    </r>
    <r>
      <rPr>
        <vertAlign val="subscript"/>
        <sz val="11"/>
        <rFont val="Arial"/>
        <family val="2"/>
      </rPr>
      <t>Coutactual</t>
    </r>
    <r>
      <rPr>
        <sz val="11"/>
        <rFont val="Arial"/>
        <family val="2"/>
      </rPr>
      <t xml:space="preserve"> =</t>
    </r>
  </si>
  <si>
    <t>Recommended ESR</t>
  </si>
  <si>
    <r>
      <t>Recommended C</t>
    </r>
    <r>
      <rPr>
        <vertAlign val="subscript"/>
        <sz val="11"/>
        <color theme="1"/>
        <rFont val="Arial"/>
        <family val="2"/>
      </rPr>
      <t>OUT</t>
    </r>
  </si>
  <si>
    <r>
      <t>Enter Actual C</t>
    </r>
    <r>
      <rPr>
        <vertAlign val="subscript"/>
        <sz val="11"/>
        <color theme="1"/>
        <rFont val="Arial"/>
        <family val="2"/>
      </rPr>
      <t>OUT</t>
    </r>
    <r>
      <rPr>
        <sz val="11"/>
        <color theme="1"/>
        <rFont val="Arial"/>
        <family val="2"/>
      </rPr>
      <t xml:space="preserve"> Used</t>
    </r>
  </si>
  <si>
    <r>
      <t>Enter Actual ESR of C</t>
    </r>
    <r>
      <rPr>
        <vertAlign val="subscript"/>
        <sz val="11"/>
        <color theme="1"/>
        <rFont val="Arial"/>
        <family val="2"/>
      </rPr>
      <t>OUT</t>
    </r>
    <r>
      <rPr>
        <sz val="11"/>
        <color theme="1"/>
        <rFont val="Arial"/>
        <family val="2"/>
      </rPr>
      <t xml:space="preserve"> Used</t>
    </r>
  </si>
  <si>
    <t>ESR Used in Calculations</t>
  </si>
  <si>
    <t>Resultant Output Voltage Peak to Peak Ripple</t>
  </si>
  <si>
    <t>Device Supply Current During Run Mode, Maximum</t>
  </si>
  <si>
    <r>
      <t>VDD</t>
    </r>
    <r>
      <rPr>
        <vertAlign val="subscript"/>
        <sz val="11"/>
        <color theme="1"/>
        <rFont val="Arial"/>
        <family val="2"/>
      </rPr>
      <t>ON</t>
    </r>
    <r>
      <rPr>
        <sz val="11"/>
        <color theme="1"/>
        <rFont val="Arial"/>
        <family val="2"/>
      </rPr>
      <t xml:space="preserve"> Voltage, Maximum</t>
    </r>
  </si>
  <si>
    <r>
      <t>VDD</t>
    </r>
    <r>
      <rPr>
        <vertAlign val="subscript"/>
        <sz val="11"/>
        <color theme="1"/>
        <rFont val="Arial"/>
        <family val="2"/>
      </rPr>
      <t>ONmax</t>
    </r>
    <r>
      <rPr>
        <sz val="11"/>
        <color theme="1"/>
        <rFont val="Arial"/>
        <family val="2"/>
      </rPr>
      <t xml:space="preserve"> =</t>
    </r>
  </si>
  <si>
    <r>
      <t>VDD</t>
    </r>
    <r>
      <rPr>
        <vertAlign val="subscript"/>
        <sz val="11"/>
        <color theme="1"/>
        <rFont val="Arial"/>
        <family val="2"/>
      </rPr>
      <t>OFFmax</t>
    </r>
    <r>
      <rPr>
        <sz val="11"/>
        <color theme="1"/>
        <rFont val="Arial"/>
        <family val="2"/>
      </rPr>
      <t xml:space="preserve"> =</t>
    </r>
  </si>
  <si>
    <r>
      <t>VDD</t>
    </r>
    <r>
      <rPr>
        <vertAlign val="subscript"/>
        <sz val="11"/>
        <color theme="1"/>
        <rFont val="Arial"/>
        <family val="2"/>
      </rPr>
      <t>OFF</t>
    </r>
    <r>
      <rPr>
        <sz val="11"/>
        <color theme="1"/>
        <rFont val="Arial"/>
        <family val="2"/>
      </rPr>
      <t xml:space="preserve"> Voltage, Maximum</t>
    </r>
  </si>
  <si>
    <t>Maximum Stand By Power Dissipation</t>
  </si>
  <si>
    <r>
      <t>P</t>
    </r>
    <r>
      <rPr>
        <vertAlign val="subscript"/>
        <sz val="11"/>
        <rFont val="Arial"/>
        <family val="2"/>
      </rPr>
      <t>SBtarget</t>
    </r>
    <r>
      <rPr>
        <sz val="11"/>
        <rFont val="Arial"/>
        <family val="2"/>
      </rPr>
      <t xml:space="preserve"> =</t>
    </r>
  </si>
  <si>
    <t>Estimated Minimum Switching Frequency at No-Load</t>
  </si>
  <si>
    <r>
      <t>f</t>
    </r>
    <r>
      <rPr>
        <vertAlign val="subscript"/>
        <sz val="11"/>
        <color theme="1"/>
        <rFont val="Arial"/>
        <family val="2"/>
      </rPr>
      <t>SWmin</t>
    </r>
    <r>
      <rPr>
        <sz val="11"/>
        <color theme="1"/>
        <rFont val="Arial"/>
        <family val="2"/>
      </rPr>
      <t xml:space="preserve"> =</t>
    </r>
  </si>
  <si>
    <t>Minimum VDD Capacitor for Start UP</t>
  </si>
  <si>
    <r>
      <t>C</t>
    </r>
    <r>
      <rPr>
        <vertAlign val="subscript"/>
        <sz val="11"/>
        <color theme="1"/>
        <rFont val="Arial"/>
        <family val="2"/>
      </rPr>
      <t>VDD1</t>
    </r>
    <r>
      <rPr>
        <sz val="11"/>
        <color theme="1"/>
        <rFont val="Arial"/>
        <family val="2"/>
      </rPr>
      <t xml:space="preserve"> =</t>
    </r>
  </si>
  <si>
    <t>MOSFET Total Gate Charge</t>
  </si>
  <si>
    <r>
      <t>Q</t>
    </r>
    <r>
      <rPr>
        <vertAlign val="subscript"/>
        <sz val="11"/>
        <color theme="1"/>
        <rFont val="Arial"/>
        <family val="2"/>
      </rPr>
      <t>g</t>
    </r>
    <r>
      <rPr>
        <sz val="11"/>
        <color theme="1"/>
        <rFont val="Arial"/>
        <family val="2"/>
      </rPr>
      <t xml:space="preserve"> =</t>
    </r>
  </si>
  <si>
    <r>
      <rPr>
        <sz val="11"/>
        <color theme="1"/>
        <rFont val="Calibri"/>
        <family val="2"/>
      </rPr>
      <t>µ</t>
    </r>
    <r>
      <rPr>
        <sz val="11"/>
        <color theme="1"/>
        <rFont val="Arial"/>
        <family val="2"/>
      </rPr>
      <t>F</t>
    </r>
  </si>
  <si>
    <r>
      <t>C</t>
    </r>
    <r>
      <rPr>
        <vertAlign val="subscript"/>
        <sz val="11"/>
        <color theme="1"/>
        <rFont val="Arial"/>
        <family val="2"/>
      </rPr>
      <t>VDD2</t>
    </r>
    <r>
      <rPr>
        <sz val="11"/>
        <color theme="1"/>
        <rFont val="Arial"/>
        <family val="2"/>
      </rPr>
      <t xml:space="preserve"> =</t>
    </r>
  </si>
  <si>
    <t>Estimated Over Voltage Charge Duration</t>
  </si>
  <si>
    <r>
      <t>t</t>
    </r>
    <r>
      <rPr>
        <vertAlign val="subscript"/>
        <sz val="11"/>
        <color theme="1"/>
        <rFont val="Arial"/>
        <family val="2"/>
      </rPr>
      <t>OV</t>
    </r>
    <r>
      <rPr>
        <sz val="11"/>
        <color theme="1"/>
        <rFont val="Arial"/>
        <family val="2"/>
      </rPr>
      <t xml:space="preserve"> =</t>
    </r>
  </si>
  <si>
    <r>
      <t>Recommeded R</t>
    </r>
    <r>
      <rPr>
        <vertAlign val="subscript"/>
        <sz val="11"/>
        <color theme="1"/>
        <rFont val="Arial"/>
        <family val="2"/>
      </rPr>
      <t>LC</t>
    </r>
  </si>
  <si>
    <r>
      <rPr>
        <b/>
        <sz val="11"/>
        <color theme="1"/>
        <rFont val="Arial"/>
        <family val="2"/>
      </rPr>
      <t>Recommended</t>
    </r>
    <r>
      <rPr>
        <sz val="11"/>
        <color theme="1"/>
        <rFont val="Arial"/>
        <family val="2"/>
      </rPr>
      <t xml:space="preserve"> Value for R</t>
    </r>
    <r>
      <rPr>
        <vertAlign val="subscript"/>
        <sz val="11"/>
        <color theme="1"/>
        <rFont val="Arial"/>
        <family val="2"/>
      </rPr>
      <t>LC</t>
    </r>
    <r>
      <rPr>
        <sz val="11"/>
        <color theme="1"/>
        <rFont val="Arial"/>
        <family val="2"/>
      </rPr>
      <t>, R</t>
    </r>
    <r>
      <rPr>
        <vertAlign val="subscript"/>
        <sz val="11"/>
        <color theme="1"/>
        <rFont val="Arial"/>
        <family val="2"/>
      </rPr>
      <t>LC</t>
    </r>
    <r>
      <rPr>
        <sz val="11"/>
        <color theme="1"/>
        <rFont val="Arial"/>
        <family val="2"/>
      </rPr>
      <t xml:space="preserve"> =</t>
    </r>
  </si>
  <si>
    <r>
      <rPr>
        <b/>
        <sz val="11"/>
        <color theme="1"/>
        <rFont val="Arial"/>
        <family val="2"/>
      </rPr>
      <t>Actual</t>
    </r>
    <r>
      <rPr>
        <sz val="11"/>
        <color theme="1"/>
        <rFont val="Arial"/>
        <family val="2"/>
      </rPr>
      <t xml:space="preserve"> Value for R</t>
    </r>
    <r>
      <rPr>
        <vertAlign val="subscript"/>
        <sz val="11"/>
        <color theme="1"/>
        <rFont val="Arial"/>
        <family val="2"/>
      </rPr>
      <t>LC</t>
    </r>
    <r>
      <rPr>
        <sz val="11"/>
        <color theme="1"/>
        <rFont val="Arial"/>
        <family val="2"/>
      </rPr>
      <t>, R</t>
    </r>
    <r>
      <rPr>
        <vertAlign val="subscript"/>
        <sz val="11"/>
        <color theme="1"/>
        <rFont val="Arial"/>
        <family val="2"/>
      </rPr>
      <t>LC</t>
    </r>
    <r>
      <rPr>
        <sz val="11"/>
        <color theme="1"/>
        <rFont val="Arial"/>
        <family val="2"/>
      </rPr>
      <t xml:space="preserve"> =</t>
    </r>
  </si>
  <si>
    <r>
      <rPr>
        <b/>
        <sz val="11"/>
        <rFont val="Arial"/>
        <family val="2"/>
      </rPr>
      <t>Actual</t>
    </r>
    <r>
      <rPr>
        <sz val="11"/>
        <rFont val="Arial"/>
        <family val="2"/>
      </rPr>
      <t xml:space="preserve"> Resistor Value Used for Line Compensation</t>
    </r>
  </si>
  <si>
    <r>
      <t>R</t>
    </r>
    <r>
      <rPr>
        <vertAlign val="subscript"/>
        <sz val="11"/>
        <color theme="1"/>
        <rFont val="Arial"/>
        <family val="2"/>
      </rPr>
      <t>LCrecommended</t>
    </r>
    <r>
      <rPr>
        <sz val="11"/>
        <color theme="1"/>
        <rFont val="Arial"/>
        <family val="2"/>
      </rPr>
      <t xml:space="preserve"> =</t>
    </r>
  </si>
  <si>
    <r>
      <t>R</t>
    </r>
    <r>
      <rPr>
        <vertAlign val="subscript"/>
        <sz val="11"/>
        <color theme="1"/>
        <rFont val="Arial"/>
        <family val="2"/>
      </rPr>
      <t>LCactual</t>
    </r>
    <r>
      <rPr>
        <sz val="11"/>
        <color theme="1"/>
        <rFont val="Arial"/>
        <family val="2"/>
      </rPr>
      <t xml:space="preserve"> =</t>
    </r>
  </si>
  <si>
    <r>
      <t>R</t>
    </r>
    <r>
      <rPr>
        <vertAlign val="subscript"/>
        <sz val="11"/>
        <rFont val="Arial"/>
        <family val="2"/>
      </rPr>
      <t>LC</t>
    </r>
    <r>
      <rPr>
        <sz val="11"/>
        <rFont val="Arial"/>
        <family val="2"/>
      </rPr>
      <t xml:space="preserve"> Used in Calculations</t>
    </r>
  </si>
  <si>
    <t>Minimum VDD Capacitor for Target Ripple on VDD</t>
  </si>
  <si>
    <r>
      <t>C</t>
    </r>
    <r>
      <rPr>
        <vertAlign val="subscript"/>
        <sz val="11"/>
        <color theme="1"/>
        <rFont val="Arial"/>
        <family val="2"/>
      </rPr>
      <t>VDD3</t>
    </r>
    <r>
      <rPr>
        <sz val="11"/>
        <color theme="1"/>
        <rFont val="Arial"/>
        <family val="2"/>
      </rPr>
      <t xml:space="preserve"> =</t>
    </r>
  </si>
  <si>
    <t>Minimum VDD Capacitor for Load Transient</t>
  </si>
  <si>
    <r>
      <t>C</t>
    </r>
    <r>
      <rPr>
        <vertAlign val="subscript"/>
        <sz val="11"/>
        <color theme="1"/>
        <rFont val="Arial"/>
        <family val="2"/>
      </rPr>
      <t>VDDrecommended</t>
    </r>
    <r>
      <rPr>
        <sz val="11"/>
        <color theme="1"/>
        <rFont val="Arial"/>
        <family val="2"/>
      </rPr>
      <t xml:space="preserve"> =</t>
    </r>
  </si>
  <si>
    <r>
      <t>C</t>
    </r>
    <r>
      <rPr>
        <vertAlign val="subscript"/>
        <sz val="11"/>
        <color theme="1"/>
        <rFont val="Arial"/>
        <family val="2"/>
      </rPr>
      <t>VDD</t>
    </r>
    <r>
      <rPr>
        <sz val="11"/>
        <color theme="1"/>
        <rFont val="Arial"/>
        <family val="2"/>
      </rPr>
      <t xml:space="preserve"> Calculations:</t>
    </r>
  </si>
  <si>
    <r>
      <t>C</t>
    </r>
    <r>
      <rPr>
        <vertAlign val="subscript"/>
        <sz val="11"/>
        <color theme="1"/>
        <rFont val="Arial"/>
        <family val="2"/>
      </rPr>
      <t>VDD1</t>
    </r>
    <r>
      <rPr>
        <sz val="11"/>
        <color theme="1"/>
        <rFont val="Arial"/>
        <family val="2"/>
      </rPr>
      <t>:</t>
    </r>
  </si>
  <si>
    <r>
      <t>C</t>
    </r>
    <r>
      <rPr>
        <vertAlign val="subscript"/>
        <sz val="11"/>
        <color theme="1"/>
        <rFont val="Arial"/>
        <family val="2"/>
      </rPr>
      <t>VDD2</t>
    </r>
    <r>
      <rPr>
        <sz val="11"/>
        <color theme="1"/>
        <rFont val="Arial"/>
        <family val="2"/>
      </rPr>
      <t>:</t>
    </r>
  </si>
  <si>
    <r>
      <t>C</t>
    </r>
    <r>
      <rPr>
        <vertAlign val="subscript"/>
        <sz val="11"/>
        <color theme="1"/>
        <rFont val="Arial"/>
        <family val="2"/>
      </rPr>
      <t>VDD3</t>
    </r>
    <r>
      <rPr>
        <sz val="11"/>
        <color theme="1"/>
        <rFont val="Arial"/>
        <family val="2"/>
      </rPr>
      <t>:</t>
    </r>
  </si>
  <si>
    <r>
      <rPr>
        <b/>
        <sz val="11"/>
        <color theme="1"/>
        <rFont val="Arial"/>
        <family val="2"/>
      </rPr>
      <t xml:space="preserve">Recommended </t>
    </r>
    <r>
      <rPr>
        <sz val="11"/>
        <color theme="1"/>
        <rFont val="Arial"/>
        <family val="2"/>
      </rPr>
      <t>Capacitor on VDD</t>
    </r>
  </si>
  <si>
    <r>
      <t>C</t>
    </r>
    <r>
      <rPr>
        <vertAlign val="subscript"/>
        <sz val="11"/>
        <color theme="1"/>
        <rFont val="Arial"/>
        <family val="2"/>
      </rPr>
      <t>OUT</t>
    </r>
    <r>
      <rPr>
        <sz val="11"/>
        <color theme="1"/>
        <rFont val="Arial"/>
        <family val="2"/>
      </rPr>
      <t xml:space="preserve"> Calculations:</t>
    </r>
  </si>
  <si>
    <r>
      <t>C</t>
    </r>
    <r>
      <rPr>
        <vertAlign val="subscript"/>
        <sz val="11"/>
        <color theme="1"/>
        <rFont val="Arial"/>
        <family val="2"/>
      </rPr>
      <t>OUT</t>
    </r>
    <r>
      <rPr>
        <sz val="11"/>
        <color theme="1"/>
        <rFont val="Arial"/>
        <family val="2"/>
      </rPr>
      <t>:</t>
    </r>
  </si>
  <si>
    <r>
      <t>R</t>
    </r>
    <r>
      <rPr>
        <vertAlign val="subscript"/>
        <sz val="11"/>
        <color theme="1"/>
        <rFont val="Arial"/>
        <family val="2"/>
      </rPr>
      <t>VS1</t>
    </r>
    <r>
      <rPr>
        <sz val="11"/>
        <color theme="1"/>
        <rFont val="Arial"/>
        <family val="2"/>
      </rPr>
      <t>:</t>
    </r>
  </si>
  <si>
    <r>
      <t>R</t>
    </r>
    <r>
      <rPr>
        <vertAlign val="subscript"/>
        <sz val="11"/>
        <color theme="1"/>
        <rFont val="Arial"/>
        <family val="2"/>
      </rPr>
      <t>VS2</t>
    </r>
    <r>
      <rPr>
        <sz val="11"/>
        <color theme="1"/>
        <rFont val="Arial"/>
        <family val="2"/>
      </rPr>
      <t>:</t>
    </r>
  </si>
  <si>
    <r>
      <t>R</t>
    </r>
    <r>
      <rPr>
        <vertAlign val="subscript"/>
        <sz val="11"/>
        <color theme="1"/>
        <rFont val="Arial"/>
        <family val="2"/>
      </rPr>
      <t>LC</t>
    </r>
    <r>
      <rPr>
        <sz val="11"/>
        <color theme="1"/>
        <rFont val="Arial"/>
        <family val="2"/>
      </rPr>
      <t>:</t>
    </r>
  </si>
  <si>
    <t>Reference Voltage of TL431 Shunt Regulator</t>
  </si>
  <si>
    <r>
      <t>VREF</t>
    </r>
    <r>
      <rPr>
        <vertAlign val="subscript"/>
        <sz val="11"/>
        <color theme="1"/>
        <rFont val="Arial"/>
        <family val="2"/>
      </rPr>
      <t>431</t>
    </r>
    <r>
      <rPr>
        <sz val="11"/>
        <color theme="1"/>
        <rFont val="Arial"/>
        <family val="2"/>
      </rPr>
      <t xml:space="preserve"> =</t>
    </r>
  </si>
  <si>
    <r>
      <t>R</t>
    </r>
    <r>
      <rPr>
        <vertAlign val="subscript"/>
        <sz val="11"/>
        <color theme="1"/>
        <rFont val="Arial"/>
        <family val="2"/>
      </rPr>
      <t>FB2</t>
    </r>
    <r>
      <rPr>
        <sz val="11"/>
        <color theme="1"/>
        <rFont val="Arial"/>
        <family val="2"/>
      </rPr>
      <t xml:space="preserve"> =</t>
    </r>
  </si>
  <si>
    <r>
      <t>I</t>
    </r>
    <r>
      <rPr>
        <vertAlign val="subscript"/>
        <sz val="11"/>
        <color theme="1"/>
        <rFont val="Arial"/>
        <family val="2"/>
      </rPr>
      <t>REF431</t>
    </r>
    <r>
      <rPr>
        <sz val="11"/>
        <color theme="1"/>
        <rFont val="Arial"/>
        <family val="2"/>
      </rPr>
      <t xml:space="preserve"> =</t>
    </r>
  </si>
  <si>
    <r>
      <t>R</t>
    </r>
    <r>
      <rPr>
        <vertAlign val="subscript"/>
        <sz val="11"/>
        <color theme="1"/>
        <rFont val="Arial"/>
        <family val="2"/>
      </rPr>
      <t>FB2</t>
    </r>
    <r>
      <rPr>
        <sz val="11"/>
        <color theme="1"/>
        <rFont val="Arial"/>
        <family val="2"/>
      </rPr>
      <t>:</t>
    </r>
  </si>
  <si>
    <r>
      <t>Output Over Voltage Resistor, R</t>
    </r>
    <r>
      <rPr>
        <b/>
        <vertAlign val="subscript"/>
        <sz val="11"/>
        <color theme="0"/>
        <rFont val="Arial"/>
        <family val="2"/>
      </rPr>
      <t>VS2</t>
    </r>
  </si>
  <si>
    <r>
      <t>Line Compensation Resistor, R</t>
    </r>
    <r>
      <rPr>
        <b/>
        <vertAlign val="subscript"/>
        <sz val="11"/>
        <color theme="0"/>
        <rFont val="Arial"/>
        <family val="2"/>
      </rPr>
      <t>LC</t>
    </r>
  </si>
  <si>
    <r>
      <t>R</t>
    </r>
    <r>
      <rPr>
        <vertAlign val="subscript"/>
        <sz val="11"/>
        <color theme="1"/>
        <rFont val="Arial"/>
        <family val="2"/>
      </rPr>
      <t>FB2recommended</t>
    </r>
    <r>
      <rPr>
        <sz val="11"/>
        <color theme="1"/>
        <rFont val="Arial"/>
        <family val="2"/>
      </rPr>
      <t xml:space="preserve"> =</t>
    </r>
  </si>
  <si>
    <r>
      <rPr>
        <b/>
        <sz val="11"/>
        <color theme="1"/>
        <rFont val="Arial"/>
        <family val="2"/>
      </rPr>
      <t>Recommended</t>
    </r>
    <r>
      <rPr>
        <sz val="11"/>
        <color theme="1"/>
        <rFont val="Arial"/>
        <family val="2"/>
      </rPr>
      <t xml:space="preserve"> Value for R</t>
    </r>
    <r>
      <rPr>
        <vertAlign val="subscript"/>
        <sz val="11"/>
        <color theme="1"/>
        <rFont val="Arial"/>
        <family val="2"/>
      </rPr>
      <t>FB2</t>
    </r>
    <r>
      <rPr>
        <sz val="11"/>
        <color theme="1"/>
        <rFont val="Arial"/>
        <family val="2"/>
      </rPr>
      <t>, R</t>
    </r>
    <r>
      <rPr>
        <vertAlign val="subscript"/>
        <sz val="11"/>
        <color theme="1"/>
        <rFont val="Arial"/>
        <family val="2"/>
      </rPr>
      <t>FB2</t>
    </r>
    <r>
      <rPr>
        <sz val="11"/>
        <color theme="1"/>
        <rFont val="Arial"/>
        <family val="2"/>
      </rPr>
      <t xml:space="preserve"> =</t>
    </r>
  </si>
  <si>
    <r>
      <t>Enter Actual R</t>
    </r>
    <r>
      <rPr>
        <vertAlign val="subscript"/>
        <sz val="11"/>
        <rFont val="Arial"/>
        <family val="2"/>
      </rPr>
      <t>LC</t>
    </r>
    <r>
      <rPr>
        <sz val="11"/>
        <rFont val="Arial"/>
        <family val="2"/>
      </rPr>
      <t xml:space="preserve"> Used</t>
    </r>
  </si>
  <si>
    <r>
      <t>Recommended R</t>
    </r>
    <r>
      <rPr>
        <vertAlign val="subscript"/>
        <sz val="11"/>
        <color theme="1"/>
        <rFont val="Arial"/>
        <family val="2"/>
      </rPr>
      <t>FB2</t>
    </r>
  </si>
  <si>
    <r>
      <t>R</t>
    </r>
    <r>
      <rPr>
        <vertAlign val="subscript"/>
        <sz val="11"/>
        <color theme="1"/>
        <rFont val="Arial"/>
        <family val="2"/>
      </rPr>
      <t>FB2actual</t>
    </r>
    <r>
      <rPr>
        <sz val="11"/>
        <color theme="1"/>
        <rFont val="Arial"/>
        <family val="2"/>
      </rPr>
      <t xml:space="preserve"> =</t>
    </r>
  </si>
  <si>
    <r>
      <t>Enter Actual R</t>
    </r>
    <r>
      <rPr>
        <vertAlign val="subscript"/>
        <sz val="11"/>
        <color theme="1"/>
        <rFont val="Arial"/>
        <family val="2"/>
      </rPr>
      <t>FB2</t>
    </r>
    <r>
      <rPr>
        <sz val="11"/>
        <color theme="1"/>
        <rFont val="Arial"/>
        <family val="2"/>
      </rPr>
      <t xml:space="preserve"> Used</t>
    </r>
  </si>
  <si>
    <r>
      <rPr>
        <b/>
        <sz val="11"/>
        <color theme="1"/>
        <rFont val="Arial"/>
        <family val="2"/>
      </rPr>
      <t>Actual</t>
    </r>
    <r>
      <rPr>
        <sz val="11"/>
        <color theme="1"/>
        <rFont val="Arial"/>
        <family val="2"/>
      </rPr>
      <t xml:space="preserve"> ESR of C</t>
    </r>
    <r>
      <rPr>
        <vertAlign val="subscript"/>
        <sz val="11"/>
        <color theme="1"/>
        <rFont val="Arial"/>
        <family val="2"/>
      </rPr>
      <t>OUT</t>
    </r>
    <r>
      <rPr>
        <sz val="11"/>
        <color theme="1"/>
        <rFont val="Arial"/>
        <family val="2"/>
      </rPr>
      <t xml:space="preserve"> Used, ESR</t>
    </r>
    <r>
      <rPr>
        <vertAlign val="subscript"/>
        <sz val="11"/>
        <color theme="1"/>
        <rFont val="Arial"/>
        <family val="2"/>
      </rPr>
      <t>Cout</t>
    </r>
    <r>
      <rPr>
        <sz val="11"/>
        <color theme="1"/>
        <rFont val="Arial"/>
        <family val="2"/>
      </rPr>
      <t xml:space="preserve"> =</t>
    </r>
  </si>
  <si>
    <r>
      <rPr>
        <b/>
        <sz val="11"/>
        <color theme="1"/>
        <rFont val="Arial"/>
        <family val="2"/>
      </rPr>
      <t>Actual</t>
    </r>
    <r>
      <rPr>
        <sz val="11"/>
        <color theme="1"/>
        <rFont val="Arial"/>
        <family val="2"/>
      </rPr>
      <t xml:space="preserve"> Value for R</t>
    </r>
    <r>
      <rPr>
        <vertAlign val="subscript"/>
        <sz val="11"/>
        <color theme="1"/>
        <rFont val="Arial"/>
        <family val="2"/>
      </rPr>
      <t>FB2</t>
    </r>
    <r>
      <rPr>
        <sz val="11"/>
        <color theme="1"/>
        <rFont val="Arial"/>
        <family val="2"/>
      </rPr>
      <t>, R</t>
    </r>
    <r>
      <rPr>
        <vertAlign val="subscript"/>
        <sz val="11"/>
        <color theme="1"/>
        <rFont val="Arial"/>
        <family val="2"/>
      </rPr>
      <t>FB2</t>
    </r>
    <r>
      <rPr>
        <sz val="11"/>
        <color theme="1"/>
        <rFont val="Arial"/>
        <family val="2"/>
      </rPr>
      <t xml:space="preserve"> =</t>
    </r>
  </si>
  <si>
    <r>
      <rPr>
        <sz val="11"/>
        <rFont val="Arial"/>
        <family val="2"/>
      </rPr>
      <t>R</t>
    </r>
    <r>
      <rPr>
        <vertAlign val="subscript"/>
        <sz val="11"/>
        <rFont val="Arial"/>
        <family val="2"/>
      </rPr>
      <t>FB2</t>
    </r>
    <r>
      <rPr>
        <sz val="11"/>
        <rFont val="Arial"/>
        <family val="2"/>
      </rPr>
      <t xml:space="preserve"> Used in Calculations</t>
    </r>
  </si>
  <si>
    <r>
      <rPr>
        <b/>
        <sz val="11"/>
        <rFont val="Arial"/>
        <family val="2"/>
      </rPr>
      <t>Recommended</t>
    </r>
    <r>
      <rPr>
        <sz val="11"/>
        <rFont val="Arial"/>
        <family val="2"/>
      </rPr>
      <t xml:space="preserve"> Bottom Resistor Value for Output Voltage Set Point</t>
    </r>
  </si>
  <si>
    <r>
      <t>Actual</t>
    </r>
    <r>
      <rPr>
        <sz val="11"/>
        <rFont val="Arial"/>
        <family val="2"/>
      </rPr>
      <t xml:space="preserve"> Bottom Resistor Value Used for Output Voltage Set Point</t>
    </r>
  </si>
  <si>
    <r>
      <t>I</t>
    </r>
    <r>
      <rPr>
        <b/>
        <vertAlign val="subscript"/>
        <sz val="11"/>
        <color theme="1"/>
        <rFont val="Arial"/>
        <family val="2"/>
      </rPr>
      <t>OCC_actual</t>
    </r>
    <r>
      <rPr>
        <b/>
        <sz val="11"/>
        <color theme="1"/>
        <rFont val="Arial"/>
        <family val="2"/>
      </rPr>
      <t xml:space="preserve"> =</t>
    </r>
  </si>
  <si>
    <r>
      <t>I</t>
    </r>
    <r>
      <rPr>
        <b/>
        <vertAlign val="subscript"/>
        <sz val="11"/>
        <color theme="1"/>
        <rFont val="Arial"/>
        <family val="2"/>
      </rPr>
      <t>PPnom</t>
    </r>
    <r>
      <rPr>
        <b/>
        <sz val="11"/>
        <color theme="1"/>
        <rFont val="Arial"/>
        <family val="2"/>
      </rPr>
      <t xml:space="preserve"> =</t>
    </r>
  </si>
  <si>
    <r>
      <t>V</t>
    </r>
    <r>
      <rPr>
        <b/>
        <vertAlign val="subscript"/>
        <sz val="11"/>
        <color theme="1"/>
        <rFont val="Arial"/>
        <family val="2"/>
      </rPr>
      <t>OUT_CCmin</t>
    </r>
    <r>
      <rPr>
        <b/>
        <sz val="11"/>
        <color theme="1"/>
        <rFont val="Arial"/>
        <family val="2"/>
      </rPr>
      <t xml:space="preserve"> =</t>
    </r>
  </si>
  <si>
    <r>
      <t>V</t>
    </r>
    <r>
      <rPr>
        <b/>
        <vertAlign val="subscript"/>
        <sz val="11"/>
        <rFont val="Arial"/>
        <family val="2"/>
      </rPr>
      <t>OUTripple</t>
    </r>
    <r>
      <rPr>
        <b/>
        <sz val="11"/>
        <rFont val="Arial"/>
        <family val="2"/>
      </rPr>
      <t xml:space="preserve"> =</t>
    </r>
  </si>
  <si>
    <r>
      <t>V</t>
    </r>
    <r>
      <rPr>
        <b/>
        <vertAlign val="subscript"/>
        <sz val="11"/>
        <color theme="1"/>
        <rFont val="Arial"/>
        <family val="2"/>
      </rPr>
      <t>TURNONnom</t>
    </r>
    <r>
      <rPr>
        <b/>
        <sz val="11"/>
        <color theme="1"/>
        <rFont val="Arial"/>
        <family val="2"/>
      </rPr>
      <t xml:space="preserve"> =</t>
    </r>
  </si>
  <si>
    <r>
      <t>V</t>
    </r>
    <r>
      <rPr>
        <b/>
        <vertAlign val="subscript"/>
        <sz val="11"/>
        <color theme="1"/>
        <rFont val="Arial"/>
        <family val="2"/>
      </rPr>
      <t>BROWNOUTnom</t>
    </r>
    <r>
      <rPr>
        <b/>
        <sz val="11"/>
        <color theme="1"/>
        <rFont val="Arial"/>
        <family val="2"/>
      </rPr>
      <t xml:space="preserve"> =</t>
    </r>
  </si>
  <si>
    <r>
      <t>V</t>
    </r>
    <r>
      <rPr>
        <b/>
        <vertAlign val="subscript"/>
        <sz val="11"/>
        <color theme="1"/>
        <rFont val="Arial"/>
        <family val="2"/>
      </rPr>
      <t>OUT_OVPnom</t>
    </r>
    <r>
      <rPr>
        <b/>
        <sz val="11"/>
        <color theme="1"/>
        <rFont val="Arial"/>
        <family val="2"/>
      </rPr>
      <t xml:space="preserve"> =</t>
    </r>
  </si>
  <si>
    <r>
      <t>Result of R</t>
    </r>
    <r>
      <rPr>
        <b/>
        <vertAlign val="subscript"/>
        <sz val="11"/>
        <rFont val="Arial"/>
        <family val="2"/>
      </rPr>
      <t>LC</t>
    </r>
    <r>
      <rPr>
        <b/>
        <sz val="11"/>
        <rFont val="Arial"/>
        <family val="2"/>
      </rPr>
      <t xml:space="preserve"> selection</t>
    </r>
  </si>
  <si>
    <r>
      <t>R</t>
    </r>
    <r>
      <rPr>
        <vertAlign val="subscript"/>
        <sz val="11"/>
        <color theme="1"/>
        <rFont val="Arial"/>
        <family val="2"/>
      </rPr>
      <t>FB1recommended</t>
    </r>
    <r>
      <rPr>
        <sz val="11"/>
        <color theme="1"/>
        <rFont val="Arial"/>
        <family val="2"/>
      </rPr>
      <t xml:space="preserve"> =</t>
    </r>
  </si>
  <si>
    <r>
      <rPr>
        <b/>
        <sz val="11"/>
        <rFont val="Arial"/>
        <family val="2"/>
      </rPr>
      <t>Recommended</t>
    </r>
    <r>
      <rPr>
        <sz val="11"/>
        <rFont val="Arial"/>
        <family val="2"/>
      </rPr>
      <t xml:space="preserve"> Top Resistor Value for Output Voltage Set Point</t>
    </r>
  </si>
  <si>
    <r>
      <t>R</t>
    </r>
    <r>
      <rPr>
        <vertAlign val="subscript"/>
        <sz val="11"/>
        <color theme="1"/>
        <rFont val="Arial"/>
        <family val="2"/>
      </rPr>
      <t>FB1</t>
    </r>
    <r>
      <rPr>
        <sz val="11"/>
        <color theme="1"/>
        <rFont val="Arial"/>
        <family val="2"/>
      </rPr>
      <t>:</t>
    </r>
  </si>
  <si>
    <r>
      <t>R</t>
    </r>
    <r>
      <rPr>
        <vertAlign val="subscript"/>
        <sz val="11"/>
        <color theme="1"/>
        <rFont val="Arial"/>
        <family val="2"/>
      </rPr>
      <t>FB1actual</t>
    </r>
    <r>
      <rPr>
        <sz val="11"/>
        <color theme="1"/>
        <rFont val="Arial"/>
        <family val="2"/>
      </rPr>
      <t xml:space="preserve"> =</t>
    </r>
  </si>
  <si>
    <r>
      <rPr>
        <b/>
        <sz val="11"/>
        <rFont val="Arial"/>
        <family val="2"/>
      </rPr>
      <t>Actual</t>
    </r>
    <r>
      <rPr>
        <sz val="11"/>
        <rFont val="Arial"/>
        <family val="2"/>
      </rPr>
      <t xml:space="preserve"> Top Resistor Value Used for Output Voltage Set Point</t>
    </r>
  </si>
  <si>
    <r>
      <rPr>
        <b/>
        <sz val="11"/>
        <color theme="1"/>
        <rFont val="Arial"/>
        <family val="2"/>
      </rPr>
      <t>Recommended</t>
    </r>
    <r>
      <rPr>
        <sz val="11"/>
        <color theme="1"/>
        <rFont val="Arial"/>
        <family val="2"/>
      </rPr>
      <t xml:space="preserve"> Value for R</t>
    </r>
    <r>
      <rPr>
        <vertAlign val="subscript"/>
        <sz val="11"/>
        <color theme="1"/>
        <rFont val="Arial"/>
        <family val="2"/>
      </rPr>
      <t>FB1</t>
    </r>
    <r>
      <rPr>
        <sz val="11"/>
        <color theme="1"/>
        <rFont val="Arial"/>
        <family val="2"/>
      </rPr>
      <t>, R</t>
    </r>
    <r>
      <rPr>
        <vertAlign val="subscript"/>
        <sz val="11"/>
        <color theme="1"/>
        <rFont val="Arial"/>
        <family val="2"/>
      </rPr>
      <t>FB1</t>
    </r>
    <r>
      <rPr>
        <sz val="11"/>
        <color theme="1"/>
        <rFont val="Arial"/>
        <family val="2"/>
      </rPr>
      <t xml:space="preserve"> =</t>
    </r>
  </si>
  <si>
    <r>
      <rPr>
        <b/>
        <sz val="11"/>
        <color theme="1"/>
        <rFont val="Arial"/>
        <family val="2"/>
      </rPr>
      <t>Actual</t>
    </r>
    <r>
      <rPr>
        <sz val="11"/>
        <color theme="1"/>
        <rFont val="Arial"/>
        <family val="2"/>
      </rPr>
      <t xml:space="preserve"> Value for R</t>
    </r>
    <r>
      <rPr>
        <vertAlign val="subscript"/>
        <sz val="11"/>
        <color theme="1"/>
        <rFont val="Arial"/>
        <family val="2"/>
      </rPr>
      <t>FB1</t>
    </r>
    <r>
      <rPr>
        <sz val="11"/>
        <color theme="1"/>
        <rFont val="Arial"/>
        <family val="2"/>
      </rPr>
      <t>, R</t>
    </r>
    <r>
      <rPr>
        <vertAlign val="subscript"/>
        <sz val="11"/>
        <color theme="1"/>
        <rFont val="Arial"/>
        <family val="2"/>
      </rPr>
      <t>FB1</t>
    </r>
    <r>
      <rPr>
        <sz val="11"/>
        <color theme="1"/>
        <rFont val="Arial"/>
        <family val="2"/>
      </rPr>
      <t xml:space="preserve"> =</t>
    </r>
  </si>
  <si>
    <r>
      <t>Recommended R</t>
    </r>
    <r>
      <rPr>
        <vertAlign val="subscript"/>
        <sz val="11"/>
        <color theme="1"/>
        <rFont val="Arial"/>
        <family val="2"/>
      </rPr>
      <t>FB1</t>
    </r>
  </si>
  <si>
    <r>
      <t>Enter Actual R</t>
    </r>
    <r>
      <rPr>
        <vertAlign val="subscript"/>
        <sz val="11"/>
        <color theme="1"/>
        <rFont val="Arial"/>
        <family val="2"/>
      </rPr>
      <t>FB1</t>
    </r>
    <r>
      <rPr>
        <sz val="11"/>
        <color theme="1"/>
        <rFont val="Arial"/>
        <family val="2"/>
      </rPr>
      <t xml:space="preserve"> Used</t>
    </r>
  </si>
  <si>
    <r>
      <t>R</t>
    </r>
    <r>
      <rPr>
        <vertAlign val="subscript"/>
        <sz val="11"/>
        <rFont val="Arial"/>
        <family val="2"/>
      </rPr>
      <t>FB1</t>
    </r>
    <r>
      <rPr>
        <sz val="11"/>
        <rFont val="Arial"/>
        <family val="2"/>
      </rPr>
      <t xml:space="preserve"> Used in Calculations</t>
    </r>
  </si>
  <si>
    <r>
      <t>R</t>
    </r>
    <r>
      <rPr>
        <vertAlign val="subscript"/>
        <sz val="11"/>
        <color theme="1"/>
        <rFont val="Arial"/>
        <family val="2"/>
      </rPr>
      <t>FB1</t>
    </r>
    <r>
      <rPr>
        <sz val="11"/>
        <color theme="1"/>
        <rFont val="Arial"/>
        <family val="2"/>
      </rPr>
      <t xml:space="preserve"> =</t>
    </r>
  </si>
  <si>
    <t>Resultant Nominal Constant Voltage Output Voltage</t>
  </si>
  <si>
    <r>
      <t>Enter Nominal V</t>
    </r>
    <r>
      <rPr>
        <vertAlign val="subscript"/>
        <sz val="11"/>
        <rFont val="Arial"/>
        <family val="2"/>
      </rPr>
      <t>REF</t>
    </r>
    <r>
      <rPr>
        <sz val="11"/>
        <rFont val="Arial"/>
        <family val="2"/>
      </rPr>
      <t xml:space="preserve"> Used</t>
    </r>
  </si>
  <si>
    <t>Enter Reference Pin Input Current</t>
  </si>
  <si>
    <r>
      <rPr>
        <sz val="11"/>
        <rFont val="Calibri"/>
        <family val="2"/>
      </rPr>
      <t>µ</t>
    </r>
    <r>
      <rPr>
        <sz val="11"/>
        <rFont val="Arial"/>
        <family val="2"/>
      </rPr>
      <t>A</t>
    </r>
  </si>
  <si>
    <r>
      <t>V</t>
    </r>
    <r>
      <rPr>
        <b/>
        <vertAlign val="subscript"/>
        <sz val="11"/>
        <color theme="1"/>
        <rFont val="Arial"/>
        <family val="2"/>
      </rPr>
      <t>OUT_CV</t>
    </r>
    <r>
      <rPr>
        <b/>
        <sz val="11"/>
        <color theme="1"/>
        <rFont val="Arial"/>
        <family val="2"/>
      </rPr>
      <t xml:space="preserve"> =</t>
    </r>
  </si>
  <si>
    <r>
      <t>Minimum Current Transfer  Ratio of Selected Opto-Coupler, CTR</t>
    </r>
    <r>
      <rPr>
        <vertAlign val="subscript"/>
        <sz val="11"/>
        <color theme="1"/>
        <rFont val="Arial"/>
        <family val="2"/>
      </rPr>
      <t>min</t>
    </r>
    <r>
      <rPr>
        <sz val="11"/>
        <color theme="1"/>
        <rFont val="Arial"/>
        <family val="2"/>
      </rPr>
      <t xml:space="preserve"> =</t>
    </r>
  </si>
  <si>
    <r>
      <t>Enter CTR</t>
    </r>
    <r>
      <rPr>
        <vertAlign val="subscript"/>
        <sz val="11"/>
        <color theme="1"/>
        <rFont val="Arial"/>
        <family val="2"/>
      </rPr>
      <t>min</t>
    </r>
  </si>
  <si>
    <r>
      <rPr>
        <sz val="11"/>
        <color theme="1"/>
        <rFont val="Calibri"/>
        <family val="2"/>
      </rPr>
      <t>µ</t>
    </r>
    <r>
      <rPr>
        <sz val="11"/>
        <color theme="1"/>
        <rFont val="Arial"/>
        <family val="2"/>
      </rPr>
      <t>s</t>
    </r>
  </si>
  <si>
    <t>%</t>
  </si>
  <si>
    <r>
      <t>Enter Opto-Coupler t</t>
    </r>
    <r>
      <rPr>
        <vertAlign val="subscript"/>
        <sz val="11"/>
        <color theme="1"/>
        <rFont val="Arial"/>
        <family val="2"/>
      </rPr>
      <t>f</t>
    </r>
  </si>
  <si>
    <r>
      <t>Enter R</t>
    </r>
    <r>
      <rPr>
        <vertAlign val="subscript"/>
        <sz val="11"/>
        <color theme="1"/>
        <rFont val="Arial"/>
        <family val="2"/>
      </rPr>
      <t>L</t>
    </r>
    <r>
      <rPr>
        <sz val="11"/>
        <color theme="1"/>
        <rFont val="Arial"/>
        <family val="2"/>
      </rPr>
      <t xml:space="preserve"> from Opto-Coupler t</t>
    </r>
    <r>
      <rPr>
        <vertAlign val="subscript"/>
        <sz val="11"/>
        <color theme="1"/>
        <rFont val="Arial"/>
        <family val="2"/>
      </rPr>
      <t>f</t>
    </r>
    <r>
      <rPr>
        <sz val="11"/>
        <color theme="1"/>
        <rFont val="Arial"/>
        <family val="2"/>
      </rPr>
      <t xml:space="preserve"> spec</t>
    </r>
  </si>
  <si>
    <r>
      <t>Cut-Off Frequency of Opto-Coupler, f</t>
    </r>
    <r>
      <rPr>
        <vertAlign val="subscript"/>
        <sz val="11"/>
        <color theme="1"/>
        <rFont val="Arial"/>
        <family val="2"/>
      </rPr>
      <t>c_opto</t>
    </r>
    <r>
      <rPr>
        <sz val="11"/>
        <color theme="1"/>
        <rFont val="Arial"/>
        <family val="2"/>
      </rPr>
      <t xml:space="preserve"> =</t>
    </r>
  </si>
  <si>
    <r>
      <t>R</t>
    </r>
    <r>
      <rPr>
        <vertAlign val="subscript"/>
        <sz val="11"/>
        <color theme="1"/>
        <rFont val="Arial"/>
        <family val="2"/>
      </rPr>
      <t>L</t>
    </r>
    <r>
      <rPr>
        <sz val="11"/>
        <color theme="1"/>
        <rFont val="Arial"/>
        <family val="2"/>
      </rPr>
      <t xml:space="preserve"> of Specified Opto-Coupler Fall Time, R</t>
    </r>
    <r>
      <rPr>
        <vertAlign val="subscript"/>
        <sz val="11"/>
        <color theme="1"/>
        <rFont val="Arial"/>
        <family val="2"/>
      </rPr>
      <t>L_opto</t>
    </r>
    <r>
      <rPr>
        <sz val="11"/>
        <color theme="1"/>
        <rFont val="Arial"/>
        <family val="2"/>
      </rPr>
      <t xml:space="preserve"> =</t>
    </r>
  </si>
  <si>
    <r>
      <t>Response Fall Time of Opto-Coupler, t</t>
    </r>
    <r>
      <rPr>
        <vertAlign val="subscript"/>
        <sz val="11"/>
        <color theme="1"/>
        <rFont val="Arial"/>
        <family val="2"/>
      </rPr>
      <t>f_opto</t>
    </r>
    <r>
      <rPr>
        <sz val="11"/>
        <color theme="1"/>
        <rFont val="Arial"/>
        <family val="2"/>
      </rPr>
      <t xml:space="preserve"> =</t>
    </r>
  </si>
  <si>
    <r>
      <t>Input Forward Voltage of Opto-Coupler, V</t>
    </r>
    <r>
      <rPr>
        <vertAlign val="subscript"/>
        <sz val="11"/>
        <color theme="1"/>
        <rFont val="Arial"/>
        <family val="2"/>
      </rPr>
      <t>F_opto</t>
    </r>
    <r>
      <rPr>
        <sz val="11"/>
        <color theme="1"/>
        <rFont val="Arial"/>
        <family val="2"/>
      </rPr>
      <t xml:space="preserve"> =</t>
    </r>
  </si>
  <si>
    <t>Enter Opto-Coupler Cut-Off Frequency</t>
  </si>
  <si>
    <r>
      <t>Enter Maximum V</t>
    </r>
    <r>
      <rPr>
        <vertAlign val="subscript"/>
        <sz val="11"/>
        <color theme="1"/>
        <rFont val="Arial"/>
        <family val="2"/>
      </rPr>
      <t>F</t>
    </r>
    <r>
      <rPr>
        <sz val="11"/>
        <color theme="1"/>
        <rFont val="Arial"/>
        <family val="2"/>
      </rPr>
      <t xml:space="preserve"> of Opto-Coupler</t>
    </r>
  </si>
  <si>
    <t>Minimum Current Transfer  Ratio of Selected Opto-Coupler</t>
  </si>
  <si>
    <t>Response Fall Time of Opto-Coupler</t>
  </si>
  <si>
    <r>
      <t>R</t>
    </r>
    <r>
      <rPr>
        <vertAlign val="subscript"/>
        <sz val="11"/>
        <color theme="1"/>
        <rFont val="Arial"/>
        <family val="2"/>
      </rPr>
      <t>L</t>
    </r>
    <r>
      <rPr>
        <sz val="11"/>
        <color theme="1"/>
        <rFont val="Arial"/>
        <family val="2"/>
      </rPr>
      <t xml:space="preserve"> of Specified Opto-Coupler Fall Time</t>
    </r>
  </si>
  <si>
    <t>Cut-Off Frequency of Opto-Coupler</t>
  </si>
  <si>
    <t>Input Forward Voltage of Opto-Coupler</t>
  </si>
  <si>
    <r>
      <t>CTR</t>
    </r>
    <r>
      <rPr>
        <vertAlign val="subscript"/>
        <sz val="11"/>
        <color theme="1"/>
        <rFont val="Arial"/>
        <family val="2"/>
      </rPr>
      <t>min</t>
    </r>
    <r>
      <rPr>
        <sz val="11"/>
        <color theme="1"/>
        <rFont val="Arial"/>
        <family val="2"/>
      </rPr>
      <t xml:space="preserve"> =</t>
    </r>
  </si>
  <si>
    <r>
      <t>t</t>
    </r>
    <r>
      <rPr>
        <vertAlign val="subscript"/>
        <sz val="11"/>
        <rFont val="Arial"/>
        <family val="2"/>
      </rPr>
      <t>f_opto</t>
    </r>
    <r>
      <rPr>
        <sz val="11"/>
        <rFont val="Arial"/>
        <family val="2"/>
      </rPr>
      <t xml:space="preserve"> =</t>
    </r>
  </si>
  <si>
    <r>
      <t>R</t>
    </r>
    <r>
      <rPr>
        <vertAlign val="subscript"/>
        <sz val="11"/>
        <rFont val="Arial"/>
        <family val="2"/>
      </rPr>
      <t>L_opto</t>
    </r>
    <r>
      <rPr>
        <sz val="11"/>
        <rFont val="Arial"/>
        <family val="2"/>
      </rPr>
      <t xml:space="preserve"> =</t>
    </r>
  </si>
  <si>
    <r>
      <t>f</t>
    </r>
    <r>
      <rPr>
        <vertAlign val="subscript"/>
        <sz val="11"/>
        <color theme="1"/>
        <rFont val="Arial"/>
        <family val="2"/>
      </rPr>
      <t>c_opto</t>
    </r>
    <r>
      <rPr>
        <sz val="11"/>
        <color theme="1"/>
        <rFont val="Arial"/>
        <family val="2"/>
      </rPr>
      <t xml:space="preserve"> =</t>
    </r>
  </si>
  <si>
    <r>
      <t>V</t>
    </r>
    <r>
      <rPr>
        <vertAlign val="subscript"/>
        <sz val="11"/>
        <color theme="1"/>
        <rFont val="Arial"/>
        <family val="2"/>
      </rPr>
      <t>F_opto</t>
    </r>
    <r>
      <rPr>
        <sz val="11"/>
        <color theme="1"/>
        <rFont val="Arial"/>
        <family val="2"/>
      </rPr>
      <t xml:space="preserve"> =</t>
    </r>
  </si>
  <si>
    <r>
      <t>Loop Compensation Components, R</t>
    </r>
    <r>
      <rPr>
        <b/>
        <vertAlign val="subscript"/>
        <sz val="11"/>
        <color theme="0"/>
        <rFont val="Arial"/>
        <family val="2"/>
      </rPr>
      <t>FB1</t>
    </r>
    <r>
      <rPr>
        <b/>
        <sz val="11"/>
        <color theme="0"/>
        <rFont val="Arial"/>
        <family val="2"/>
      </rPr>
      <t>, R</t>
    </r>
    <r>
      <rPr>
        <b/>
        <vertAlign val="subscript"/>
        <sz val="11"/>
        <color theme="0"/>
        <rFont val="Arial"/>
        <family val="2"/>
      </rPr>
      <t>FB2</t>
    </r>
    <r>
      <rPr>
        <b/>
        <sz val="11"/>
        <color theme="0"/>
        <rFont val="Arial"/>
        <family val="2"/>
      </rPr>
      <t>, R</t>
    </r>
    <r>
      <rPr>
        <b/>
        <vertAlign val="subscript"/>
        <sz val="11"/>
        <color theme="0"/>
        <rFont val="Arial"/>
        <family val="2"/>
      </rPr>
      <t>TL</t>
    </r>
    <r>
      <rPr>
        <b/>
        <sz val="11"/>
        <color theme="0"/>
        <rFont val="Arial"/>
        <family val="2"/>
      </rPr>
      <t>, R</t>
    </r>
    <r>
      <rPr>
        <b/>
        <vertAlign val="subscript"/>
        <sz val="11"/>
        <color theme="0"/>
        <rFont val="Arial"/>
        <family val="2"/>
      </rPr>
      <t>OPT</t>
    </r>
    <r>
      <rPr>
        <b/>
        <sz val="11"/>
        <color theme="0"/>
        <rFont val="Arial"/>
        <family val="2"/>
      </rPr>
      <t>, C</t>
    </r>
    <r>
      <rPr>
        <b/>
        <vertAlign val="subscript"/>
        <sz val="11"/>
        <color theme="0"/>
        <rFont val="Arial"/>
        <family val="2"/>
      </rPr>
      <t>FB</t>
    </r>
    <r>
      <rPr>
        <b/>
        <sz val="11"/>
        <color theme="0"/>
        <rFont val="Arial"/>
        <family val="2"/>
      </rPr>
      <t>, C</t>
    </r>
    <r>
      <rPr>
        <b/>
        <vertAlign val="subscript"/>
        <sz val="11"/>
        <color theme="0"/>
        <rFont val="Arial"/>
        <family val="2"/>
      </rPr>
      <t>EXT</t>
    </r>
    <r>
      <rPr>
        <b/>
        <sz val="11"/>
        <color theme="0"/>
        <rFont val="Arial"/>
        <family val="2"/>
      </rPr>
      <t>, R</t>
    </r>
    <r>
      <rPr>
        <b/>
        <vertAlign val="subscript"/>
        <sz val="11"/>
        <color theme="0"/>
        <rFont val="Arial"/>
        <family val="2"/>
      </rPr>
      <t>FB3</t>
    </r>
    <r>
      <rPr>
        <b/>
        <sz val="11"/>
        <color theme="0"/>
        <rFont val="Arial"/>
        <family val="2"/>
      </rPr>
      <t>, R</t>
    </r>
    <r>
      <rPr>
        <b/>
        <vertAlign val="subscript"/>
        <sz val="11"/>
        <color theme="0"/>
        <rFont val="Arial"/>
        <family val="2"/>
      </rPr>
      <t xml:space="preserve">FB4, </t>
    </r>
    <r>
      <rPr>
        <b/>
        <sz val="11"/>
        <color theme="0"/>
        <rFont val="Arial"/>
        <family val="2"/>
      </rPr>
      <t>C</t>
    </r>
    <r>
      <rPr>
        <b/>
        <vertAlign val="subscript"/>
        <sz val="11"/>
        <color theme="0"/>
        <rFont val="Arial"/>
        <family val="2"/>
      </rPr>
      <t>Z</t>
    </r>
  </si>
  <si>
    <t>Equivalent Opto-Coupler Output Capacitance</t>
  </si>
  <si>
    <r>
      <t>C</t>
    </r>
    <r>
      <rPr>
        <vertAlign val="subscript"/>
        <sz val="11"/>
        <color theme="1"/>
        <rFont val="Arial"/>
        <family val="2"/>
      </rPr>
      <t>OPTO</t>
    </r>
    <r>
      <rPr>
        <sz val="11"/>
        <color theme="1"/>
        <rFont val="Arial"/>
        <family val="2"/>
      </rPr>
      <t xml:space="preserve"> =</t>
    </r>
  </si>
  <si>
    <t>nF factor</t>
  </si>
  <si>
    <t>nF</t>
  </si>
  <si>
    <t>Equivalent Internal UCC28740 Dynamic Reistance</t>
  </si>
  <si>
    <r>
      <t>R</t>
    </r>
    <r>
      <rPr>
        <vertAlign val="subscript"/>
        <sz val="11"/>
        <color theme="1"/>
        <rFont val="Arial"/>
        <family val="2"/>
      </rPr>
      <t>EQU</t>
    </r>
    <r>
      <rPr>
        <sz val="11"/>
        <color theme="1"/>
        <rFont val="Arial"/>
        <family val="2"/>
      </rPr>
      <t xml:space="preserve"> =</t>
    </r>
  </si>
  <si>
    <r>
      <t>Recommended C</t>
    </r>
    <r>
      <rPr>
        <vertAlign val="subscript"/>
        <sz val="11"/>
        <color theme="1"/>
        <rFont val="Arial"/>
        <family val="2"/>
      </rPr>
      <t>EXT</t>
    </r>
  </si>
  <si>
    <r>
      <rPr>
        <b/>
        <sz val="11"/>
        <color theme="1"/>
        <rFont val="Arial"/>
        <family val="2"/>
      </rPr>
      <t>Recommended</t>
    </r>
    <r>
      <rPr>
        <sz val="11"/>
        <color theme="1"/>
        <rFont val="Arial"/>
        <family val="2"/>
      </rPr>
      <t xml:space="preserve"> External Capacitor Across Opto-Coupler Output, C</t>
    </r>
    <r>
      <rPr>
        <vertAlign val="subscript"/>
        <sz val="11"/>
        <color theme="1"/>
        <rFont val="Arial"/>
        <family val="2"/>
      </rPr>
      <t>EXT</t>
    </r>
    <r>
      <rPr>
        <sz val="11"/>
        <color theme="1"/>
        <rFont val="Arial"/>
        <family val="2"/>
      </rPr>
      <t xml:space="preserve"> =</t>
    </r>
  </si>
  <si>
    <r>
      <rPr>
        <b/>
        <sz val="11"/>
        <color theme="1"/>
        <rFont val="Arial"/>
        <family val="2"/>
      </rPr>
      <t>Actual</t>
    </r>
    <r>
      <rPr>
        <sz val="11"/>
        <color theme="1"/>
        <rFont val="Arial"/>
        <family val="2"/>
      </rPr>
      <t xml:space="preserve"> Value for C</t>
    </r>
    <r>
      <rPr>
        <vertAlign val="subscript"/>
        <sz val="11"/>
        <color theme="1"/>
        <rFont val="Arial"/>
        <family val="2"/>
      </rPr>
      <t>EXT</t>
    </r>
    <r>
      <rPr>
        <sz val="11"/>
        <color theme="1"/>
        <rFont val="Arial"/>
        <family val="2"/>
      </rPr>
      <t xml:space="preserve"> Used , C</t>
    </r>
    <r>
      <rPr>
        <vertAlign val="subscript"/>
        <sz val="11"/>
        <color theme="1"/>
        <rFont val="Arial"/>
        <family val="2"/>
      </rPr>
      <t>EXT</t>
    </r>
    <r>
      <rPr>
        <sz val="11"/>
        <color theme="1"/>
        <rFont val="Arial"/>
        <family val="2"/>
      </rPr>
      <t xml:space="preserve"> =</t>
    </r>
  </si>
  <si>
    <r>
      <t>Enter Actual C</t>
    </r>
    <r>
      <rPr>
        <vertAlign val="subscript"/>
        <sz val="11"/>
        <color theme="1"/>
        <rFont val="Arial"/>
        <family val="2"/>
      </rPr>
      <t>EXT</t>
    </r>
    <r>
      <rPr>
        <sz val="11"/>
        <color theme="1"/>
        <rFont val="Arial"/>
        <family val="2"/>
      </rPr>
      <t xml:space="preserve"> Used</t>
    </r>
  </si>
  <si>
    <r>
      <t>C</t>
    </r>
    <r>
      <rPr>
        <vertAlign val="subscript"/>
        <sz val="11"/>
        <color theme="1"/>
        <rFont val="Arial"/>
        <family val="2"/>
      </rPr>
      <t>EXTrecommended</t>
    </r>
    <r>
      <rPr>
        <sz val="11"/>
        <color theme="1"/>
        <rFont val="Arial"/>
        <family val="2"/>
      </rPr>
      <t xml:space="preserve"> =</t>
    </r>
  </si>
  <si>
    <r>
      <rPr>
        <b/>
        <sz val="11"/>
        <color theme="1"/>
        <rFont val="Arial"/>
        <family val="2"/>
      </rPr>
      <t>Recommended</t>
    </r>
    <r>
      <rPr>
        <sz val="11"/>
        <color theme="1"/>
        <rFont val="Arial"/>
        <family val="2"/>
      </rPr>
      <t xml:space="preserve"> Value for External Capacitor on Opto-Coupler</t>
    </r>
  </si>
  <si>
    <r>
      <t>C</t>
    </r>
    <r>
      <rPr>
        <vertAlign val="subscript"/>
        <sz val="11"/>
        <color theme="1"/>
        <rFont val="Arial"/>
        <family val="2"/>
      </rPr>
      <t>EXTactual</t>
    </r>
    <r>
      <rPr>
        <sz val="11"/>
        <color theme="1"/>
        <rFont val="Arial"/>
        <family val="2"/>
      </rPr>
      <t xml:space="preserve"> =</t>
    </r>
  </si>
  <si>
    <r>
      <rPr>
        <b/>
        <sz val="11"/>
        <color theme="1"/>
        <rFont val="Arial"/>
        <family val="2"/>
      </rPr>
      <t>Actual</t>
    </r>
    <r>
      <rPr>
        <sz val="11"/>
        <color theme="1"/>
        <rFont val="Arial"/>
        <family val="2"/>
      </rPr>
      <t xml:space="preserve"> Value of External Capacitor on Opto-Coupler Used</t>
    </r>
  </si>
  <si>
    <r>
      <t>C</t>
    </r>
    <r>
      <rPr>
        <vertAlign val="subscript"/>
        <sz val="11"/>
        <color theme="1"/>
        <rFont val="Arial"/>
        <family val="2"/>
      </rPr>
      <t>EXT</t>
    </r>
    <r>
      <rPr>
        <sz val="11"/>
        <color theme="1"/>
        <rFont val="Arial"/>
        <family val="2"/>
      </rPr>
      <t xml:space="preserve"> Used in Calculations</t>
    </r>
  </si>
  <si>
    <r>
      <t>C</t>
    </r>
    <r>
      <rPr>
        <vertAlign val="subscript"/>
        <sz val="11"/>
        <color theme="1"/>
        <rFont val="Arial"/>
        <family val="2"/>
      </rPr>
      <t>EXT</t>
    </r>
    <r>
      <rPr>
        <sz val="11"/>
        <color theme="1"/>
        <rFont val="Arial"/>
        <family val="2"/>
      </rPr>
      <t xml:space="preserve"> =</t>
    </r>
  </si>
  <si>
    <r>
      <t>Recommended C</t>
    </r>
    <r>
      <rPr>
        <vertAlign val="subscript"/>
        <sz val="11"/>
        <color theme="1"/>
        <rFont val="Arial"/>
        <family val="2"/>
      </rPr>
      <t>FB</t>
    </r>
  </si>
  <si>
    <r>
      <rPr>
        <b/>
        <sz val="11"/>
        <color theme="1"/>
        <rFont val="Arial"/>
        <family val="2"/>
      </rPr>
      <t>Recommended</t>
    </r>
    <r>
      <rPr>
        <sz val="11"/>
        <color theme="1"/>
        <rFont val="Arial"/>
        <family val="2"/>
      </rPr>
      <t xml:space="preserve"> C</t>
    </r>
    <r>
      <rPr>
        <vertAlign val="subscript"/>
        <sz val="11"/>
        <color theme="1"/>
        <rFont val="Arial"/>
        <family val="2"/>
      </rPr>
      <t>FB</t>
    </r>
  </si>
  <si>
    <r>
      <t>C</t>
    </r>
    <r>
      <rPr>
        <vertAlign val="subscript"/>
        <sz val="11"/>
        <color theme="1"/>
        <rFont val="Arial"/>
        <family val="2"/>
      </rPr>
      <t>FBrecommended</t>
    </r>
    <r>
      <rPr>
        <sz val="11"/>
        <color theme="1"/>
        <rFont val="Arial"/>
        <family val="2"/>
      </rPr>
      <t xml:space="preserve"> =</t>
    </r>
  </si>
  <si>
    <t>Loop Compensation Calculations:</t>
  </si>
  <si>
    <r>
      <t>C</t>
    </r>
    <r>
      <rPr>
        <vertAlign val="subscript"/>
        <sz val="11"/>
        <color theme="1"/>
        <rFont val="Arial"/>
        <family val="2"/>
      </rPr>
      <t>FB</t>
    </r>
    <r>
      <rPr>
        <sz val="11"/>
        <color theme="1"/>
        <rFont val="Arial"/>
        <family val="2"/>
      </rPr>
      <t>:</t>
    </r>
  </si>
  <si>
    <r>
      <rPr>
        <b/>
        <sz val="11"/>
        <color theme="1"/>
        <rFont val="Arial"/>
        <family val="2"/>
      </rPr>
      <t>Actual</t>
    </r>
    <r>
      <rPr>
        <sz val="11"/>
        <color theme="1"/>
        <rFont val="Arial"/>
        <family val="2"/>
      </rPr>
      <t xml:space="preserve"> C</t>
    </r>
    <r>
      <rPr>
        <vertAlign val="subscript"/>
        <sz val="11"/>
        <color theme="1"/>
        <rFont val="Arial"/>
        <family val="2"/>
      </rPr>
      <t>FB</t>
    </r>
    <r>
      <rPr>
        <sz val="11"/>
        <color theme="1"/>
        <rFont val="Arial"/>
        <family val="2"/>
      </rPr>
      <t xml:space="preserve"> Used</t>
    </r>
  </si>
  <si>
    <r>
      <t>C</t>
    </r>
    <r>
      <rPr>
        <vertAlign val="subscript"/>
        <sz val="11"/>
        <color theme="1"/>
        <rFont val="Arial"/>
        <family val="2"/>
      </rPr>
      <t>FBactual</t>
    </r>
    <r>
      <rPr>
        <sz val="11"/>
        <color theme="1"/>
        <rFont val="Arial"/>
        <family val="2"/>
      </rPr>
      <t xml:space="preserve"> =</t>
    </r>
  </si>
  <si>
    <r>
      <rPr>
        <b/>
        <sz val="11"/>
        <color theme="1"/>
        <rFont val="Arial"/>
        <family val="2"/>
      </rPr>
      <t>Recommended</t>
    </r>
    <r>
      <rPr>
        <sz val="11"/>
        <color theme="1"/>
        <rFont val="Arial"/>
        <family val="2"/>
      </rPr>
      <t xml:space="preserve"> Capacitor on Opto_Coupler Emitter, C</t>
    </r>
    <r>
      <rPr>
        <vertAlign val="subscript"/>
        <sz val="11"/>
        <color theme="1"/>
        <rFont val="Arial"/>
        <family val="2"/>
      </rPr>
      <t>FB</t>
    </r>
    <r>
      <rPr>
        <sz val="11"/>
        <color theme="1"/>
        <rFont val="Arial"/>
        <family val="2"/>
      </rPr>
      <t xml:space="preserve"> =</t>
    </r>
  </si>
  <si>
    <r>
      <t>Enter Actual C</t>
    </r>
    <r>
      <rPr>
        <vertAlign val="subscript"/>
        <sz val="11"/>
        <color theme="1"/>
        <rFont val="Arial"/>
        <family val="2"/>
      </rPr>
      <t>FB</t>
    </r>
    <r>
      <rPr>
        <sz val="11"/>
        <color theme="1"/>
        <rFont val="Arial"/>
        <family val="2"/>
      </rPr>
      <t xml:space="preserve"> Used</t>
    </r>
  </si>
  <si>
    <r>
      <rPr>
        <b/>
        <sz val="11"/>
        <color theme="1"/>
        <rFont val="Arial"/>
        <family val="2"/>
      </rPr>
      <t xml:space="preserve">Actual </t>
    </r>
    <r>
      <rPr>
        <sz val="11"/>
        <color theme="1"/>
        <rFont val="Arial"/>
        <family val="2"/>
      </rPr>
      <t>Value for C</t>
    </r>
    <r>
      <rPr>
        <vertAlign val="subscript"/>
        <sz val="11"/>
        <color theme="1"/>
        <rFont val="Arial"/>
        <family val="2"/>
      </rPr>
      <t>FB</t>
    </r>
    <r>
      <rPr>
        <sz val="11"/>
        <color theme="1"/>
        <rFont val="Arial"/>
        <family val="2"/>
      </rPr>
      <t xml:space="preserve"> Used, C</t>
    </r>
    <r>
      <rPr>
        <vertAlign val="subscript"/>
        <sz val="11"/>
        <color theme="1"/>
        <rFont val="Arial"/>
        <family val="2"/>
      </rPr>
      <t>FB</t>
    </r>
    <r>
      <rPr>
        <sz val="11"/>
        <color theme="1"/>
        <rFont val="Arial"/>
        <family val="2"/>
      </rPr>
      <t xml:space="preserve"> =</t>
    </r>
  </si>
  <si>
    <r>
      <t>R</t>
    </r>
    <r>
      <rPr>
        <vertAlign val="subscript"/>
        <sz val="11"/>
        <color theme="1"/>
        <rFont val="Arial"/>
        <family val="2"/>
      </rPr>
      <t>FB4recommended</t>
    </r>
    <r>
      <rPr>
        <sz val="11"/>
        <color theme="1"/>
        <rFont val="Arial"/>
        <family val="2"/>
      </rPr>
      <t xml:space="preserve"> =</t>
    </r>
  </si>
  <si>
    <r>
      <rPr>
        <b/>
        <sz val="11"/>
        <color theme="1"/>
        <rFont val="Arial"/>
        <family val="2"/>
      </rPr>
      <t>Recommended</t>
    </r>
    <r>
      <rPr>
        <sz val="11"/>
        <color theme="1"/>
        <rFont val="Arial"/>
        <family val="2"/>
      </rPr>
      <t xml:space="preserve"> Value For R</t>
    </r>
    <r>
      <rPr>
        <vertAlign val="subscript"/>
        <sz val="11"/>
        <color theme="1"/>
        <rFont val="Arial"/>
        <family val="2"/>
      </rPr>
      <t>FB4</t>
    </r>
  </si>
  <si>
    <r>
      <rPr>
        <b/>
        <sz val="11"/>
        <color theme="1"/>
        <rFont val="Arial"/>
        <family val="2"/>
      </rPr>
      <t>Actual</t>
    </r>
    <r>
      <rPr>
        <sz val="11"/>
        <color theme="1"/>
        <rFont val="Arial"/>
        <family val="2"/>
      </rPr>
      <t xml:space="preserve"> Value for R</t>
    </r>
    <r>
      <rPr>
        <vertAlign val="subscript"/>
        <sz val="11"/>
        <color theme="1"/>
        <rFont val="Arial"/>
        <family val="2"/>
      </rPr>
      <t>FB4</t>
    </r>
    <r>
      <rPr>
        <sz val="11"/>
        <color theme="1"/>
        <rFont val="Arial"/>
        <family val="2"/>
      </rPr>
      <t xml:space="preserve"> Used </t>
    </r>
  </si>
  <si>
    <r>
      <t>R</t>
    </r>
    <r>
      <rPr>
        <vertAlign val="subscript"/>
        <sz val="11"/>
        <color theme="1"/>
        <rFont val="Arial"/>
        <family val="2"/>
      </rPr>
      <t>FB4actual</t>
    </r>
    <r>
      <rPr>
        <sz val="11"/>
        <color theme="1"/>
        <rFont val="Arial"/>
        <family val="2"/>
      </rPr>
      <t xml:space="preserve"> =</t>
    </r>
  </si>
  <si>
    <r>
      <rPr>
        <b/>
        <sz val="11"/>
        <color theme="1"/>
        <rFont val="Arial"/>
        <family val="2"/>
      </rPr>
      <t>Recommended</t>
    </r>
    <r>
      <rPr>
        <sz val="11"/>
        <color theme="1"/>
        <rFont val="Arial"/>
        <family val="2"/>
      </rPr>
      <t xml:space="preserve"> Value For R</t>
    </r>
    <r>
      <rPr>
        <vertAlign val="subscript"/>
        <sz val="11"/>
        <color theme="1"/>
        <rFont val="Arial"/>
        <family val="2"/>
      </rPr>
      <t>FB4,</t>
    </r>
    <r>
      <rPr>
        <sz val="11"/>
        <color theme="1"/>
        <rFont val="Arial"/>
        <family val="2"/>
      </rPr>
      <t xml:space="preserve"> R</t>
    </r>
    <r>
      <rPr>
        <vertAlign val="subscript"/>
        <sz val="11"/>
        <color theme="1"/>
        <rFont val="Arial"/>
        <family val="2"/>
      </rPr>
      <t>FB4 =</t>
    </r>
  </si>
  <si>
    <r>
      <t>Recommended R</t>
    </r>
    <r>
      <rPr>
        <vertAlign val="subscript"/>
        <sz val="11"/>
        <color theme="1"/>
        <rFont val="Arial"/>
        <family val="2"/>
      </rPr>
      <t>FB4</t>
    </r>
  </si>
  <si>
    <r>
      <t>Enter Actual R</t>
    </r>
    <r>
      <rPr>
        <vertAlign val="subscript"/>
        <sz val="11"/>
        <color theme="1"/>
        <rFont val="Arial"/>
        <family val="2"/>
      </rPr>
      <t>FB4</t>
    </r>
    <r>
      <rPr>
        <sz val="11"/>
        <color theme="1"/>
        <rFont val="Arial"/>
        <family val="2"/>
      </rPr>
      <t xml:space="preserve"> Used </t>
    </r>
  </si>
  <si>
    <r>
      <t>R</t>
    </r>
    <r>
      <rPr>
        <vertAlign val="subscript"/>
        <sz val="11"/>
        <color theme="1"/>
        <rFont val="Arial"/>
        <family val="2"/>
      </rPr>
      <t>FB4</t>
    </r>
    <r>
      <rPr>
        <sz val="11"/>
        <color theme="1"/>
        <rFont val="Arial"/>
        <family val="2"/>
      </rPr>
      <t xml:space="preserve"> =</t>
    </r>
  </si>
  <si>
    <r>
      <t>R</t>
    </r>
    <r>
      <rPr>
        <vertAlign val="subscript"/>
        <sz val="11"/>
        <color theme="1"/>
        <rFont val="Arial"/>
        <family val="2"/>
      </rPr>
      <t>FB4</t>
    </r>
    <r>
      <rPr>
        <sz val="11"/>
        <color theme="1"/>
        <rFont val="Arial"/>
        <family val="2"/>
      </rPr>
      <t xml:space="preserve"> Used in Calculations</t>
    </r>
  </si>
  <si>
    <t>Opto-Coupler Emitter Current to FB Pin Current Gain</t>
  </si>
  <si>
    <r>
      <t>G</t>
    </r>
    <r>
      <rPr>
        <vertAlign val="subscript"/>
        <sz val="11"/>
        <color theme="1"/>
        <rFont val="Arial"/>
        <family val="2"/>
      </rPr>
      <t>FB1</t>
    </r>
    <r>
      <rPr>
        <sz val="11"/>
        <color theme="1"/>
        <rFont val="Arial"/>
        <family val="2"/>
      </rPr>
      <t xml:space="preserve"> =</t>
    </r>
  </si>
  <si>
    <t>FB Pin Current to Control Law Voltage Gain, Full Load</t>
  </si>
  <si>
    <r>
      <t>G</t>
    </r>
    <r>
      <rPr>
        <vertAlign val="subscript"/>
        <sz val="11"/>
        <color theme="1"/>
        <rFont val="Arial"/>
        <family val="2"/>
      </rPr>
      <t>FB2</t>
    </r>
    <r>
      <rPr>
        <sz val="11"/>
        <color theme="1"/>
        <rFont val="Arial"/>
        <family val="2"/>
      </rPr>
      <t xml:space="preserve"> =</t>
    </r>
  </si>
  <si>
    <t>Control Law Voltage to Power Stage Modulation Gain, FM Mode</t>
  </si>
  <si>
    <r>
      <t>K</t>
    </r>
    <r>
      <rPr>
        <vertAlign val="subscript"/>
        <sz val="11"/>
        <color theme="1"/>
        <rFont val="Arial"/>
        <family val="2"/>
      </rPr>
      <t>FM4</t>
    </r>
    <r>
      <rPr>
        <sz val="11"/>
        <color theme="1"/>
        <rFont val="Arial"/>
        <family val="2"/>
      </rPr>
      <t xml:space="preserve"> =</t>
    </r>
  </si>
  <si>
    <t>kHz/V</t>
  </si>
  <si>
    <t>Power Stage Modulation (FM) to Average Current Gain</t>
  </si>
  <si>
    <r>
      <t>G</t>
    </r>
    <r>
      <rPr>
        <vertAlign val="subscript"/>
        <sz val="11"/>
        <color theme="1"/>
        <rFont val="Arial"/>
        <family val="2"/>
      </rPr>
      <t>P4</t>
    </r>
    <r>
      <rPr>
        <sz val="11"/>
        <color theme="1"/>
        <rFont val="Arial"/>
        <family val="2"/>
      </rPr>
      <t xml:space="preserve"> =</t>
    </r>
  </si>
  <si>
    <t>uC factor</t>
  </si>
  <si>
    <r>
      <rPr>
        <sz val="11"/>
        <color theme="1"/>
        <rFont val="Calibri"/>
        <family val="2"/>
      </rPr>
      <t>µ</t>
    </r>
    <r>
      <rPr>
        <sz val="11"/>
        <color theme="1"/>
        <rFont val="Arial"/>
        <family val="2"/>
      </rPr>
      <t>C</t>
    </r>
  </si>
  <si>
    <t xml:space="preserve">Bode Plot </t>
  </si>
  <si>
    <t>Log Scale Converter</t>
  </si>
  <si>
    <t>frequency</t>
  </si>
  <si>
    <t>ω</t>
  </si>
  <si>
    <t>rad</t>
  </si>
  <si>
    <t>Gain</t>
  </si>
  <si>
    <t>Opto-Coupler Diode Current to Emitter Current Gain</t>
  </si>
  <si>
    <t>dB</t>
  </si>
  <si>
    <t>degrees</t>
  </si>
  <si>
    <t>Output Current to Output Voltage Gain</t>
  </si>
  <si>
    <t>Shunt Regulator Reference Input Current, Maximum</t>
  </si>
  <si>
    <r>
      <t>Reference Voltage of Shunt Regulator, i.e. TL431, V</t>
    </r>
    <r>
      <rPr>
        <vertAlign val="subscript"/>
        <sz val="11"/>
        <rFont val="Arial"/>
        <family val="2"/>
      </rPr>
      <t>REF431</t>
    </r>
    <r>
      <rPr>
        <sz val="11"/>
        <rFont val="Arial"/>
        <family val="2"/>
      </rPr>
      <t xml:space="preserve"> =</t>
    </r>
  </si>
  <si>
    <r>
      <t>Maximum Reference Input Current of Shunt Regulator, I</t>
    </r>
    <r>
      <rPr>
        <vertAlign val="subscript"/>
        <sz val="11"/>
        <rFont val="Arial"/>
        <family val="2"/>
      </rPr>
      <t>REF431</t>
    </r>
    <r>
      <rPr>
        <sz val="11"/>
        <rFont val="Arial"/>
        <family val="2"/>
      </rPr>
      <t xml:space="preserve"> =</t>
    </r>
  </si>
  <si>
    <r>
      <rPr>
        <b/>
        <sz val="11"/>
        <color theme="1"/>
        <rFont val="Arial"/>
        <family val="2"/>
      </rPr>
      <t>Recommeded</t>
    </r>
    <r>
      <rPr>
        <sz val="11"/>
        <color theme="1"/>
        <rFont val="Arial"/>
        <family val="2"/>
      </rPr>
      <t xml:space="preserve"> Value for Shunt Regulator Bias Resistor</t>
    </r>
  </si>
  <si>
    <r>
      <t>R</t>
    </r>
    <r>
      <rPr>
        <vertAlign val="subscript"/>
        <sz val="11"/>
        <color theme="1"/>
        <rFont val="Arial"/>
        <family val="2"/>
      </rPr>
      <t>TLrecommended</t>
    </r>
    <r>
      <rPr>
        <sz val="11"/>
        <color theme="1"/>
        <rFont val="Arial"/>
        <family val="2"/>
      </rPr>
      <t xml:space="preserve"> =</t>
    </r>
  </si>
  <si>
    <r>
      <t>R</t>
    </r>
    <r>
      <rPr>
        <vertAlign val="subscript"/>
        <sz val="11"/>
        <color theme="1"/>
        <rFont val="Arial"/>
        <family val="2"/>
      </rPr>
      <t>TLactual</t>
    </r>
    <r>
      <rPr>
        <sz val="11"/>
        <color theme="1"/>
        <rFont val="Arial"/>
        <family val="2"/>
      </rPr>
      <t xml:space="preserve"> =</t>
    </r>
  </si>
  <si>
    <r>
      <rPr>
        <b/>
        <sz val="11"/>
        <color theme="1"/>
        <rFont val="Arial"/>
        <family val="2"/>
      </rPr>
      <t xml:space="preserve">Actual </t>
    </r>
    <r>
      <rPr>
        <sz val="11"/>
        <color theme="1"/>
        <rFont val="Arial"/>
        <family val="2"/>
      </rPr>
      <t>Value of Shunt Regulator Bias Resistor Used</t>
    </r>
  </si>
  <si>
    <r>
      <t>R</t>
    </r>
    <r>
      <rPr>
        <vertAlign val="subscript"/>
        <sz val="11"/>
        <color theme="1"/>
        <rFont val="Arial"/>
        <family val="2"/>
      </rPr>
      <t>TL</t>
    </r>
    <r>
      <rPr>
        <sz val="11"/>
        <color theme="1"/>
        <rFont val="Arial"/>
        <family val="2"/>
      </rPr>
      <t xml:space="preserve"> Used in Calculations</t>
    </r>
  </si>
  <si>
    <r>
      <t>R</t>
    </r>
    <r>
      <rPr>
        <vertAlign val="subscript"/>
        <sz val="11"/>
        <color theme="1"/>
        <rFont val="Arial"/>
        <family val="2"/>
      </rPr>
      <t>TL</t>
    </r>
    <r>
      <rPr>
        <sz val="11"/>
        <color theme="1"/>
        <rFont val="Arial"/>
        <family val="2"/>
      </rPr>
      <t xml:space="preserve"> =</t>
    </r>
  </si>
  <si>
    <r>
      <t>Recommended R</t>
    </r>
    <r>
      <rPr>
        <vertAlign val="subscript"/>
        <sz val="11"/>
        <color theme="1"/>
        <rFont val="Arial"/>
        <family val="2"/>
      </rPr>
      <t>TL</t>
    </r>
  </si>
  <si>
    <r>
      <rPr>
        <b/>
        <sz val="11"/>
        <color theme="1"/>
        <rFont val="Arial"/>
        <family val="2"/>
      </rPr>
      <t>Recommended</t>
    </r>
    <r>
      <rPr>
        <sz val="11"/>
        <color theme="1"/>
        <rFont val="Arial"/>
        <family val="2"/>
      </rPr>
      <t xml:space="preserve"> Value for Shunt Regulator Bias Resistor, R</t>
    </r>
    <r>
      <rPr>
        <vertAlign val="subscript"/>
        <sz val="11"/>
        <color theme="1"/>
        <rFont val="Arial"/>
        <family val="2"/>
      </rPr>
      <t>TL</t>
    </r>
    <r>
      <rPr>
        <sz val="11"/>
        <color theme="1"/>
        <rFont val="Arial"/>
        <family val="2"/>
      </rPr>
      <t xml:space="preserve"> =</t>
    </r>
  </si>
  <si>
    <r>
      <rPr>
        <b/>
        <sz val="11"/>
        <color theme="1"/>
        <rFont val="Arial"/>
        <family val="2"/>
      </rPr>
      <t>Actual</t>
    </r>
    <r>
      <rPr>
        <sz val="11"/>
        <color theme="1"/>
        <rFont val="Arial"/>
        <family val="2"/>
      </rPr>
      <t xml:space="preserve"> Value of Shunt Regulator Bias Resistor Used, R</t>
    </r>
    <r>
      <rPr>
        <vertAlign val="subscript"/>
        <sz val="11"/>
        <color theme="1"/>
        <rFont val="Arial"/>
        <family val="2"/>
      </rPr>
      <t>TL</t>
    </r>
    <r>
      <rPr>
        <sz val="11"/>
        <color theme="1"/>
        <rFont val="Arial"/>
        <family val="2"/>
      </rPr>
      <t xml:space="preserve"> =</t>
    </r>
  </si>
  <si>
    <r>
      <t>Enter Actual R</t>
    </r>
    <r>
      <rPr>
        <vertAlign val="subscript"/>
        <sz val="11"/>
        <color theme="1"/>
        <rFont val="Arial"/>
        <family val="2"/>
      </rPr>
      <t>TL</t>
    </r>
    <r>
      <rPr>
        <sz val="11"/>
        <color theme="1"/>
        <rFont val="Arial"/>
        <family val="2"/>
      </rPr>
      <t xml:space="preserve"> Used</t>
    </r>
  </si>
  <si>
    <t>Total Open Loop Gain</t>
  </si>
  <si>
    <t>Frequency for Cz:</t>
  </si>
  <si>
    <r>
      <rPr>
        <b/>
        <sz val="11"/>
        <color theme="1"/>
        <rFont val="Arial"/>
        <family val="2"/>
      </rPr>
      <t>Recommended</t>
    </r>
    <r>
      <rPr>
        <sz val="11"/>
        <color theme="1"/>
        <rFont val="Arial"/>
        <family val="2"/>
      </rPr>
      <t xml:space="preserve"> Value for Compensation Capacitor</t>
    </r>
  </si>
  <si>
    <r>
      <t>C</t>
    </r>
    <r>
      <rPr>
        <vertAlign val="subscript"/>
        <sz val="11"/>
        <color theme="1"/>
        <rFont val="Arial"/>
        <family val="2"/>
      </rPr>
      <t>Zrecommended</t>
    </r>
    <r>
      <rPr>
        <sz val="11"/>
        <color theme="1"/>
        <rFont val="Arial"/>
        <family val="2"/>
      </rPr>
      <t xml:space="preserve"> =</t>
    </r>
  </si>
  <si>
    <r>
      <t>C</t>
    </r>
    <r>
      <rPr>
        <vertAlign val="subscript"/>
        <sz val="11"/>
        <color theme="1"/>
        <rFont val="Arial"/>
        <family val="2"/>
      </rPr>
      <t>Zactual =</t>
    </r>
  </si>
  <si>
    <r>
      <rPr>
        <b/>
        <sz val="11"/>
        <color theme="1"/>
        <rFont val="Arial"/>
        <family val="2"/>
      </rPr>
      <t xml:space="preserve">Actual </t>
    </r>
    <r>
      <rPr>
        <sz val="11"/>
        <color theme="1"/>
        <rFont val="Arial"/>
        <family val="2"/>
      </rPr>
      <t>Value Used C</t>
    </r>
    <r>
      <rPr>
        <vertAlign val="subscript"/>
        <sz val="11"/>
        <color theme="1"/>
        <rFont val="Arial"/>
        <family val="2"/>
      </rPr>
      <t>Z</t>
    </r>
  </si>
  <si>
    <r>
      <t>Recommended C</t>
    </r>
    <r>
      <rPr>
        <vertAlign val="subscript"/>
        <sz val="11"/>
        <color theme="1"/>
        <rFont val="Arial"/>
        <family val="2"/>
      </rPr>
      <t>Z</t>
    </r>
  </si>
  <si>
    <r>
      <rPr>
        <b/>
        <sz val="11"/>
        <color theme="1"/>
        <rFont val="Arial"/>
        <family val="2"/>
      </rPr>
      <t>Recommended</t>
    </r>
    <r>
      <rPr>
        <sz val="11"/>
        <color theme="1"/>
        <rFont val="Arial"/>
        <family val="2"/>
      </rPr>
      <t xml:space="preserve"> Value for Compensation Capacitor, C</t>
    </r>
    <r>
      <rPr>
        <vertAlign val="subscript"/>
        <sz val="11"/>
        <color theme="1"/>
        <rFont val="Arial"/>
        <family val="2"/>
      </rPr>
      <t>Z</t>
    </r>
    <r>
      <rPr>
        <sz val="11"/>
        <color theme="1"/>
        <rFont val="Arial"/>
        <family val="2"/>
      </rPr>
      <t xml:space="preserve"> =</t>
    </r>
  </si>
  <si>
    <r>
      <rPr>
        <b/>
        <sz val="11"/>
        <color theme="1"/>
        <rFont val="Arial"/>
        <family val="2"/>
      </rPr>
      <t>Actual</t>
    </r>
    <r>
      <rPr>
        <sz val="11"/>
        <color theme="1"/>
        <rFont val="Arial"/>
        <family val="2"/>
      </rPr>
      <t xml:space="preserve"> Value of Compensation Capacitor Used, C</t>
    </r>
    <r>
      <rPr>
        <vertAlign val="subscript"/>
        <sz val="11"/>
        <color theme="1"/>
        <rFont val="Arial"/>
        <family val="2"/>
      </rPr>
      <t>Z</t>
    </r>
    <r>
      <rPr>
        <sz val="11"/>
        <color theme="1"/>
        <rFont val="Arial"/>
        <family val="2"/>
      </rPr>
      <t xml:space="preserve"> =</t>
    </r>
  </si>
  <si>
    <r>
      <t>Enter Actual C</t>
    </r>
    <r>
      <rPr>
        <vertAlign val="subscript"/>
        <sz val="11"/>
        <color theme="1"/>
        <rFont val="Arial"/>
        <family val="2"/>
      </rPr>
      <t>Z</t>
    </r>
    <r>
      <rPr>
        <sz val="11"/>
        <color theme="1"/>
        <rFont val="Arial"/>
        <family val="2"/>
      </rPr>
      <t xml:space="preserve"> Used</t>
    </r>
  </si>
  <si>
    <r>
      <t xml:space="preserve">ALL </t>
    </r>
    <r>
      <rPr>
        <b/>
        <sz val="14"/>
        <color theme="6"/>
        <rFont val="Arial"/>
        <family val="2"/>
      </rPr>
      <t>GREEN</t>
    </r>
    <r>
      <rPr>
        <b/>
        <sz val="14"/>
        <color theme="1"/>
        <rFont val="Arial"/>
        <family val="2"/>
      </rPr>
      <t xml:space="preserve"> CELLS ARE USER INPUTS</t>
    </r>
  </si>
  <si>
    <r>
      <t>f</t>
    </r>
    <r>
      <rPr>
        <b/>
        <vertAlign val="subscript"/>
        <sz val="11"/>
        <color theme="1"/>
        <rFont val="Arial"/>
        <family val="2"/>
      </rPr>
      <t>max</t>
    </r>
    <r>
      <rPr>
        <b/>
        <sz val="11"/>
        <color theme="1"/>
        <rFont val="Arial"/>
        <family val="2"/>
      </rPr>
      <t xml:space="preserve"> =</t>
    </r>
  </si>
  <si>
    <t>Reference Designator</t>
  </si>
  <si>
    <t>FUSE</t>
  </si>
  <si>
    <t>Total Capacitance</t>
  </si>
  <si>
    <t>RECOMMENDED BILL OF MATERIALS</t>
  </si>
  <si>
    <t>Description/Comments</t>
  </si>
  <si>
    <t>Type:</t>
  </si>
  <si>
    <r>
      <t>N</t>
    </r>
    <r>
      <rPr>
        <vertAlign val="subscript"/>
        <sz val="12"/>
        <color theme="1"/>
        <rFont val="Arial"/>
        <family val="2"/>
      </rPr>
      <t>PS</t>
    </r>
    <r>
      <rPr>
        <sz val="12"/>
        <color theme="1"/>
        <rFont val="Arial"/>
        <family val="2"/>
      </rPr>
      <t/>
    </r>
  </si>
  <si>
    <r>
      <t>N</t>
    </r>
    <r>
      <rPr>
        <vertAlign val="subscript"/>
        <sz val="12"/>
        <color theme="1"/>
        <rFont val="Arial"/>
        <family val="2"/>
      </rPr>
      <t>PA</t>
    </r>
  </si>
  <si>
    <t>TRANSFORMER</t>
  </si>
  <si>
    <t>Minimum Voltage Rating:</t>
  </si>
  <si>
    <t>Minimum Current Rating:</t>
  </si>
  <si>
    <t>Minimum DC Blocking Voltage:</t>
  </si>
  <si>
    <t>Power Dissipation:</t>
  </si>
  <si>
    <t>Value:</t>
  </si>
  <si>
    <t>Primary Inductance:</t>
  </si>
  <si>
    <t>Primary to Secondary Turns Ratio:</t>
  </si>
  <si>
    <t>Primary to Auxiliary Turns Ratio:</t>
  </si>
  <si>
    <t>Peak Primary Current:</t>
  </si>
  <si>
    <t>Primary RMS Current:</t>
  </si>
  <si>
    <t>Peak Secondary Current:</t>
  </si>
  <si>
    <t>Secondary RMS Current:</t>
  </si>
  <si>
    <t>Maximum Switching Frequency:</t>
  </si>
  <si>
    <r>
      <t>R</t>
    </r>
    <r>
      <rPr>
        <b/>
        <vertAlign val="subscript"/>
        <sz val="12"/>
        <color rgb="FFFF0000"/>
        <rFont val="Arial"/>
        <family val="2"/>
      </rPr>
      <t>CS</t>
    </r>
  </si>
  <si>
    <t>Low Inductance</t>
  </si>
  <si>
    <t>Q</t>
  </si>
  <si>
    <t>Slow Blow</t>
  </si>
  <si>
    <r>
      <t>Minimum V</t>
    </r>
    <r>
      <rPr>
        <vertAlign val="subscript"/>
        <sz val="12"/>
        <color theme="1"/>
        <rFont val="Arial"/>
        <family val="2"/>
      </rPr>
      <t>DS</t>
    </r>
    <r>
      <rPr>
        <sz val="12"/>
        <color theme="1"/>
        <rFont val="Arial"/>
        <family val="2"/>
      </rPr>
      <t xml:space="preserve"> Voltage Rating:</t>
    </r>
  </si>
  <si>
    <t>Minimum Continuous Current Rating:</t>
  </si>
  <si>
    <t>Minimum Repetitive Peak Current Rating:</t>
  </si>
  <si>
    <t>Minimum Blocking Voltage Rating:</t>
  </si>
  <si>
    <t>Minimum Average Current Rating:</t>
  </si>
  <si>
    <t>Minimum Value:</t>
  </si>
  <si>
    <t>Minimum Ripple Current Rating:</t>
  </si>
  <si>
    <t>Maximum ESR Rating:</t>
  </si>
  <si>
    <r>
      <t>D</t>
    </r>
    <r>
      <rPr>
        <b/>
        <vertAlign val="subscript"/>
        <sz val="12"/>
        <color rgb="FFFF0000"/>
        <rFont val="Arial"/>
        <family val="2"/>
      </rPr>
      <t>AUX</t>
    </r>
  </si>
  <si>
    <t>Minimum Required Blocking Voltage:</t>
  </si>
  <si>
    <t>Minimum Rated Current:</t>
  </si>
  <si>
    <r>
      <t>R</t>
    </r>
    <r>
      <rPr>
        <b/>
        <vertAlign val="subscript"/>
        <sz val="12"/>
        <color rgb="FFFF0000"/>
        <rFont val="Arial"/>
        <family val="2"/>
      </rPr>
      <t>VS1</t>
    </r>
  </si>
  <si>
    <t>Power Rating:</t>
  </si>
  <si>
    <t>±1%</t>
  </si>
  <si>
    <r>
      <t>R</t>
    </r>
    <r>
      <rPr>
        <b/>
        <vertAlign val="subscript"/>
        <sz val="12"/>
        <color rgb="FFFF0000"/>
        <rFont val="Arial"/>
        <family val="2"/>
      </rPr>
      <t>VS2</t>
    </r>
  </si>
  <si>
    <r>
      <t>R</t>
    </r>
    <r>
      <rPr>
        <b/>
        <vertAlign val="subscript"/>
        <sz val="12"/>
        <color rgb="FFFF0000"/>
        <rFont val="Arial"/>
        <family val="2"/>
      </rPr>
      <t>LC</t>
    </r>
  </si>
  <si>
    <r>
      <t>C</t>
    </r>
    <r>
      <rPr>
        <b/>
        <vertAlign val="subscript"/>
        <sz val="12"/>
        <color rgb="FFFF0000"/>
        <rFont val="Arial"/>
        <family val="2"/>
      </rPr>
      <t>VDD</t>
    </r>
  </si>
  <si>
    <t>Voltage Rating:</t>
  </si>
  <si>
    <t>±10%</t>
  </si>
  <si>
    <r>
      <t>C</t>
    </r>
    <r>
      <rPr>
        <b/>
        <vertAlign val="subscript"/>
        <sz val="12"/>
        <color rgb="FFFF0000"/>
        <rFont val="Arial"/>
        <family val="2"/>
      </rPr>
      <t>EXT</t>
    </r>
  </si>
  <si>
    <r>
      <t>C</t>
    </r>
    <r>
      <rPr>
        <b/>
        <vertAlign val="subscript"/>
        <sz val="12"/>
        <color rgb="FFFF0000"/>
        <rFont val="Arial"/>
        <family val="2"/>
      </rPr>
      <t>FB</t>
    </r>
  </si>
  <si>
    <r>
      <t>C</t>
    </r>
    <r>
      <rPr>
        <b/>
        <vertAlign val="subscript"/>
        <sz val="12"/>
        <color rgb="FFFF0000"/>
        <rFont val="Arial"/>
        <family val="2"/>
      </rPr>
      <t>SS431</t>
    </r>
  </si>
  <si>
    <r>
      <t>C</t>
    </r>
    <r>
      <rPr>
        <b/>
        <vertAlign val="subscript"/>
        <sz val="12"/>
        <color rgb="FFFF0000"/>
        <rFont val="Arial"/>
        <family val="2"/>
      </rPr>
      <t>Z</t>
    </r>
  </si>
  <si>
    <r>
      <t>D</t>
    </r>
    <r>
      <rPr>
        <b/>
        <vertAlign val="subscript"/>
        <sz val="12"/>
        <color rgb="FFFF0000"/>
        <rFont val="Arial"/>
        <family val="2"/>
      </rPr>
      <t>CLAMP</t>
    </r>
  </si>
  <si>
    <t>Voltage:</t>
  </si>
  <si>
    <t>Transient Voltage Suppressor</t>
  </si>
  <si>
    <r>
      <t>D</t>
    </r>
    <r>
      <rPr>
        <b/>
        <vertAlign val="subscript"/>
        <sz val="12"/>
        <color rgb="FFFF0000"/>
        <rFont val="Arial"/>
        <family val="2"/>
      </rPr>
      <t>1</t>
    </r>
  </si>
  <si>
    <t>Ultra Fast</t>
  </si>
  <si>
    <t>Current Rating:</t>
  </si>
  <si>
    <t>OPTO-COUPLER</t>
  </si>
  <si>
    <t>SHUNT REGULATOR</t>
  </si>
  <si>
    <r>
      <t>D</t>
    </r>
    <r>
      <rPr>
        <b/>
        <vertAlign val="subscript"/>
        <sz val="12"/>
        <color rgb="FFFF0000"/>
        <rFont val="Arial"/>
        <family val="2"/>
      </rPr>
      <t>OUT</t>
    </r>
  </si>
  <si>
    <r>
      <t>CTR</t>
    </r>
    <r>
      <rPr>
        <vertAlign val="subscript"/>
        <sz val="12"/>
        <color theme="1"/>
        <rFont val="Arial"/>
        <family val="2"/>
      </rPr>
      <t>min</t>
    </r>
    <r>
      <rPr>
        <sz val="12"/>
        <color theme="1"/>
        <rFont val="Arial"/>
        <family val="2"/>
      </rPr>
      <t>:</t>
    </r>
  </si>
  <si>
    <r>
      <t>R</t>
    </r>
    <r>
      <rPr>
        <b/>
        <vertAlign val="subscript"/>
        <sz val="12"/>
        <color rgb="FFFF0000"/>
        <rFont val="Arial"/>
        <family val="2"/>
      </rPr>
      <t>INJ</t>
    </r>
  </si>
  <si>
    <r>
      <t>R</t>
    </r>
    <r>
      <rPr>
        <b/>
        <vertAlign val="subscript"/>
        <sz val="12"/>
        <color rgb="FFFF0000"/>
        <rFont val="Arial"/>
        <family val="2"/>
      </rPr>
      <t>VDD</t>
    </r>
  </si>
  <si>
    <t>2 to 50</t>
  </si>
  <si>
    <t>As Needed for Voltage Spike Smoothing</t>
  </si>
  <si>
    <t>1/10 to 1/2</t>
  </si>
  <si>
    <r>
      <t>R</t>
    </r>
    <r>
      <rPr>
        <b/>
        <vertAlign val="subscript"/>
        <sz val="12"/>
        <color rgb="FFFF0000"/>
        <rFont val="Arial"/>
        <family val="2"/>
      </rPr>
      <t>FB1</t>
    </r>
  </si>
  <si>
    <r>
      <t>R</t>
    </r>
    <r>
      <rPr>
        <b/>
        <vertAlign val="subscript"/>
        <sz val="12"/>
        <color rgb="FFFF0000"/>
        <rFont val="Arial"/>
        <family val="2"/>
      </rPr>
      <t>FB2</t>
    </r>
  </si>
  <si>
    <r>
      <t>R</t>
    </r>
    <r>
      <rPr>
        <b/>
        <vertAlign val="subscript"/>
        <sz val="12"/>
        <color rgb="FFFF0000"/>
        <rFont val="Arial"/>
        <family val="2"/>
      </rPr>
      <t>FB3</t>
    </r>
  </si>
  <si>
    <r>
      <t>R</t>
    </r>
    <r>
      <rPr>
        <b/>
        <vertAlign val="subscript"/>
        <sz val="12"/>
        <color rgb="FFFF0000"/>
        <rFont val="Arial"/>
        <family val="2"/>
      </rPr>
      <t>FB4</t>
    </r>
  </si>
  <si>
    <r>
      <t>R</t>
    </r>
    <r>
      <rPr>
        <b/>
        <vertAlign val="subscript"/>
        <sz val="12"/>
        <color rgb="FFFF0000"/>
        <rFont val="Arial"/>
        <family val="2"/>
      </rPr>
      <t>OPT</t>
    </r>
  </si>
  <si>
    <r>
      <t>k</t>
    </r>
    <r>
      <rPr>
        <sz val="12"/>
        <color theme="1"/>
        <rFont val="Calibri"/>
        <family val="2"/>
      </rPr>
      <t>Ω</t>
    </r>
  </si>
  <si>
    <r>
      <t>R</t>
    </r>
    <r>
      <rPr>
        <b/>
        <vertAlign val="subscript"/>
        <sz val="12"/>
        <color rgb="FFFF0000"/>
        <rFont val="Arial"/>
        <family val="2"/>
      </rPr>
      <t>TL</t>
    </r>
  </si>
  <si>
    <t>Voltage Reference:</t>
  </si>
  <si>
    <t>Schottky</t>
  </si>
  <si>
    <t>Switching</t>
  </si>
  <si>
    <t>Aluminum Electrolytic</t>
  </si>
  <si>
    <t>Ceramic</t>
  </si>
  <si>
    <t>TI Literature Number:</t>
  </si>
  <si>
    <t>Flyback Transformer, Primary to Secondary Turns Ratio</t>
  </si>
  <si>
    <t>Actual Minimum On-Time</t>
  </si>
  <si>
    <r>
      <t>t</t>
    </r>
    <r>
      <rPr>
        <vertAlign val="subscript"/>
        <sz val="11"/>
        <color theme="1"/>
        <rFont val="Arial"/>
        <family val="2"/>
      </rPr>
      <t xml:space="preserve">ONmin(actual) </t>
    </r>
    <r>
      <rPr>
        <sz val="11"/>
        <color theme="1"/>
        <rFont val="Arial"/>
        <family val="2"/>
      </rPr>
      <t>=</t>
    </r>
  </si>
  <si>
    <r>
      <t>t</t>
    </r>
    <r>
      <rPr>
        <vertAlign val="subscript"/>
        <sz val="11"/>
        <color theme="1"/>
        <rFont val="Arial"/>
        <family val="2"/>
      </rPr>
      <t xml:space="preserve">ONmin(limit) </t>
    </r>
    <r>
      <rPr>
        <sz val="11"/>
        <color theme="1"/>
        <rFont val="Arial"/>
        <family val="2"/>
      </rPr>
      <t>=</t>
    </r>
  </si>
  <si>
    <r>
      <rPr>
        <b/>
        <sz val="11"/>
        <color theme="1"/>
        <rFont val="Arial"/>
        <family val="2"/>
      </rPr>
      <t>Ideal</t>
    </r>
    <r>
      <rPr>
        <sz val="11"/>
        <color theme="1"/>
        <rFont val="Arial"/>
        <family val="2"/>
      </rPr>
      <t xml:space="preserve"> Primary to Secondary Turns Ratio</t>
    </r>
  </si>
  <si>
    <r>
      <t>N</t>
    </r>
    <r>
      <rPr>
        <vertAlign val="subscript"/>
        <sz val="11"/>
        <color theme="1"/>
        <rFont val="Arial"/>
        <family val="2"/>
      </rPr>
      <t>PSideal</t>
    </r>
    <r>
      <rPr>
        <sz val="11"/>
        <color theme="1"/>
        <rFont val="Arial"/>
        <family val="2"/>
      </rPr>
      <t xml:space="preserve"> =</t>
    </r>
  </si>
  <si>
    <r>
      <rPr>
        <b/>
        <sz val="11"/>
        <color theme="1"/>
        <rFont val="Arial"/>
        <family val="2"/>
      </rPr>
      <t>Ideal</t>
    </r>
    <r>
      <rPr>
        <sz val="11"/>
        <color theme="1"/>
        <rFont val="Arial"/>
        <family val="2"/>
      </rPr>
      <t xml:space="preserve"> Primary to Secondary Turns Ratio, N</t>
    </r>
    <r>
      <rPr>
        <vertAlign val="subscript"/>
        <sz val="11"/>
        <color theme="1"/>
        <rFont val="Arial"/>
        <family val="2"/>
      </rPr>
      <t>PSideal</t>
    </r>
    <r>
      <rPr>
        <sz val="11"/>
        <color theme="1"/>
        <rFont val="Arial"/>
        <family val="2"/>
      </rPr>
      <t xml:space="preserve"> =</t>
    </r>
  </si>
  <si>
    <r>
      <t>Recommended N</t>
    </r>
    <r>
      <rPr>
        <vertAlign val="subscript"/>
        <sz val="11"/>
        <color theme="1"/>
        <rFont val="Arial"/>
        <family val="2"/>
      </rPr>
      <t>PS</t>
    </r>
  </si>
  <si>
    <r>
      <t xml:space="preserve">Desired </t>
    </r>
    <r>
      <rPr>
        <sz val="11"/>
        <rFont val="Arial"/>
        <family val="2"/>
      </rPr>
      <t>Minimum Valley Voltage, V</t>
    </r>
    <r>
      <rPr>
        <vertAlign val="subscript"/>
        <sz val="11"/>
        <rFont val="Arial"/>
        <family val="2"/>
      </rPr>
      <t>BULKvalley_desired</t>
    </r>
    <r>
      <rPr>
        <sz val="11"/>
        <rFont val="Arial"/>
        <family val="2"/>
      </rPr>
      <t xml:space="preserve"> =</t>
    </r>
  </si>
  <si>
    <r>
      <t>Target Maximum Stand By Power Dissipation, P</t>
    </r>
    <r>
      <rPr>
        <vertAlign val="subscript"/>
        <sz val="11"/>
        <color theme="1"/>
        <rFont val="Arial"/>
        <family val="2"/>
      </rPr>
      <t>SBtarget</t>
    </r>
    <r>
      <rPr>
        <sz val="11"/>
        <color theme="1"/>
        <rFont val="Arial"/>
        <family val="2"/>
      </rPr>
      <t xml:space="preserve"> =</t>
    </r>
  </si>
  <si>
    <t>Using a value less than recommended will result in a minimum valley voltage less than desired, requiring a larger power stage to accommodate the higher currents due to the lower input rail.  Using a value larger than recommended will result in a higher input rail and lower currents on the power stage but higher peak current in the input capacitor itself.</t>
  </si>
  <si>
    <r>
      <t>Required Drain to Soure Voltage Rating , V</t>
    </r>
    <r>
      <rPr>
        <vertAlign val="subscript"/>
        <sz val="11"/>
        <rFont val="Arial"/>
        <family val="2"/>
      </rPr>
      <t>DSrated</t>
    </r>
    <r>
      <rPr>
        <sz val="11"/>
        <rFont val="Arial"/>
        <family val="2"/>
      </rPr>
      <t xml:space="preserve"> =</t>
    </r>
  </si>
  <si>
    <r>
      <t>V</t>
    </r>
    <r>
      <rPr>
        <vertAlign val="subscript"/>
        <sz val="12"/>
        <rFont val="Arial"/>
        <family val="2"/>
      </rPr>
      <t>DSmin_rating</t>
    </r>
    <r>
      <rPr>
        <sz val="12"/>
        <rFont val="Arial"/>
        <family val="2"/>
      </rPr>
      <t xml:space="preserve"> =</t>
    </r>
  </si>
  <si>
    <t>Estimated Transformer Efficiency</t>
  </si>
  <si>
    <t>Worst Case Estimate</t>
  </si>
  <si>
    <t>Noise Injection Resistor For Loop Analysis</t>
  </si>
  <si>
    <r>
      <t>R</t>
    </r>
    <r>
      <rPr>
        <vertAlign val="subscript"/>
        <sz val="11"/>
        <color theme="1"/>
        <rFont val="Arial"/>
        <family val="2"/>
      </rPr>
      <t>INJ</t>
    </r>
    <r>
      <rPr>
        <sz val="11"/>
        <color theme="1"/>
        <rFont val="Arial"/>
        <family val="2"/>
      </rPr>
      <t xml:space="preserve"> =</t>
    </r>
  </si>
  <si>
    <t>Ω</t>
  </si>
  <si>
    <t>May be changed by User here</t>
  </si>
  <si>
    <r>
      <t>Full Load Rated Output Current, I</t>
    </r>
    <r>
      <rPr>
        <vertAlign val="subscript"/>
        <sz val="11"/>
        <color theme="1"/>
        <rFont val="Arial"/>
        <family val="2"/>
      </rPr>
      <t>OUT</t>
    </r>
    <r>
      <rPr>
        <sz val="11"/>
        <color theme="1"/>
        <rFont val="Arial"/>
        <family val="2"/>
      </rPr>
      <t xml:space="preserve"> =</t>
    </r>
  </si>
  <si>
    <r>
      <t>I</t>
    </r>
    <r>
      <rPr>
        <vertAlign val="subscript"/>
        <sz val="11"/>
        <rFont val="Arial"/>
        <family val="2"/>
      </rPr>
      <t>OUT</t>
    </r>
    <r>
      <rPr>
        <sz val="11"/>
        <rFont val="Arial"/>
        <family val="2"/>
      </rPr>
      <t xml:space="preserve"> =</t>
    </r>
  </si>
  <si>
    <t>Full Load Rated Output Current</t>
  </si>
  <si>
    <t>Target Constant Current Mode Output Load Threshold</t>
  </si>
  <si>
    <r>
      <t>Target Constant Current Mode Output Load Threshold, I</t>
    </r>
    <r>
      <rPr>
        <vertAlign val="subscript"/>
        <sz val="11"/>
        <color theme="1"/>
        <rFont val="Arial"/>
        <family val="2"/>
      </rPr>
      <t>OCC</t>
    </r>
    <r>
      <rPr>
        <sz val="11"/>
        <color theme="1"/>
        <rFont val="Arial"/>
        <family val="2"/>
      </rPr>
      <t xml:space="preserve"> =</t>
    </r>
  </si>
  <si>
    <r>
      <t>C</t>
    </r>
    <r>
      <rPr>
        <b/>
        <vertAlign val="subscript"/>
        <sz val="12"/>
        <color rgb="FFFF0000"/>
        <rFont val="Arial"/>
        <family val="2"/>
      </rPr>
      <t>BULKtotal</t>
    </r>
    <r>
      <rPr>
        <b/>
        <sz val="12"/>
        <color rgb="FFFF0000"/>
        <rFont val="Arial"/>
        <family val="2"/>
      </rPr>
      <t xml:space="preserve"> = C</t>
    </r>
    <r>
      <rPr>
        <b/>
        <vertAlign val="subscript"/>
        <sz val="12"/>
        <color rgb="FFFF0000"/>
        <rFont val="Arial"/>
        <family val="2"/>
      </rPr>
      <t>BULK1</t>
    </r>
    <r>
      <rPr>
        <b/>
        <sz val="12"/>
        <color rgb="FFFF0000"/>
        <rFont val="Arial"/>
        <family val="2"/>
      </rPr>
      <t xml:space="preserve"> + C</t>
    </r>
    <r>
      <rPr>
        <b/>
        <vertAlign val="subscript"/>
        <sz val="12"/>
        <color rgb="FFFF0000"/>
        <rFont val="Arial"/>
        <family val="2"/>
      </rPr>
      <t>BULK2</t>
    </r>
  </si>
  <si>
    <r>
      <t>C</t>
    </r>
    <r>
      <rPr>
        <b/>
        <vertAlign val="subscript"/>
        <sz val="12"/>
        <color rgb="FFFF0000"/>
        <rFont val="Arial"/>
        <family val="2"/>
      </rPr>
      <t>OUTtotal</t>
    </r>
    <r>
      <rPr>
        <b/>
        <sz val="12"/>
        <color rgb="FFFF0000"/>
        <rFont val="Arial"/>
        <family val="2"/>
      </rPr>
      <t xml:space="preserve"> = C</t>
    </r>
    <r>
      <rPr>
        <b/>
        <vertAlign val="subscript"/>
        <sz val="12"/>
        <color rgb="FFFF0000"/>
        <rFont val="Arial"/>
        <family val="2"/>
      </rPr>
      <t>OUT1</t>
    </r>
    <r>
      <rPr>
        <b/>
        <sz val="12"/>
        <color rgb="FFFF0000"/>
        <rFont val="Arial"/>
        <family val="2"/>
      </rPr>
      <t xml:space="preserve"> + C</t>
    </r>
    <r>
      <rPr>
        <b/>
        <vertAlign val="subscript"/>
        <sz val="12"/>
        <color rgb="FFFF0000"/>
        <rFont val="Arial"/>
        <family val="2"/>
      </rPr>
      <t>OUT2</t>
    </r>
  </si>
  <si>
    <t>Minimum Peak Current Rating:</t>
  </si>
  <si>
    <r>
      <t>Used to determine the required input bulk capacitor at minimum line, full load. For DC input, use V</t>
    </r>
    <r>
      <rPr>
        <vertAlign val="subscript"/>
        <sz val="11"/>
        <rFont val="Arial"/>
        <family val="2"/>
      </rPr>
      <t>INPUTrun</t>
    </r>
  </si>
  <si>
    <t>Not Applicable for DC input</t>
  </si>
  <si>
    <t>SLUC487B</t>
  </si>
  <si>
    <t>For universal line enter 47 Hz</t>
  </si>
  <si>
    <r>
      <t>Maximum Desired Switching Frequency, User must input value not greater than 100 kHz,  f</t>
    </r>
    <r>
      <rPr>
        <vertAlign val="subscript"/>
        <sz val="11"/>
        <color theme="1"/>
        <rFont val="Arial"/>
        <family val="2"/>
      </rPr>
      <t>max</t>
    </r>
    <r>
      <rPr>
        <sz val="11"/>
        <color theme="1"/>
        <rFont val="Arial"/>
        <family val="2"/>
      </rPr>
      <t xml:space="preserve"> =</t>
    </r>
  </si>
  <si>
    <r>
      <t>Initial estimate for L</t>
    </r>
    <r>
      <rPr>
        <vertAlign val="subscript"/>
        <sz val="11"/>
        <rFont val="Arial"/>
        <family val="2"/>
      </rPr>
      <t>P</t>
    </r>
    <r>
      <rPr>
        <sz val="11"/>
        <rFont val="Arial"/>
        <family val="2"/>
      </rPr>
      <t/>
    </r>
  </si>
  <si>
    <r>
      <t>L</t>
    </r>
    <r>
      <rPr>
        <vertAlign val="subscript"/>
        <sz val="11"/>
        <rFont val="Arial"/>
        <family val="2"/>
      </rPr>
      <t>P_estimate</t>
    </r>
    <r>
      <rPr>
        <sz val="11"/>
        <rFont val="Arial"/>
        <family val="2"/>
      </rPr>
      <t xml:space="preserve"> =</t>
    </r>
  </si>
  <si>
    <t>Peak Primary Current, Minimum, Full Load</t>
  </si>
  <si>
    <r>
      <t>I</t>
    </r>
    <r>
      <rPr>
        <vertAlign val="subscript"/>
        <sz val="11"/>
        <color theme="1"/>
        <rFont val="Arial"/>
        <family val="2"/>
      </rPr>
      <t>PPmin</t>
    </r>
    <r>
      <rPr>
        <sz val="11"/>
        <color theme="1"/>
        <rFont val="Arial"/>
        <family val="2"/>
      </rPr>
      <t xml:space="preserve"> =</t>
    </r>
  </si>
  <si>
    <t>Peak Primary Current, Maximum, Full Load</t>
  </si>
  <si>
    <r>
      <t>I</t>
    </r>
    <r>
      <rPr>
        <vertAlign val="subscript"/>
        <sz val="11"/>
        <color theme="1"/>
        <rFont val="Arial"/>
        <family val="2"/>
      </rPr>
      <t>PPmax</t>
    </r>
    <r>
      <rPr>
        <sz val="11"/>
        <color theme="1"/>
        <rFont val="Arial"/>
        <family val="2"/>
      </rPr>
      <t xml:space="preserve"> =</t>
    </r>
  </si>
  <si>
    <r>
      <t>CURRENT SENSE RESISTOR, R</t>
    </r>
    <r>
      <rPr>
        <b/>
        <i/>
        <vertAlign val="subscript"/>
        <sz val="12"/>
        <color theme="0"/>
        <rFont val="Arial"/>
        <family val="2"/>
      </rPr>
      <t>CS</t>
    </r>
    <r>
      <rPr>
        <b/>
        <i/>
        <sz val="12"/>
        <color theme="0"/>
        <rFont val="Arial"/>
        <family val="2"/>
      </rPr>
      <t>, PEAK PRIMARY CURRENT, I</t>
    </r>
    <r>
      <rPr>
        <b/>
        <i/>
        <vertAlign val="subscript"/>
        <sz val="12"/>
        <color theme="0"/>
        <rFont val="Arial"/>
        <family val="2"/>
      </rPr>
      <t>PP</t>
    </r>
  </si>
  <si>
    <r>
      <t>TRANSFORMER TURNS-RATIO, N</t>
    </r>
    <r>
      <rPr>
        <b/>
        <i/>
        <vertAlign val="subscript"/>
        <sz val="12"/>
        <color theme="0"/>
        <rFont val="Arial"/>
        <family val="2"/>
      </rPr>
      <t>PS</t>
    </r>
  </si>
  <si>
    <r>
      <t>TRANSFORMER PRIMARY INDUCTANCE, L</t>
    </r>
    <r>
      <rPr>
        <b/>
        <i/>
        <vertAlign val="subscript"/>
        <sz val="12"/>
        <color theme="0"/>
        <rFont val="Arial"/>
        <family val="2"/>
      </rPr>
      <t>P</t>
    </r>
  </si>
  <si>
    <r>
      <t>Minimum On-Time, t</t>
    </r>
    <r>
      <rPr>
        <vertAlign val="subscript"/>
        <sz val="11"/>
        <color theme="1"/>
        <rFont val="Arial"/>
        <family val="2"/>
      </rPr>
      <t>CSLEB</t>
    </r>
  </si>
  <si>
    <r>
      <t>L</t>
    </r>
    <r>
      <rPr>
        <vertAlign val="subscript"/>
        <sz val="12"/>
        <color theme="1"/>
        <rFont val="Arial"/>
        <family val="2"/>
      </rPr>
      <t>Pcalc</t>
    </r>
    <r>
      <rPr>
        <sz val="12"/>
        <color theme="1"/>
        <rFont val="Arial"/>
        <family val="2"/>
      </rPr>
      <t xml:space="preserve"> =</t>
    </r>
  </si>
  <si>
    <t>Actual Resonant Frequency During DCM Dead Time</t>
  </si>
  <si>
    <r>
      <t>t</t>
    </r>
    <r>
      <rPr>
        <vertAlign val="subscript"/>
        <sz val="11"/>
        <color theme="1"/>
        <rFont val="Arial"/>
        <family val="2"/>
      </rPr>
      <t>RES_actual</t>
    </r>
    <r>
      <rPr>
        <sz val="11"/>
        <color theme="1"/>
        <rFont val="Arial"/>
        <family val="2"/>
      </rPr>
      <t xml:space="preserve"> =</t>
    </r>
  </si>
  <si>
    <r>
      <t>f</t>
    </r>
    <r>
      <rPr>
        <vertAlign val="subscript"/>
        <sz val="11"/>
        <color theme="1"/>
        <rFont val="Arial"/>
        <family val="2"/>
      </rPr>
      <t>RES_actual</t>
    </r>
    <r>
      <rPr>
        <sz val="11"/>
        <color theme="1"/>
        <rFont val="Arial"/>
        <family val="2"/>
      </rPr>
      <t xml:space="preserve"> =</t>
    </r>
  </si>
  <si>
    <r>
      <rPr>
        <sz val="11"/>
        <rFont val="Calibri"/>
        <family val="2"/>
      </rPr>
      <t>µ</t>
    </r>
    <r>
      <rPr>
        <sz val="11"/>
        <rFont val="Arial"/>
        <family val="2"/>
      </rPr>
      <t>s</t>
    </r>
  </si>
  <si>
    <t>Valley Switching Achieved?</t>
  </si>
  <si>
    <t>YES or NO</t>
  </si>
  <si>
    <r>
      <t>Calculated L</t>
    </r>
    <r>
      <rPr>
        <vertAlign val="subscript"/>
        <sz val="12"/>
        <color theme="1"/>
        <rFont val="Arial"/>
        <family val="2"/>
      </rPr>
      <t>P</t>
    </r>
    <r>
      <rPr>
        <sz val="12"/>
        <color theme="1"/>
        <rFont val="Arial"/>
        <family val="2"/>
      </rPr>
      <t xml:space="preserve"> to meet f</t>
    </r>
    <r>
      <rPr>
        <vertAlign val="subscript"/>
        <sz val="12"/>
        <color theme="1"/>
        <rFont val="Arial"/>
        <family val="2"/>
      </rPr>
      <t>max_target</t>
    </r>
    <r>
      <rPr>
        <sz val="12"/>
        <color theme="1"/>
        <rFont val="Arial"/>
        <family val="2"/>
      </rPr>
      <t xml:space="preserve"> with chosen R</t>
    </r>
    <r>
      <rPr>
        <vertAlign val="subscript"/>
        <sz val="12"/>
        <color theme="1"/>
        <rFont val="Arial"/>
        <family val="2"/>
      </rPr>
      <t>CS</t>
    </r>
  </si>
  <si>
    <t>Actual Estimated Time to First Resonant Valley</t>
  </si>
  <si>
    <r>
      <rPr>
        <b/>
        <sz val="11"/>
        <color theme="1"/>
        <rFont val="Arial"/>
        <family val="2"/>
      </rPr>
      <t>Recommended</t>
    </r>
    <r>
      <rPr>
        <sz val="11"/>
        <color theme="1"/>
        <rFont val="Arial"/>
        <family val="2"/>
      </rPr>
      <t xml:space="preserve"> Primary Inductance to meet t</t>
    </r>
    <r>
      <rPr>
        <vertAlign val="subscript"/>
        <sz val="11"/>
        <color theme="1"/>
        <rFont val="Arial"/>
        <family val="2"/>
      </rPr>
      <t>CSLEB</t>
    </r>
    <r>
      <rPr>
        <sz val="11"/>
        <color theme="1"/>
        <rFont val="Arial"/>
        <family val="2"/>
      </rPr>
      <t xml:space="preserve"> with chosen R</t>
    </r>
    <r>
      <rPr>
        <vertAlign val="subscript"/>
        <sz val="11"/>
        <color theme="1"/>
        <rFont val="Arial"/>
        <family val="2"/>
      </rPr>
      <t>CS</t>
    </r>
  </si>
  <si>
    <r>
      <t>C</t>
    </r>
    <r>
      <rPr>
        <vertAlign val="subscript"/>
        <sz val="11"/>
        <color theme="1"/>
        <rFont val="Arial"/>
        <family val="2"/>
      </rPr>
      <t>FB</t>
    </r>
    <r>
      <rPr>
        <sz val="11"/>
        <color theme="1"/>
        <rFont val="Arial"/>
        <family val="2"/>
      </rPr>
      <t xml:space="preserve"> Used in Calculations</t>
    </r>
  </si>
  <si>
    <r>
      <t>C</t>
    </r>
    <r>
      <rPr>
        <vertAlign val="subscript"/>
        <sz val="11"/>
        <color theme="1"/>
        <rFont val="Arial"/>
        <family val="2"/>
      </rPr>
      <t>FB</t>
    </r>
    <r>
      <rPr>
        <sz val="11"/>
        <color theme="1"/>
        <rFont val="Arial"/>
        <family val="2"/>
      </rPr>
      <t xml:space="preserve"> =</t>
    </r>
  </si>
  <si>
    <r>
      <t>C</t>
    </r>
    <r>
      <rPr>
        <vertAlign val="subscript"/>
        <sz val="11"/>
        <color theme="1"/>
        <rFont val="Arial"/>
        <family val="2"/>
      </rPr>
      <t>Z</t>
    </r>
    <r>
      <rPr>
        <sz val="11"/>
        <color theme="1"/>
        <rFont val="Arial"/>
        <family val="2"/>
      </rPr>
      <t xml:space="preserve"> Used in Calculations</t>
    </r>
  </si>
  <si>
    <r>
      <t>C</t>
    </r>
    <r>
      <rPr>
        <vertAlign val="subscript"/>
        <sz val="11"/>
        <color theme="1"/>
        <rFont val="Arial"/>
        <family val="2"/>
      </rPr>
      <t>Z</t>
    </r>
    <r>
      <rPr>
        <sz val="11"/>
        <color theme="1"/>
        <rFont val="Arial"/>
        <family val="2"/>
      </rPr>
      <t xml:space="preserve"> = </t>
    </r>
  </si>
  <si>
    <t>The importance of using opto feedback should be noted here!</t>
  </si>
  <si>
    <t xml:space="preserve">Actual Output Over Voltage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</si>
</sst>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E+00"/>
    <numFmt numFmtId="166" formatCode="#\ ?/10"/>
    <numFmt numFmtId="167" formatCode="0.0000"/>
  </numFmts>
  <fonts count="42">
    <font>
      <sz val="11"/>
      <color theme="1"/>
      <name val="Calibri"/>
      <family val="2"/>
      <scheme val="minor"/>
    </font>
    <font>
      <b/>
      <sz val="24"/>
      <color indexed="9"/>
      <name val="Arial"/>
      <family val="2"/>
    </font>
    <font>
      <b/>
      <sz val="12"/>
      <name val="Arial"/>
      <family val="2"/>
    </font>
    <font>
      <sz val="11"/>
      <color theme="1"/>
      <name val="Arial"/>
      <family val="2"/>
    </font>
    <font>
      <b/>
      <sz val="12"/>
      <color theme="0"/>
      <name val="Arial"/>
      <family val="2"/>
    </font>
    <font>
      <b/>
      <i/>
      <sz val="11"/>
      <color rgb="FFFF0000"/>
      <name val="Arial"/>
      <family val="2"/>
    </font>
    <font>
      <vertAlign val="subscript"/>
      <sz val="11"/>
      <color theme="1"/>
      <name val="Arial"/>
      <family val="2"/>
    </font>
    <font>
      <b/>
      <sz val="14"/>
      <color rgb="FFFF0000"/>
      <name val="Arial"/>
      <family val="2"/>
    </font>
    <font>
      <b/>
      <i/>
      <sz val="12"/>
      <color theme="0"/>
      <name val="Arial"/>
      <family val="2"/>
    </font>
    <font>
      <b/>
      <sz val="11"/>
      <color theme="1"/>
      <name val="Arial"/>
      <family val="2"/>
    </font>
    <font>
      <b/>
      <sz val="10"/>
      <color indexed="10"/>
      <name val="Arial"/>
      <family val="2"/>
    </font>
    <font>
      <b/>
      <sz val="11"/>
      <color rgb="FFFF0000"/>
      <name val="Arial"/>
      <family val="2"/>
    </font>
    <font>
      <b/>
      <sz val="16"/>
      <color theme="1"/>
      <name val="Arial"/>
      <family val="2"/>
    </font>
    <font>
      <b/>
      <sz val="14"/>
      <color theme="0"/>
      <name val="Arial"/>
      <family val="2"/>
    </font>
    <font>
      <b/>
      <i/>
      <vertAlign val="subscript"/>
      <sz val="11"/>
      <color theme="0"/>
      <name val="Arial"/>
      <family val="2"/>
    </font>
    <font>
      <b/>
      <i/>
      <sz val="16"/>
      <color theme="0"/>
      <name val="Arial"/>
      <family val="2"/>
    </font>
    <font>
      <sz val="11"/>
      <name val="Arial"/>
      <family val="2"/>
    </font>
    <font>
      <b/>
      <sz val="11"/>
      <color theme="0"/>
      <name val="Arial"/>
      <family val="2"/>
    </font>
    <font>
      <b/>
      <vertAlign val="subscript"/>
      <sz val="11"/>
      <color theme="0"/>
      <name val="Arial"/>
      <family val="2"/>
    </font>
    <font>
      <sz val="11"/>
      <color theme="1"/>
      <name val="Calibri"/>
      <family val="2"/>
    </font>
    <font>
      <b/>
      <sz val="14"/>
      <name val="Arial"/>
      <family val="2"/>
    </font>
    <font>
      <b/>
      <sz val="22"/>
      <color theme="0"/>
      <name val="Arial"/>
      <family val="2"/>
    </font>
    <font>
      <vertAlign val="subscript"/>
      <sz val="11"/>
      <name val="Arial"/>
      <family val="2"/>
    </font>
    <font>
      <b/>
      <i/>
      <vertAlign val="subscript"/>
      <sz val="12"/>
      <color theme="0"/>
      <name val="Arial"/>
      <family val="2"/>
    </font>
    <font>
      <b/>
      <sz val="11"/>
      <name val="Arial"/>
      <family val="2"/>
    </font>
    <font>
      <sz val="11"/>
      <name val="Calibri"/>
      <family val="2"/>
    </font>
    <font>
      <b/>
      <vertAlign val="subscript"/>
      <sz val="11"/>
      <color theme="1"/>
      <name val="Arial"/>
      <family val="2"/>
    </font>
    <font>
      <b/>
      <vertAlign val="subscript"/>
      <sz val="11"/>
      <name val="Arial"/>
      <family val="2"/>
    </font>
    <font>
      <sz val="10"/>
      <name val="Arial"/>
      <family val="2"/>
    </font>
    <font>
      <b/>
      <sz val="14"/>
      <color theme="1"/>
      <name val="Arial"/>
      <family val="2"/>
    </font>
    <font>
      <b/>
      <sz val="14"/>
      <color theme="6"/>
      <name val="Arial"/>
      <family val="2"/>
    </font>
    <font>
      <sz val="12"/>
      <color theme="1"/>
      <name val="Arial"/>
      <family val="2"/>
    </font>
    <font>
      <vertAlign val="subscript"/>
      <sz val="12"/>
      <color theme="1"/>
      <name val="Arial"/>
      <family val="2"/>
    </font>
    <font>
      <b/>
      <sz val="12"/>
      <color rgb="FFFF0000"/>
      <name val="Arial"/>
      <family val="2"/>
    </font>
    <font>
      <b/>
      <vertAlign val="subscript"/>
      <sz val="12"/>
      <color rgb="FFFF0000"/>
      <name val="Arial"/>
      <family val="2"/>
    </font>
    <font>
      <sz val="12"/>
      <color theme="1"/>
      <name val="Calibri"/>
      <family val="2"/>
    </font>
    <font>
      <sz val="10"/>
      <color theme="1"/>
      <name val="Arial"/>
      <family val="2"/>
    </font>
    <font>
      <b/>
      <sz val="10"/>
      <name val="Arial"/>
      <family val="2"/>
    </font>
    <font>
      <b/>
      <sz val="9"/>
      <name val="Arial"/>
      <family val="2"/>
    </font>
    <font>
      <sz val="9"/>
      <name val="Calibri"/>
      <family val="3"/>
      <charset val="134"/>
      <scheme val="minor"/>
    </font>
    <font>
      <sz val="12"/>
      <name val="Arial"/>
      <family val="2"/>
    </font>
    <font>
      <vertAlign val="subscript"/>
      <sz val="12"/>
      <name val="Arial"/>
      <family val="2"/>
    </font>
  </fonts>
  <fills count="8">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CCFFCC"/>
        <bgColor indexed="64"/>
      </patternFill>
    </fill>
    <fill>
      <patternFill patternType="solid">
        <fgColor rgb="FFDDFFDD"/>
        <bgColor indexed="64"/>
      </patternFill>
    </fill>
    <fill>
      <patternFill patternType="solid">
        <fgColor rgb="FFFFFF00"/>
        <bgColor indexed="64"/>
      </patternFill>
    </fill>
    <fill>
      <patternFill patternType="solid">
        <fgColor theme="0" tint="-4.9989318521683403E-2"/>
        <bgColor indexed="64"/>
      </patternFill>
    </fill>
  </fills>
  <borders count="6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right style="thin">
        <color indexed="64"/>
      </right>
      <top/>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1">
    <xf numFmtId="0" fontId="0" fillId="0" borderId="0"/>
  </cellStyleXfs>
  <cellXfs count="508">
    <xf numFmtId="0" fontId="0" fillId="0" borderId="0" xfId="0"/>
    <xf numFmtId="0" fontId="3" fillId="2" borderId="0" xfId="0" applyFont="1" applyFill="1" applyAlignment="1">
      <alignment horizontal="center" vertical="center"/>
    </xf>
    <xf numFmtId="0" fontId="3" fillId="2" borderId="0" xfId="0" applyFont="1" applyFill="1" applyAlignment="1">
      <alignment vertical="center"/>
    </xf>
    <xf numFmtId="0" fontId="3" fillId="2" borderId="5" xfId="0" applyFont="1" applyFill="1" applyBorder="1" applyAlignment="1">
      <alignment vertical="center"/>
    </xf>
    <xf numFmtId="0" fontId="3" fillId="2" borderId="8" xfId="0" applyFont="1" applyFill="1" applyBorder="1" applyAlignment="1">
      <alignment vertical="center"/>
    </xf>
    <xf numFmtId="0" fontId="3" fillId="2" borderId="10" xfId="0" applyFont="1" applyFill="1" applyBorder="1" applyAlignment="1">
      <alignment vertical="center"/>
    </xf>
    <xf numFmtId="0" fontId="3" fillId="2" borderId="25" xfId="0" applyFont="1" applyFill="1" applyBorder="1" applyAlignment="1">
      <alignment vertical="center"/>
    </xf>
    <xf numFmtId="0" fontId="3" fillId="2" borderId="8" xfId="0" applyFont="1" applyFill="1" applyBorder="1" applyAlignment="1">
      <alignment vertical="center" wrapText="1"/>
    </xf>
    <xf numFmtId="2" fontId="3"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xf>
    <xf numFmtId="0" fontId="3" fillId="0" borderId="0" xfId="0" applyFont="1"/>
    <xf numFmtId="0" fontId="3" fillId="0" borderId="8" xfId="0" applyFont="1" applyBorder="1" applyAlignment="1">
      <alignment vertical="center" wrapText="1"/>
    </xf>
    <xf numFmtId="0" fontId="3" fillId="2" borderId="0" xfId="0" applyFont="1" applyFill="1"/>
    <xf numFmtId="0" fontId="3" fillId="2" borderId="37" xfId="0" applyFont="1" applyFill="1" applyBorder="1" applyAlignment="1">
      <alignment vertical="center"/>
    </xf>
    <xf numFmtId="0" fontId="3" fillId="2" borderId="11" xfId="0" applyFont="1" applyFill="1" applyBorder="1" applyAlignment="1">
      <alignment vertical="center"/>
    </xf>
    <xf numFmtId="0" fontId="3" fillId="2" borderId="0" xfId="0" applyFont="1" applyFill="1" applyBorder="1" applyAlignment="1">
      <alignment vertical="center"/>
    </xf>
    <xf numFmtId="0" fontId="3" fillId="5" borderId="40" xfId="0" applyFont="1" applyFill="1" applyBorder="1" applyAlignment="1">
      <alignment vertical="center"/>
    </xf>
    <xf numFmtId="164" fontId="3" fillId="5" borderId="31" xfId="0" applyNumberFormat="1" applyFont="1" applyFill="1" applyBorder="1" applyAlignment="1">
      <alignment vertical="center"/>
    </xf>
    <xf numFmtId="0" fontId="3" fillId="2" borderId="22" xfId="0" applyFont="1" applyFill="1" applyBorder="1" applyAlignment="1">
      <alignment vertical="center" wrapText="1"/>
    </xf>
    <xf numFmtId="164" fontId="3" fillId="2" borderId="0" xfId="0" applyNumberFormat="1" applyFont="1" applyFill="1" applyAlignment="1">
      <alignment vertical="center"/>
    </xf>
    <xf numFmtId="164" fontId="16" fillId="2" borderId="5" xfId="0" applyNumberFormat="1" applyFont="1" applyFill="1" applyBorder="1" applyAlignment="1">
      <alignment vertical="center"/>
    </xf>
    <xf numFmtId="164" fontId="3" fillId="2" borderId="5" xfId="0" applyNumberFormat="1" applyFont="1" applyFill="1" applyBorder="1" applyAlignment="1">
      <alignment vertical="center"/>
    </xf>
    <xf numFmtId="0" fontId="3" fillId="2" borderId="35" xfId="0" applyFont="1" applyFill="1" applyBorder="1" applyAlignment="1">
      <alignment vertical="center"/>
    </xf>
    <xf numFmtId="164" fontId="3" fillId="2" borderId="34" xfId="0" applyNumberFormat="1" applyFont="1" applyFill="1" applyBorder="1" applyAlignment="1">
      <alignment vertical="center"/>
    </xf>
    <xf numFmtId="0" fontId="3" fillId="2" borderId="11" xfId="0" applyFont="1" applyFill="1" applyBorder="1" applyAlignment="1">
      <alignment horizontal="center" vertical="center"/>
    </xf>
    <xf numFmtId="0" fontId="3" fillId="5" borderId="8" xfId="0" applyFont="1" applyFill="1" applyBorder="1" applyAlignment="1">
      <alignment vertical="center"/>
    </xf>
    <xf numFmtId="164" fontId="3" fillId="2" borderId="11" xfId="0" applyNumberFormat="1" applyFont="1" applyFill="1" applyBorder="1" applyAlignment="1">
      <alignment vertical="center"/>
    </xf>
    <xf numFmtId="0" fontId="3" fillId="2" borderId="33" xfId="0" applyFont="1" applyFill="1" applyBorder="1" applyAlignment="1">
      <alignment horizontal="center" vertical="center"/>
    </xf>
    <xf numFmtId="0" fontId="3" fillId="2" borderId="30" xfId="0" applyFont="1" applyFill="1" applyBorder="1" applyAlignment="1">
      <alignment horizontal="center" vertical="center"/>
    </xf>
    <xf numFmtId="0" fontId="3" fillId="2" borderId="42" xfId="0" applyFont="1" applyFill="1" applyBorder="1" applyAlignment="1">
      <alignment horizontal="center" vertical="center"/>
    </xf>
    <xf numFmtId="0" fontId="3" fillId="5" borderId="32" xfId="0" applyFont="1" applyFill="1" applyBorder="1" applyAlignment="1">
      <alignment horizontal="center" vertical="center"/>
    </xf>
    <xf numFmtId="0" fontId="3" fillId="2" borderId="5" xfId="0" applyFont="1" applyFill="1" applyBorder="1" applyAlignment="1">
      <alignment horizontal="center" vertical="center" wrapText="1"/>
    </xf>
    <xf numFmtId="0" fontId="3" fillId="5" borderId="5" xfId="0" applyFont="1" applyFill="1" applyBorder="1" applyAlignment="1">
      <alignment vertical="center"/>
    </xf>
    <xf numFmtId="164" fontId="3" fillId="5" borderId="5" xfId="0" applyNumberFormat="1" applyFont="1" applyFill="1" applyBorder="1" applyAlignment="1">
      <alignment vertical="center"/>
    </xf>
    <xf numFmtId="0" fontId="3" fillId="2" borderId="40" xfId="0" applyFont="1" applyFill="1" applyBorder="1" applyAlignment="1">
      <alignment vertical="center"/>
    </xf>
    <xf numFmtId="0" fontId="3" fillId="2" borderId="0" xfId="0" applyFont="1" applyFill="1" applyBorder="1" applyAlignment="1">
      <alignment horizontal="center" vertical="center"/>
    </xf>
    <xf numFmtId="164" fontId="3" fillId="2" borderId="0" xfId="0" applyNumberFormat="1" applyFont="1" applyFill="1" applyBorder="1" applyAlignment="1">
      <alignment vertical="center"/>
    </xf>
    <xf numFmtId="0" fontId="16" fillId="2" borderId="5" xfId="0" applyFont="1" applyFill="1" applyBorder="1" applyAlignment="1">
      <alignment horizontal="right" vertical="center"/>
    </xf>
    <xf numFmtId="0" fontId="3" fillId="2" borderId="0" xfId="0" applyFont="1" applyFill="1" applyBorder="1" applyAlignment="1">
      <alignment horizontal="left" vertical="center"/>
    </xf>
    <xf numFmtId="0" fontId="3" fillId="2" borderId="32" xfId="0" applyFont="1" applyFill="1" applyBorder="1" applyAlignment="1">
      <alignment horizontal="center" vertical="center"/>
    </xf>
    <xf numFmtId="2" fontId="3" fillId="2" borderId="31" xfId="0" applyNumberFormat="1" applyFont="1" applyFill="1" applyBorder="1" applyAlignment="1">
      <alignment vertical="center"/>
    </xf>
    <xf numFmtId="0" fontId="3" fillId="5" borderId="30" xfId="0" applyFont="1" applyFill="1" applyBorder="1" applyAlignment="1">
      <alignment horizontal="center" vertical="center"/>
    </xf>
    <xf numFmtId="0" fontId="9" fillId="4" borderId="26" xfId="0" applyFont="1" applyFill="1" applyBorder="1" applyAlignment="1">
      <alignment vertical="center" wrapText="1"/>
    </xf>
    <xf numFmtId="0" fontId="16" fillId="2" borderId="46" xfId="0" applyFont="1" applyFill="1" applyBorder="1" applyAlignment="1">
      <alignment horizontal="left" vertical="center"/>
    </xf>
    <xf numFmtId="0" fontId="16" fillId="2" borderId="47" xfId="0" applyFont="1" applyFill="1" applyBorder="1" applyAlignment="1">
      <alignment horizontal="center" vertical="center"/>
    </xf>
    <xf numFmtId="0" fontId="16" fillId="2" borderId="44" xfId="0" applyFont="1" applyFill="1" applyBorder="1" applyAlignment="1">
      <alignment horizontal="right" vertical="center"/>
    </xf>
    <xf numFmtId="0" fontId="3" fillId="5" borderId="10" xfId="0" applyFont="1" applyFill="1" applyBorder="1" applyAlignment="1">
      <alignment vertical="center"/>
    </xf>
    <xf numFmtId="0" fontId="3" fillId="5" borderId="11" xfId="0" applyFont="1" applyFill="1" applyBorder="1" applyAlignment="1">
      <alignment horizontal="center" vertical="center"/>
    </xf>
    <xf numFmtId="0" fontId="3" fillId="2" borderId="22" xfId="0" applyFont="1" applyFill="1" applyBorder="1" applyAlignment="1">
      <alignment vertical="center"/>
    </xf>
    <xf numFmtId="0" fontId="16" fillId="2" borderId="0" xfId="0" applyFont="1" applyFill="1" applyAlignment="1">
      <alignment vertical="center"/>
    </xf>
    <xf numFmtId="0" fontId="3" fillId="2" borderId="40" xfId="0" applyFont="1" applyFill="1" applyBorder="1" applyAlignment="1">
      <alignment vertical="center" wrapText="1"/>
    </xf>
    <xf numFmtId="164" fontId="3" fillId="2" borderId="31" xfId="0" applyNumberFormat="1" applyFont="1" applyFill="1" applyBorder="1" applyAlignment="1">
      <alignment vertical="center"/>
    </xf>
    <xf numFmtId="0" fontId="3" fillId="2" borderId="23" xfId="0" applyFont="1" applyFill="1" applyBorder="1" applyAlignment="1">
      <alignment vertical="center"/>
    </xf>
    <xf numFmtId="0" fontId="5" fillId="2" borderId="26" xfId="0" applyFont="1" applyFill="1" applyBorder="1" applyAlignment="1">
      <alignment vertical="center"/>
    </xf>
    <xf numFmtId="0" fontId="16" fillId="2" borderId="8" xfId="0" applyFont="1" applyFill="1" applyBorder="1" applyAlignment="1">
      <alignment horizontal="left" vertical="center"/>
    </xf>
    <xf numFmtId="0" fontId="3" fillId="0" borderId="22" xfId="0" applyFont="1" applyBorder="1" applyAlignment="1">
      <alignment horizontal="left" vertical="center"/>
    </xf>
    <xf numFmtId="0" fontId="3" fillId="2" borderId="25" xfId="0" applyFont="1" applyFill="1" applyBorder="1" applyAlignment="1">
      <alignment vertical="center" wrapText="1"/>
    </xf>
    <xf numFmtId="164" fontId="3" fillId="2" borderId="0" xfId="0" applyNumberFormat="1" applyFont="1" applyFill="1" applyAlignment="1">
      <alignment horizontal="right" vertical="center" wrapText="1"/>
    </xf>
    <xf numFmtId="0" fontId="3" fillId="2" borderId="5" xfId="0" applyFont="1" applyFill="1" applyBorder="1" applyAlignment="1">
      <alignment horizontal="right" vertical="center" wrapText="1"/>
    </xf>
    <xf numFmtId="164" fontId="3" fillId="2" borderId="5" xfId="0" applyNumberFormat="1" applyFont="1" applyFill="1" applyBorder="1" applyAlignment="1">
      <alignment horizontal="right" vertical="center" wrapText="1"/>
    </xf>
    <xf numFmtId="0" fontId="16" fillId="2" borderId="22" xfId="0" applyFont="1" applyFill="1" applyBorder="1" applyAlignment="1">
      <alignment vertical="center"/>
    </xf>
    <xf numFmtId="0" fontId="9" fillId="4" borderId="27" xfId="0" applyFont="1" applyFill="1" applyBorder="1" applyAlignment="1">
      <alignment vertical="center" wrapText="1"/>
    </xf>
    <xf numFmtId="0" fontId="3" fillId="2" borderId="10" xfId="0" applyFont="1" applyFill="1" applyBorder="1" applyAlignment="1">
      <alignment horizontal="left" vertical="center" wrapText="1"/>
    </xf>
    <xf numFmtId="0" fontId="16" fillId="5" borderId="8" xfId="0" applyFont="1" applyFill="1" applyBorder="1" applyAlignment="1">
      <alignment vertical="center"/>
    </xf>
    <xf numFmtId="0" fontId="16" fillId="5" borderId="5" xfId="0" applyFont="1" applyFill="1" applyBorder="1" applyAlignment="1">
      <alignment vertical="center"/>
    </xf>
    <xf numFmtId="0" fontId="16" fillId="5" borderId="33" xfId="0" applyFont="1" applyFill="1" applyBorder="1" applyAlignment="1">
      <alignment horizontal="center" vertical="center"/>
    </xf>
    <xf numFmtId="164" fontId="16" fillId="5" borderId="5" xfId="0" applyNumberFormat="1" applyFont="1" applyFill="1" applyBorder="1" applyAlignment="1">
      <alignment horizontal="right" vertical="center"/>
    </xf>
    <xf numFmtId="0" fontId="16" fillId="5" borderId="8" xfId="0" applyFont="1" applyFill="1" applyBorder="1" applyAlignment="1">
      <alignment horizontal="left" vertical="center"/>
    </xf>
    <xf numFmtId="0" fontId="3" fillId="2" borderId="0" xfId="0" applyFont="1" applyFill="1" applyAlignment="1">
      <alignment vertical="center" wrapText="1"/>
    </xf>
    <xf numFmtId="0" fontId="16" fillId="2" borderId="8" xfId="0" applyFont="1" applyFill="1" applyBorder="1" applyAlignment="1">
      <alignment vertical="center"/>
    </xf>
    <xf numFmtId="0" fontId="3" fillId="2" borderId="5" xfId="0" applyFont="1" applyFill="1" applyBorder="1" applyAlignment="1">
      <alignment horizontal="center" vertical="center"/>
    </xf>
    <xf numFmtId="0" fontId="16" fillId="2" borderId="5" xfId="0" applyFont="1" applyFill="1" applyBorder="1" applyAlignment="1">
      <alignment horizontal="left" vertical="center"/>
    </xf>
    <xf numFmtId="0" fontId="3" fillId="2" borderId="22" xfId="0" applyFont="1" applyFill="1" applyBorder="1" applyAlignment="1">
      <alignment vertical="center"/>
    </xf>
    <xf numFmtId="0" fontId="3" fillId="2" borderId="5" xfId="0" applyFont="1" applyFill="1" applyBorder="1" applyAlignment="1">
      <alignment horizontal="center" vertical="center"/>
    </xf>
    <xf numFmtId="0" fontId="9" fillId="2" borderId="16" xfId="0" applyFont="1" applyFill="1" applyBorder="1" applyAlignment="1">
      <alignment vertical="center"/>
    </xf>
    <xf numFmtId="0" fontId="3" fillId="2" borderId="22" xfId="0" applyFont="1" applyFill="1" applyBorder="1"/>
    <xf numFmtId="0" fontId="16" fillId="2" borderId="5" xfId="0" applyFont="1" applyFill="1" applyBorder="1" applyAlignment="1">
      <alignment vertical="center"/>
    </xf>
    <xf numFmtId="0" fontId="9" fillId="2" borderId="8" xfId="0" applyFont="1" applyFill="1" applyBorder="1" applyAlignment="1">
      <alignment vertical="center"/>
    </xf>
    <xf numFmtId="0" fontId="9" fillId="2" borderId="5" xfId="0" applyFont="1" applyFill="1" applyBorder="1" applyAlignment="1">
      <alignment horizontal="center" vertical="center"/>
    </xf>
    <xf numFmtId="164" fontId="9" fillId="2" borderId="5" xfId="0" applyNumberFormat="1" applyFont="1" applyFill="1" applyBorder="1" applyAlignment="1">
      <alignment vertical="center"/>
    </xf>
    <xf numFmtId="0" fontId="9" fillId="2" borderId="49" xfId="0" applyFont="1" applyFill="1" applyBorder="1" applyAlignment="1">
      <alignment vertical="center"/>
    </xf>
    <xf numFmtId="0" fontId="9" fillId="2" borderId="50" xfId="0" applyFont="1" applyFill="1" applyBorder="1" applyAlignment="1">
      <alignment horizontal="center" vertical="center"/>
    </xf>
    <xf numFmtId="164" fontId="9" fillId="2" borderId="50" xfId="0" applyNumberFormat="1" applyFont="1" applyFill="1" applyBorder="1" applyAlignment="1">
      <alignment vertical="center"/>
    </xf>
    <xf numFmtId="0" fontId="24" fillId="2" borderId="11" xfId="0" applyFont="1" applyFill="1" applyBorder="1" applyAlignment="1">
      <alignment horizontal="center" vertical="center"/>
    </xf>
    <xf numFmtId="164" fontId="24" fillId="2" borderId="11" xfId="0" applyNumberFormat="1" applyFont="1" applyFill="1" applyBorder="1" applyAlignment="1">
      <alignment horizontal="right" vertical="center"/>
    </xf>
    <xf numFmtId="0" fontId="9" fillId="2" borderId="8" xfId="0" applyFont="1" applyFill="1" applyBorder="1" applyAlignment="1">
      <alignment horizontal="left" vertical="center" wrapText="1"/>
    </xf>
    <xf numFmtId="0" fontId="3" fillId="2" borderId="24" xfId="0" applyFont="1" applyFill="1" applyBorder="1" applyAlignment="1">
      <alignment vertical="center"/>
    </xf>
    <xf numFmtId="0" fontId="3" fillId="5" borderId="22" xfId="0" applyFont="1" applyFill="1" applyBorder="1" applyAlignment="1">
      <alignment vertical="center"/>
    </xf>
    <xf numFmtId="0" fontId="9" fillId="4" borderId="29" xfId="0" applyFont="1" applyFill="1" applyBorder="1" applyAlignment="1">
      <alignment vertical="center" wrapText="1"/>
    </xf>
    <xf numFmtId="0" fontId="3" fillId="5" borderId="25" xfId="0" applyFont="1" applyFill="1" applyBorder="1" applyAlignment="1">
      <alignment vertical="center"/>
    </xf>
    <xf numFmtId="0" fontId="24" fillId="4" borderId="26" xfId="0" applyFont="1" applyFill="1" applyBorder="1" applyAlignment="1">
      <alignment horizontal="left" vertical="center"/>
    </xf>
    <xf numFmtId="0" fontId="16" fillId="5" borderId="22" xfId="0" applyFont="1" applyFill="1" applyBorder="1" applyAlignment="1">
      <alignment horizontal="left" vertical="center"/>
    </xf>
    <xf numFmtId="0" fontId="3" fillId="5" borderId="5" xfId="0" applyFont="1" applyFill="1" applyBorder="1" applyAlignment="1">
      <alignment horizontal="center" vertical="center"/>
    </xf>
    <xf numFmtId="0" fontId="3" fillId="5" borderId="22" xfId="0" applyFont="1" applyFill="1" applyBorder="1" applyAlignment="1">
      <alignment horizontal="left" vertical="center"/>
    </xf>
    <xf numFmtId="0" fontId="3" fillId="2" borderId="5" xfId="0" applyFont="1" applyFill="1" applyBorder="1" applyAlignment="1">
      <alignment horizontal="center" vertical="center"/>
    </xf>
    <xf numFmtId="0" fontId="24" fillId="2" borderId="10" xfId="0" applyFont="1" applyFill="1" applyBorder="1" applyAlignment="1">
      <alignment horizontal="left" vertical="center"/>
    </xf>
    <xf numFmtId="0" fontId="9" fillId="4" borderId="26" xfId="0" applyFont="1" applyFill="1" applyBorder="1" applyAlignment="1">
      <alignment horizontal="left" vertical="center"/>
    </xf>
    <xf numFmtId="0" fontId="16" fillId="2" borderId="8" xfId="0" applyFont="1" applyFill="1" applyBorder="1" applyAlignment="1">
      <alignment horizontal="left" vertical="center" wrapText="1"/>
    </xf>
    <xf numFmtId="0" fontId="3" fillId="2" borderId="8" xfId="0" applyFont="1" applyFill="1" applyBorder="1" applyAlignment="1">
      <alignment horizontal="left" vertical="center" wrapText="1"/>
    </xf>
    <xf numFmtId="0" fontId="16" fillId="2" borderId="5" xfId="0" applyFont="1" applyFill="1" applyBorder="1" applyAlignment="1">
      <alignment horizontal="center" vertical="center"/>
    </xf>
    <xf numFmtId="164" fontId="16" fillId="2" borderId="5" xfId="0" applyNumberFormat="1" applyFont="1" applyFill="1" applyBorder="1" applyAlignment="1">
      <alignment horizontal="right" vertical="center"/>
    </xf>
    <xf numFmtId="0" fontId="3" fillId="2" borderId="22" xfId="0" applyFont="1" applyFill="1" applyBorder="1" applyAlignment="1">
      <alignment vertical="center"/>
    </xf>
    <xf numFmtId="0" fontId="3" fillId="2" borderId="26" xfId="0" applyFont="1" applyFill="1" applyBorder="1" applyAlignment="1">
      <alignment vertical="center"/>
    </xf>
    <xf numFmtId="0" fontId="16" fillId="5" borderId="8" xfId="0" applyFont="1" applyFill="1" applyBorder="1" applyAlignment="1">
      <alignment horizontal="left" vertical="center" wrapText="1"/>
    </xf>
    <xf numFmtId="0" fontId="16" fillId="5" borderId="33" xfId="0" applyFont="1" applyFill="1" applyBorder="1" applyAlignment="1">
      <alignment horizontal="left" vertical="center" wrapText="1"/>
    </xf>
    <xf numFmtId="0" fontId="16" fillId="5" borderId="34" xfId="0" applyFont="1" applyFill="1" applyBorder="1" applyAlignment="1">
      <alignment horizontal="right" vertical="center"/>
    </xf>
    <xf numFmtId="0" fontId="16" fillId="5" borderId="34" xfId="0" applyFont="1" applyFill="1" applyBorder="1" applyAlignment="1">
      <alignment horizontal="left" vertical="center"/>
    </xf>
    <xf numFmtId="0" fontId="16" fillId="5" borderId="5" xfId="0" applyFont="1" applyFill="1" applyBorder="1" applyAlignment="1">
      <alignment horizontal="center" vertical="center"/>
    </xf>
    <xf numFmtId="0" fontId="19" fillId="2" borderId="5" xfId="0" applyFont="1" applyFill="1" applyBorder="1" applyAlignment="1">
      <alignment vertical="center"/>
    </xf>
    <xf numFmtId="0" fontId="3" fillId="5" borderId="31" xfId="0" applyFont="1" applyFill="1" applyBorder="1" applyAlignment="1">
      <alignment vertical="center"/>
    </xf>
    <xf numFmtId="0" fontId="19" fillId="5" borderId="22" xfId="0" applyFont="1" applyFill="1" applyBorder="1" applyAlignment="1">
      <alignment vertical="center"/>
    </xf>
    <xf numFmtId="0" fontId="3" fillId="2" borderId="5" xfId="0" applyFont="1" applyFill="1" applyBorder="1" applyAlignment="1">
      <alignment vertical="center"/>
    </xf>
    <xf numFmtId="0" fontId="0" fillId="2" borderId="0" xfId="0" applyFill="1"/>
    <xf numFmtId="0" fontId="3" fillId="4" borderId="5" xfId="0" applyFont="1" applyFill="1" applyBorder="1" applyAlignment="1" applyProtection="1">
      <alignment horizontal="center" vertical="center"/>
      <protection locked="0"/>
    </xf>
    <xf numFmtId="0" fontId="3" fillId="4" borderId="22" xfId="0" applyFont="1" applyFill="1" applyBorder="1" applyAlignment="1" applyProtection="1">
      <alignment horizontal="center" vertical="center"/>
      <protection locked="0"/>
    </xf>
    <xf numFmtId="0" fontId="3" fillId="4" borderId="25" xfId="0" applyFont="1" applyFill="1" applyBorder="1" applyAlignment="1" applyProtection="1">
      <alignment horizontal="center" vertical="center"/>
      <protection locked="0"/>
    </xf>
    <xf numFmtId="0" fontId="3" fillId="4" borderId="11" xfId="0" applyFont="1" applyFill="1" applyBorder="1" applyAlignment="1" applyProtection="1">
      <alignment horizontal="center" vertical="center"/>
      <protection locked="0"/>
    </xf>
    <xf numFmtId="2" fontId="3" fillId="4" borderId="11" xfId="0" applyNumberFormat="1" applyFont="1" applyFill="1" applyBorder="1" applyAlignment="1" applyProtection="1">
      <alignment horizontal="center" vertical="center"/>
      <protection locked="0"/>
    </xf>
    <xf numFmtId="0" fontId="3" fillId="4" borderId="31" xfId="0" applyFont="1" applyFill="1" applyBorder="1" applyAlignment="1" applyProtection="1">
      <alignment horizontal="center" vertical="center"/>
      <protection locked="0"/>
    </xf>
    <xf numFmtId="164" fontId="3" fillId="4" borderId="22" xfId="0" applyNumberFormat="1" applyFont="1" applyFill="1" applyBorder="1" applyAlignment="1" applyProtection="1">
      <alignment horizontal="center" vertical="center"/>
      <protection locked="0"/>
    </xf>
    <xf numFmtId="164" fontId="3" fillId="4" borderId="5" xfId="0" applyNumberFormat="1" applyFont="1" applyFill="1" applyBorder="1" applyAlignment="1" applyProtection="1">
      <alignment horizontal="center" vertical="center"/>
      <protection locked="0"/>
    </xf>
    <xf numFmtId="164" fontId="3" fillId="4" borderId="11" xfId="0" applyNumberFormat="1" applyFont="1" applyFill="1" applyBorder="1" applyAlignment="1" applyProtection="1">
      <alignment horizontal="center" vertical="center"/>
      <protection locked="0"/>
    </xf>
    <xf numFmtId="0" fontId="16" fillId="4" borderId="5" xfId="0" applyFont="1" applyFill="1" applyBorder="1" applyAlignment="1" applyProtection="1">
      <alignment horizontal="center" vertical="center"/>
      <protection locked="0"/>
    </xf>
    <xf numFmtId="0" fontId="3" fillId="2" borderId="5" xfId="0" applyFont="1" applyFill="1" applyBorder="1" applyProtection="1"/>
    <xf numFmtId="0" fontId="3" fillId="2" borderId="0" xfId="0" applyFont="1" applyFill="1" applyProtection="1"/>
    <xf numFmtId="165" fontId="3" fillId="2" borderId="5" xfId="0" applyNumberFormat="1" applyFont="1" applyFill="1" applyBorder="1" applyProtection="1"/>
    <xf numFmtId="0" fontId="10" fillId="2" borderId="0" xfId="0" applyFont="1" applyFill="1" applyBorder="1" applyAlignment="1" applyProtection="1">
      <alignment horizontal="center" wrapText="1"/>
    </xf>
    <xf numFmtId="0" fontId="3" fillId="2" borderId="0" xfId="0" applyFont="1" applyFill="1" applyAlignment="1" applyProtection="1">
      <alignment horizontal="left"/>
    </xf>
    <xf numFmtId="0" fontId="3" fillId="2" borderId="0" xfId="0" applyFont="1" applyFill="1" applyAlignment="1" applyProtection="1">
      <alignment horizontal="right"/>
    </xf>
    <xf numFmtId="0" fontId="3" fillId="2" borderId="0" xfId="0" applyFont="1" applyFill="1" applyAlignment="1" applyProtection="1">
      <alignment horizontal="center" wrapText="1"/>
    </xf>
    <xf numFmtId="0" fontId="19" fillId="2" borderId="0" xfId="0" applyFont="1" applyFill="1" applyProtection="1"/>
    <xf numFmtId="0" fontId="28" fillId="2" borderId="0" xfId="0" applyFont="1" applyFill="1" applyBorder="1" applyAlignment="1" applyProtection="1">
      <alignment vertical="center"/>
    </xf>
    <xf numFmtId="0" fontId="31" fillId="2" borderId="0" xfId="0" applyFont="1" applyFill="1" applyAlignment="1">
      <alignment vertical="center"/>
    </xf>
    <xf numFmtId="0" fontId="31" fillId="2" borderId="22" xfId="0" applyFont="1" applyFill="1" applyBorder="1" applyAlignment="1">
      <alignment vertical="center"/>
    </xf>
    <xf numFmtId="0" fontId="31" fillId="2" borderId="23" xfId="0" applyFont="1" applyFill="1" applyBorder="1" applyAlignment="1">
      <alignment vertical="center"/>
    </xf>
    <xf numFmtId="0" fontId="31" fillId="2" borderId="54" xfId="0" applyFont="1" applyFill="1" applyBorder="1" applyAlignment="1">
      <alignment vertical="center"/>
    </xf>
    <xf numFmtId="0" fontId="31" fillId="2" borderId="25" xfId="0" applyFont="1" applyFill="1" applyBorder="1" applyAlignment="1">
      <alignment vertical="center"/>
    </xf>
    <xf numFmtId="0" fontId="31" fillId="2" borderId="20" xfId="0" applyFont="1" applyFill="1" applyBorder="1" applyAlignment="1">
      <alignment vertical="center"/>
    </xf>
    <xf numFmtId="164" fontId="31" fillId="2" borderId="28" xfId="0" applyNumberFormat="1" applyFont="1" applyFill="1" applyBorder="1" applyAlignment="1">
      <alignment vertical="center"/>
    </xf>
    <xf numFmtId="0" fontId="31" fillId="2" borderId="39" xfId="0" applyFont="1" applyFill="1" applyBorder="1" applyAlignment="1">
      <alignment horizontal="left" vertical="center"/>
    </xf>
    <xf numFmtId="164" fontId="31" fillId="2" borderId="23" xfId="0" applyNumberFormat="1" applyFont="1" applyFill="1" applyBorder="1" applyAlignment="1">
      <alignment vertical="center"/>
    </xf>
    <xf numFmtId="0" fontId="31" fillId="2" borderId="21" xfId="0" applyFont="1" applyFill="1" applyBorder="1" applyAlignment="1">
      <alignment vertical="center"/>
    </xf>
    <xf numFmtId="0" fontId="29" fillId="2" borderId="10" xfId="0" applyFont="1" applyFill="1" applyBorder="1" applyAlignment="1">
      <alignment vertical="center"/>
    </xf>
    <xf numFmtId="0" fontId="3" fillId="4" borderId="5" xfId="0" applyFont="1" applyFill="1" applyBorder="1" applyAlignment="1" applyProtection="1">
      <alignment horizontal="center" vertical="center"/>
      <protection locked="0"/>
    </xf>
    <xf numFmtId="0" fontId="31" fillId="2" borderId="38" xfId="0" applyFont="1" applyFill="1" applyBorder="1" applyAlignment="1">
      <alignment vertical="center"/>
    </xf>
    <xf numFmtId="0" fontId="31" fillId="2" borderId="43" xfId="0" applyFont="1" applyFill="1" applyBorder="1" applyAlignment="1">
      <alignment vertical="center"/>
    </xf>
    <xf numFmtId="0" fontId="31" fillId="2" borderId="7" xfId="0" applyFont="1" applyFill="1" applyBorder="1" applyAlignment="1">
      <alignment vertical="center"/>
    </xf>
    <xf numFmtId="0" fontId="31" fillId="2" borderId="0" xfId="0" applyFont="1" applyFill="1" applyBorder="1" applyAlignment="1">
      <alignment vertical="center"/>
    </xf>
    <xf numFmtId="164" fontId="31" fillId="2" borderId="22" xfId="0" applyNumberFormat="1" applyFont="1" applyFill="1" applyBorder="1" applyAlignment="1">
      <alignment vertical="center"/>
    </xf>
    <xf numFmtId="164" fontId="31" fillId="2" borderId="20" xfId="0" applyNumberFormat="1" applyFont="1" applyFill="1" applyBorder="1" applyAlignment="1">
      <alignment vertical="center"/>
    </xf>
    <xf numFmtId="0" fontId="31" fillId="2" borderId="42" xfId="0" applyFont="1" applyFill="1" applyBorder="1" applyAlignment="1">
      <alignment vertical="center"/>
    </xf>
    <xf numFmtId="0" fontId="31" fillId="2" borderId="28" xfId="0" applyFont="1" applyFill="1" applyBorder="1" applyAlignment="1">
      <alignment vertical="center"/>
    </xf>
    <xf numFmtId="0" fontId="31" fillId="2" borderId="26" xfId="0" applyFont="1" applyFill="1" applyBorder="1" applyAlignment="1">
      <alignment vertical="center"/>
    </xf>
    <xf numFmtId="0" fontId="33" fillId="2" borderId="16" xfId="0" applyFont="1" applyFill="1" applyBorder="1" applyAlignment="1">
      <alignment horizontal="center" vertical="center"/>
    </xf>
    <xf numFmtId="0" fontId="31" fillId="2" borderId="29" xfId="0" applyFont="1" applyFill="1" applyBorder="1" applyAlignment="1">
      <alignment vertical="center"/>
    </xf>
    <xf numFmtId="0" fontId="31" fillId="2" borderId="20" xfId="0" applyFont="1" applyFill="1" applyBorder="1" applyAlignment="1">
      <alignment horizontal="right" vertical="center"/>
    </xf>
    <xf numFmtId="0" fontId="35" fillId="2" borderId="43" xfId="0" applyFont="1" applyFill="1" applyBorder="1" applyAlignment="1">
      <alignment vertical="center"/>
    </xf>
    <xf numFmtId="0" fontId="31" fillId="2" borderId="28" xfId="0" applyFont="1" applyFill="1" applyBorder="1" applyAlignment="1">
      <alignment horizontal="right" vertical="center"/>
    </xf>
    <xf numFmtId="0" fontId="35" fillId="2" borderId="20" xfId="0" applyFont="1" applyFill="1" applyBorder="1" applyAlignment="1">
      <alignment vertical="center"/>
    </xf>
    <xf numFmtId="0" fontId="33" fillId="2" borderId="56" xfId="0" applyFont="1" applyFill="1" applyBorder="1" applyAlignment="1">
      <alignment horizontal="center" vertical="center"/>
    </xf>
    <xf numFmtId="0" fontId="31" fillId="2" borderId="45" xfId="0" applyFont="1" applyFill="1" applyBorder="1" applyAlignment="1">
      <alignment vertical="center"/>
    </xf>
    <xf numFmtId="0" fontId="31" fillId="2" borderId="17" xfId="0" applyFont="1" applyFill="1" applyBorder="1" applyAlignment="1">
      <alignment vertical="center"/>
    </xf>
    <xf numFmtId="166" fontId="31" fillId="2" borderId="28" xfId="0" applyNumberFormat="1" applyFont="1" applyFill="1" applyBorder="1" applyAlignment="1">
      <alignment vertical="center"/>
    </xf>
    <xf numFmtId="0" fontId="31" fillId="2" borderId="7" xfId="0" applyNumberFormat="1" applyFont="1" applyFill="1" applyBorder="1" applyAlignment="1">
      <alignment vertical="center"/>
    </xf>
    <xf numFmtId="0" fontId="31" fillId="2" borderId="7" xfId="0" applyFont="1" applyFill="1" applyBorder="1" applyAlignment="1">
      <alignment horizontal="left" vertical="center"/>
    </xf>
    <xf numFmtId="0" fontId="31" fillId="2" borderId="18" xfId="0" applyFont="1" applyFill="1" applyBorder="1" applyAlignment="1">
      <alignment vertical="center"/>
    </xf>
    <xf numFmtId="0" fontId="31" fillId="2" borderId="54" xfId="0" applyFont="1" applyFill="1" applyBorder="1" applyAlignment="1">
      <alignment horizontal="left" vertical="center"/>
    </xf>
    <xf numFmtId="0" fontId="31" fillId="2" borderId="26" xfId="0" applyFont="1" applyFill="1" applyBorder="1" applyAlignment="1">
      <alignment horizontal="left" vertical="center"/>
    </xf>
    <xf numFmtId="0" fontId="31" fillId="2" borderId="28" xfId="0" applyNumberFormat="1" applyFont="1" applyFill="1" applyBorder="1" applyAlignment="1">
      <alignment vertical="center"/>
    </xf>
    <xf numFmtId="0" fontId="31" fillId="2" borderId="23" xfId="0" applyNumberFormat="1" applyFont="1" applyFill="1" applyBorder="1" applyAlignment="1">
      <alignment vertical="center"/>
    </xf>
    <xf numFmtId="0" fontId="31" fillId="2" borderId="23" xfId="0" applyFont="1" applyFill="1" applyBorder="1" applyAlignment="1">
      <alignment horizontal="left" vertical="center"/>
    </xf>
    <xf numFmtId="0" fontId="1" fillId="2" borderId="0" xfId="0" applyFont="1" applyFill="1" applyAlignment="1">
      <alignment horizontal="center" vertical="center" wrapText="1"/>
    </xf>
    <xf numFmtId="0" fontId="37" fillId="2" borderId="0" xfId="0" applyFont="1" applyFill="1" applyAlignment="1">
      <alignment horizontal="center" vertical="center" wrapText="1"/>
    </xf>
    <xf numFmtId="0" fontId="37" fillId="2" borderId="0" xfId="0" applyFont="1" applyFill="1" applyAlignment="1">
      <alignment horizontal="right" vertical="center" wrapText="1"/>
    </xf>
    <xf numFmtId="0" fontId="38" fillId="2" borderId="0" xfId="0" applyFont="1" applyFill="1" applyAlignment="1">
      <alignment horizontal="right" vertical="center" wrapText="1"/>
    </xf>
    <xf numFmtId="0" fontId="38" fillId="2" borderId="0" xfId="0" applyFont="1" applyFill="1" applyAlignment="1">
      <alignment horizontal="left" vertical="center" wrapText="1"/>
    </xf>
    <xf numFmtId="0" fontId="11" fillId="2" borderId="0" xfId="0" applyFont="1" applyFill="1" applyAlignment="1">
      <alignment vertical="center"/>
    </xf>
    <xf numFmtId="0" fontId="3" fillId="4" borderId="5" xfId="0" applyFont="1" applyFill="1" applyBorder="1" applyAlignment="1" applyProtection="1">
      <alignment horizontal="center" vertical="center"/>
      <protection locked="0"/>
    </xf>
    <xf numFmtId="0" fontId="3" fillId="2" borderId="5" xfId="0" applyFont="1" applyFill="1" applyBorder="1" applyAlignment="1">
      <alignment horizontal="center" vertical="center"/>
    </xf>
    <xf numFmtId="0" fontId="3" fillId="2" borderId="6" xfId="0" applyFont="1" applyFill="1" applyBorder="1" applyAlignment="1">
      <alignment horizontal="left" vertical="center"/>
    </xf>
    <xf numFmtId="0" fontId="16" fillId="2" borderId="5" xfId="0" applyFont="1" applyFill="1" applyBorder="1" applyAlignment="1">
      <alignment horizontal="left" vertical="center"/>
    </xf>
    <xf numFmtId="0" fontId="3" fillId="5" borderId="5" xfId="0" applyFont="1" applyFill="1" applyBorder="1" applyAlignment="1">
      <alignment horizontal="center" vertical="center"/>
    </xf>
    <xf numFmtId="0" fontId="3" fillId="2" borderId="31" xfId="0" applyFont="1" applyFill="1" applyBorder="1" applyAlignment="1">
      <alignment horizontal="center" vertical="center"/>
    </xf>
    <xf numFmtId="0" fontId="3" fillId="2" borderId="22" xfId="0" applyFont="1" applyFill="1" applyBorder="1" applyAlignment="1">
      <alignment vertical="center"/>
    </xf>
    <xf numFmtId="0" fontId="3" fillId="2" borderId="26" xfId="0" applyFont="1" applyFill="1" applyBorder="1" applyAlignment="1">
      <alignment vertical="center"/>
    </xf>
    <xf numFmtId="0" fontId="3" fillId="2" borderId="27" xfId="0" applyFont="1" applyFill="1" applyBorder="1" applyAlignment="1">
      <alignment horizontal="center" vertical="center"/>
    </xf>
    <xf numFmtId="167" fontId="3" fillId="2" borderId="5" xfId="0" applyNumberFormat="1" applyFont="1" applyFill="1" applyBorder="1" applyAlignment="1">
      <alignment vertical="center"/>
    </xf>
    <xf numFmtId="0" fontId="17" fillId="0" borderId="53" xfId="0" applyFont="1" applyFill="1" applyBorder="1" applyAlignment="1">
      <alignment horizontal="left" vertical="center"/>
    </xf>
    <xf numFmtId="164" fontId="3" fillId="2" borderId="5" xfId="0" applyNumberFormat="1" applyFont="1" applyFill="1" applyBorder="1" applyAlignment="1">
      <alignment horizontal="center" vertical="center" wrapText="1"/>
    </xf>
    <xf numFmtId="0" fontId="3" fillId="2" borderId="22" xfId="0" applyFont="1" applyFill="1" applyBorder="1" applyAlignment="1">
      <alignment horizontal="left" vertical="center"/>
    </xf>
    <xf numFmtId="0" fontId="3" fillId="4" borderId="5" xfId="0" applyFont="1" applyFill="1" applyBorder="1" applyAlignment="1" applyProtection="1">
      <alignment horizontal="center" vertical="center"/>
      <protection locked="0"/>
    </xf>
    <xf numFmtId="0" fontId="16" fillId="5" borderId="5" xfId="0" applyFont="1" applyFill="1" applyBorder="1" applyAlignment="1">
      <alignment horizontal="center" vertical="center"/>
    </xf>
    <xf numFmtId="0" fontId="24" fillId="0" borderId="58" xfId="0" applyFont="1" applyFill="1" applyBorder="1" applyAlignment="1">
      <alignment horizontal="left" vertical="center"/>
    </xf>
    <xf numFmtId="0" fontId="16" fillId="2" borderId="59" xfId="0" applyFont="1" applyFill="1" applyBorder="1" applyAlignment="1">
      <alignment horizontal="left" vertical="center"/>
    </xf>
    <xf numFmtId="0" fontId="16" fillId="2" borderId="0" xfId="0" applyFont="1" applyFill="1" applyAlignment="1">
      <alignment horizontal="center" vertical="center"/>
    </xf>
    <xf numFmtId="0" fontId="40" fillId="2" borderId="34" xfId="0" applyFont="1" applyFill="1" applyBorder="1" applyAlignment="1">
      <alignment horizontal="center" vertical="center"/>
    </xf>
    <xf numFmtId="0" fontId="3" fillId="5" borderId="11" xfId="0" applyFont="1" applyFill="1" applyBorder="1" applyAlignment="1">
      <alignment horizontal="right" vertical="center"/>
    </xf>
    <xf numFmtId="0" fontId="9" fillId="2" borderId="22" xfId="0" applyFont="1" applyFill="1" applyBorder="1" applyAlignment="1">
      <alignment vertical="center"/>
    </xf>
    <xf numFmtId="0" fontId="9" fillId="2" borderId="26" xfId="0" applyFont="1" applyFill="1" applyBorder="1" applyAlignment="1">
      <alignment vertical="center" wrapText="1"/>
    </xf>
    <xf numFmtId="164" fontId="3" fillId="2" borderId="5" xfId="0" applyNumberFormat="1" applyFont="1" applyFill="1" applyBorder="1" applyAlignment="1">
      <alignment horizontal="right" vertical="center"/>
    </xf>
    <xf numFmtId="164" fontId="3" fillId="4" borderId="31" xfId="0" applyNumberFormat="1" applyFont="1" applyFill="1" applyBorder="1" applyAlignment="1" applyProtection="1">
      <alignment horizontal="center" vertical="center"/>
      <protection locked="0"/>
    </xf>
    <xf numFmtId="2" fontId="3" fillId="2" borderId="0" xfId="0" applyNumberFormat="1" applyFont="1" applyFill="1" applyProtection="1"/>
    <xf numFmtId="164" fontId="3" fillId="2" borderId="11" xfId="0" applyNumberFormat="1" applyFont="1" applyFill="1" applyBorder="1" applyAlignment="1">
      <alignment horizontal="right" vertical="center"/>
    </xf>
    <xf numFmtId="0" fontId="3" fillId="2" borderId="28" xfId="0" applyFont="1" applyFill="1" applyBorder="1" applyAlignment="1">
      <alignment vertical="center"/>
    </xf>
    <xf numFmtId="0" fontId="3" fillId="2" borderId="29" xfId="0" applyFont="1" applyFill="1" applyBorder="1" applyAlignment="1">
      <alignment vertical="center"/>
    </xf>
    <xf numFmtId="0" fontId="3" fillId="2" borderId="5" xfId="0" applyFont="1" applyFill="1" applyBorder="1" applyAlignment="1">
      <alignment horizontal="center" vertical="center"/>
    </xf>
    <xf numFmtId="0" fontId="9" fillId="2" borderId="22" xfId="0" applyFont="1" applyFill="1" applyBorder="1" applyAlignment="1">
      <alignment horizontal="left" vertical="center"/>
    </xf>
    <xf numFmtId="0" fontId="3" fillId="2" borderId="5" xfId="0" applyFont="1" applyFill="1" applyBorder="1" applyAlignment="1">
      <alignment vertical="center"/>
    </xf>
    <xf numFmtId="0" fontId="3" fillId="5" borderId="5" xfId="0" applyFont="1" applyFill="1" applyBorder="1" applyAlignment="1">
      <alignment horizontal="center" vertical="center"/>
    </xf>
    <xf numFmtId="0" fontId="16" fillId="2" borderId="5" xfId="0" applyFont="1" applyFill="1" applyBorder="1" applyAlignment="1">
      <alignment horizontal="center" vertical="center"/>
    </xf>
    <xf numFmtId="0" fontId="9" fillId="2" borderId="26" xfId="0" applyFont="1" applyFill="1" applyBorder="1" applyAlignment="1">
      <alignment horizontal="left" vertical="center"/>
    </xf>
    <xf numFmtId="0" fontId="16" fillId="2" borderId="53" xfId="0" applyFont="1" applyFill="1" applyBorder="1" applyAlignment="1">
      <alignment vertical="center"/>
    </xf>
    <xf numFmtId="0" fontId="16" fillId="2" borderId="60" xfId="0" applyFont="1" applyFill="1" applyBorder="1" applyAlignment="1">
      <alignment vertical="center"/>
    </xf>
    <xf numFmtId="0" fontId="16" fillId="2" borderId="26" xfId="0" applyFont="1" applyFill="1" applyBorder="1" applyAlignment="1">
      <alignment vertical="center"/>
    </xf>
    <xf numFmtId="164" fontId="3" fillId="5" borderId="24" xfId="0" applyNumberFormat="1" applyFont="1" applyFill="1" applyBorder="1" applyAlignment="1">
      <alignment vertical="center"/>
    </xf>
    <xf numFmtId="0" fontId="3" fillId="2" borderId="26" xfId="0" applyFont="1" applyFill="1" applyBorder="1" applyAlignment="1">
      <alignment horizontal="left" vertical="center"/>
    </xf>
    <xf numFmtId="0" fontId="3" fillId="2" borderId="5" xfId="0" applyFont="1" applyFill="1" applyBorder="1" applyAlignment="1">
      <alignment horizontal="center" vertical="center"/>
    </xf>
    <xf numFmtId="0" fontId="3" fillId="4" borderId="5" xfId="0" applyFont="1" applyFill="1" applyBorder="1" applyAlignment="1" applyProtection="1">
      <alignment horizontal="center" vertical="center"/>
      <protection locked="0"/>
    </xf>
    <xf numFmtId="0" fontId="3" fillId="2" borderId="22" xfId="0" applyFont="1" applyFill="1" applyBorder="1" applyAlignment="1">
      <alignment horizontal="left" vertical="center"/>
    </xf>
    <xf numFmtId="0" fontId="16" fillId="2" borderId="22" xfId="0" applyFont="1" applyFill="1" applyBorder="1" applyAlignment="1">
      <alignment horizontal="left" vertical="center"/>
    </xf>
    <xf numFmtId="0" fontId="3" fillId="2" borderId="5" xfId="0" applyFont="1" applyFill="1" applyBorder="1" applyAlignment="1">
      <alignment vertical="center"/>
    </xf>
    <xf numFmtId="0" fontId="3" fillId="5" borderId="5" xfId="0" applyFont="1" applyFill="1" applyBorder="1" applyAlignment="1">
      <alignment horizontal="center" vertical="center"/>
    </xf>
    <xf numFmtId="0" fontId="3" fillId="5" borderId="5" xfId="0" applyFont="1" applyFill="1" applyBorder="1" applyAlignment="1">
      <alignment horizontal="right" vertical="center"/>
    </xf>
    <xf numFmtId="0" fontId="3" fillId="5" borderId="22" xfId="0" applyFont="1" applyFill="1" applyBorder="1" applyAlignment="1">
      <alignment horizontal="left" vertical="center"/>
    </xf>
    <xf numFmtId="0" fontId="16" fillId="5" borderId="5" xfId="0" applyFont="1" applyFill="1" applyBorder="1" applyAlignment="1">
      <alignment horizontal="center" vertical="center"/>
    </xf>
    <xf numFmtId="0" fontId="16" fillId="5" borderId="8" xfId="0" applyFont="1" applyFill="1" applyBorder="1" applyAlignment="1">
      <alignment horizontal="left" vertical="center" wrapText="1"/>
    </xf>
    <xf numFmtId="164" fontId="16" fillId="2" borderId="5" xfId="0" applyNumberFormat="1" applyFont="1" applyFill="1" applyBorder="1" applyAlignment="1">
      <alignment horizontal="right" vertical="center"/>
    </xf>
    <xf numFmtId="0" fontId="9" fillId="4" borderId="26" xfId="0" applyFont="1" applyFill="1" applyBorder="1" applyAlignment="1">
      <alignment horizontal="left" vertical="center"/>
    </xf>
    <xf numFmtId="0" fontId="31" fillId="0" borderId="5" xfId="0" applyFont="1" applyFill="1" applyBorder="1" applyAlignment="1">
      <alignment horizontal="center" vertical="center"/>
    </xf>
    <xf numFmtId="0" fontId="11" fillId="2" borderId="26" xfId="0" applyFont="1" applyFill="1" applyBorder="1" applyAlignment="1">
      <alignment vertical="center" wrapText="1"/>
    </xf>
    <xf numFmtId="0" fontId="31" fillId="0" borderId="5" xfId="0" applyFont="1" applyFill="1" applyBorder="1" applyAlignment="1">
      <alignment horizontal="left" vertical="center"/>
    </xf>
    <xf numFmtId="164" fontId="11" fillId="2" borderId="5" xfId="0" applyNumberFormat="1" applyFont="1" applyFill="1" applyBorder="1" applyAlignment="1">
      <alignment horizontal="right" vertical="center"/>
    </xf>
    <xf numFmtId="0" fontId="9" fillId="2" borderId="26" xfId="0" applyFont="1" applyFill="1" applyBorder="1" applyAlignment="1">
      <alignment vertical="center"/>
    </xf>
    <xf numFmtId="0" fontId="3" fillId="5" borderId="0" xfId="0" applyFont="1" applyFill="1" applyBorder="1" applyAlignment="1">
      <alignment vertical="center"/>
    </xf>
    <xf numFmtId="0" fontId="9" fillId="4" borderId="26" xfId="0" applyFont="1" applyFill="1" applyBorder="1" applyAlignment="1">
      <alignment vertical="center"/>
    </xf>
    <xf numFmtId="0" fontId="16" fillId="2" borderId="8" xfId="0" applyFont="1" applyFill="1" applyBorder="1" applyAlignment="1">
      <alignment vertical="center" wrapText="1"/>
    </xf>
    <xf numFmtId="0" fontId="9" fillId="5" borderId="26" xfId="0" applyFont="1" applyFill="1" applyBorder="1" applyAlignment="1">
      <alignment vertical="center"/>
    </xf>
    <xf numFmtId="0" fontId="24" fillId="2" borderId="8" xfId="0" applyFont="1" applyFill="1" applyBorder="1" applyAlignment="1">
      <alignment vertical="center"/>
    </xf>
    <xf numFmtId="0" fontId="3" fillId="5" borderId="40" xfId="0" applyFont="1" applyFill="1" applyBorder="1" applyAlignment="1">
      <alignment vertical="center" wrapText="1"/>
    </xf>
    <xf numFmtId="0" fontId="3" fillId="2" borderId="26" xfId="0" applyFont="1" applyFill="1" applyBorder="1" applyAlignment="1">
      <alignment horizontal="left" vertical="center"/>
    </xf>
    <xf numFmtId="0" fontId="3" fillId="2" borderId="6" xfId="0" applyFont="1" applyFill="1" applyBorder="1" applyAlignment="1">
      <alignment horizontal="left" vertical="center"/>
    </xf>
    <xf numFmtId="0" fontId="3" fillId="2" borderId="22" xfId="0" applyFont="1" applyFill="1" applyBorder="1" applyAlignment="1">
      <alignment horizontal="left" vertical="center"/>
    </xf>
    <xf numFmtId="0" fontId="3" fillId="2" borderId="5" xfId="0" applyFont="1" applyFill="1" applyBorder="1" applyAlignment="1">
      <alignment horizontal="center" vertical="center"/>
    </xf>
    <xf numFmtId="0" fontId="3" fillId="2" borderId="8" xfId="0" applyFont="1" applyFill="1" applyBorder="1" applyAlignment="1">
      <alignment horizontal="left" vertical="center" wrapText="1"/>
    </xf>
    <xf numFmtId="164" fontId="3" fillId="2" borderId="5" xfId="0" applyNumberFormat="1" applyFont="1" applyFill="1" applyBorder="1" applyAlignment="1">
      <alignment horizontal="right" vertical="center"/>
    </xf>
    <xf numFmtId="0" fontId="9" fillId="4" borderId="26" xfId="0" applyFont="1" applyFill="1" applyBorder="1" applyAlignment="1">
      <alignment horizontal="left" vertical="center"/>
    </xf>
    <xf numFmtId="0" fontId="16" fillId="2" borderId="8" xfId="0" applyFont="1" applyFill="1" applyBorder="1" applyAlignment="1">
      <alignment horizontal="left" vertical="center" wrapText="1"/>
    </xf>
    <xf numFmtId="0" fontId="3" fillId="5" borderId="5" xfId="0" applyFont="1" applyFill="1" applyBorder="1" applyAlignment="1">
      <alignment horizontal="center" vertical="center"/>
    </xf>
    <xf numFmtId="0" fontId="3" fillId="5" borderId="5" xfId="0" applyFont="1" applyFill="1" applyBorder="1" applyAlignment="1">
      <alignment horizontal="right" vertical="center"/>
    </xf>
    <xf numFmtId="0" fontId="3" fillId="5" borderId="22" xfId="0" applyFont="1" applyFill="1" applyBorder="1" applyAlignment="1">
      <alignment horizontal="left" vertical="center"/>
    </xf>
    <xf numFmtId="0" fontId="16" fillId="2" borderId="5" xfId="0" applyFont="1" applyFill="1" applyBorder="1" applyAlignment="1">
      <alignment horizontal="left" vertical="center"/>
    </xf>
    <xf numFmtId="0" fontId="24" fillId="2" borderId="10" xfId="0" applyFont="1" applyFill="1" applyBorder="1" applyAlignment="1">
      <alignment horizontal="left" vertical="center"/>
    </xf>
    <xf numFmtId="0" fontId="9" fillId="2" borderId="22" xfId="0" applyFont="1" applyFill="1" applyBorder="1" applyAlignment="1">
      <alignment horizontal="left" vertical="center"/>
    </xf>
    <xf numFmtId="0" fontId="9" fillId="2" borderId="26" xfId="0" applyFont="1" applyFill="1" applyBorder="1" applyAlignment="1">
      <alignment horizontal="left" vertical="center"/>
    </xf>
    <xf numFmtId="0" fontId="3" fillId="2" borderId="27" xfId="0" applyFont="1" applyFill="1" applyBorder="1" applyAlignment="1">
      <alignment horizontal="center" vertical="center"/>
    </xf>
    <xf numFmtId="0" fontId="16" fillId="2" borderId="5" xfId="0" applyFont="1" applyFill="1" applyBorder="1" applyAlignment="1">
      <alignment horizontal="center" vertical="center"/>
    </xf>
    <xf numFmtId="164" fontId="16" fillId="2" borderId="5" xfId="0" applyNumberFormat="1" applyFont="1" applyFill="1" applyBorder="1" applyAlignment="1">
      <alignment horizontal="right" vertical="center"/>
    </xf>
    <xf numFmtId="0" fontId="16" fillId="5" borderId="8" xfId="0" applyFont="1" applyFill="1" applyBorder="1" applyAlignment="1">
      <alignment horizontal="left" vertical="center" wrapText="1"/>
    </xf>
    <xf numFmtId="0" fontId="16" fillId="5" borderId="33" xfId="0" applyFont="1" applyFill="1" applyBorder="1" applyAlignment="1">
      <alignment horizontal="left" vertical="center" wrapText="1"/>
    </xf>
    <xf numFmtId="0" fontId="16" fillId="5" borderId="34" xfId="0" applyFont="1" applyFill="1" applyBorder="1" applyAlignment="1">
      <alignment horizontal="right" vertical="center"/>
    </xf>
    <xf numFmtId="0" fontId="16" fillId="5" borderId="34" xfId="0" applyFont="1" applyFill="1" applyBorder="1" applyAlignment="1">
      <alignment horizontal="left" vertical="center"/>
    </xf>
    <xf numFmtId="0" fontId="16" fillId="5" borderId="5" xfId="0" applyFont="1" applyFill="1" applyBorder="1" applyAlignment="1">
      <alignment horizontal="center" vertical="center"/>
    </xf>
    <xf numFmtId="0" fontId="3" fillId="2" borderId="5" xfId="0" applyFont="1" applyFill="1" applyBorder="1" applyAlignment="1">
      <alignment vertical="center"/>
    </xf>
    <xf numFmtId="0" fontId="3" fillId="2" borderId="5" xfId="0" applyFont="1" applyFill="1" applyBorder="1" applyAlignment="1">
      <alignment horizontal="left" vertical="center"/>
    </xf>
    <xf numFmtId="0" fontId="17" fillId="3" borderId="5" xfId="0" applyFont="1" applyFill="1" applyBorder="1" applyAlignment="1">
      <alignment horizontal="left" vertical="center"/>
    </xf>
    <xf numFmtId="0" fontId="3" fillId="2" borderId="23" xfId="0" applyFont="1" applyFill="1" applyBorder="1" applyAlignment="1">
      <alignment horizontal="left" vertical="center"/>
    </xf>
    <xf numFmtId="0" fontId="3" fillId="2" borderId="26" xfId="0" applyFont="1" applyFill="1" applyBorder="1" applyAlignment="1">
      <alignment horizontal="left" vertical="center"/>
    </xf>
    <xf numFmtId="0" fontId="16" fillId="2" borderId="6" xfId="0" applyFont="1" applyFill="1" applyBorder="1" applyAlignment="1">
      <alignment horizontal="left" vertical="center"/>
    </xf>
    <xf numFmtId="0" fontId="16" fillId="2" borderId="27" xfId="0" applyFont="1" applyFill="1" applyBorder="1" applyAlignment="1">
      <alignment horizontal="left" vertical="center"/>
    </xf>
    <xf numFmtId="0" fontId="3" fillId="2" borderId="5" xfId="0" applyFont="1" applyFill="1" applyBorder="1" applyAlignment="1">
      <alignment horizontal="left" vertical="center" wrapText="1"/>
    </xf>
    <xf numFmtId="0" fontId="3" fillId="2" borderId="5" xfId="0" applyFont="1" applyFill="1" applyBorder="1" applyAlignment="1">
      <alignment horizontal="center" vertical="center"/>
    </xf>
    <xf numFmtId="0" fontId="19" fillId="2" borderId="5" xfId="0" applyFont="1" applyFill="1" applyBorder="1" applyAlignment="1">
      <alignment horizontal="left" vertical="center"/>
    </xf>
    <xf numFmtId="0" fontId="3" fillId="4" borderId="5" xfId="0" applyFont="1" applyFill="1" applyBorder="1" applyAlignment="1" applyProtection="1">
      <alignment horizontal="center" vertical="center"/>
      <protection locked="0"/>
    </xf>
    <xf numFmtId="0" fontId="3" fillId="2" borderId="22" xfId="0" applyFont="1" applyFill="1" applyBorder="1" applyAlignment="1">
      <alignment horizontal="left" vertical="center"/>
    </xf>
    <xf numFmtId="0" fontId="3" fillId="2" borderId="30" xfId="0" applyFont="1" applyFill="1" applyBorder="1" applyAlignment="1">
      <alignment horizontal="left" vertical="center"/>
    </xf>
    <xf numFmtId="0" fontId="16" fillId="2" borderId="22" xfId="0" applyFont="1" applyFill="1" applyBorder="1" applyAlignment="1">
      <alignment horizontal="left" vertical="center"/>
    </xf>
    <xf numFmtId="0" fontId="16" fillId="2" borderId="30" xfId="0" applyFont="1" applyFill="1" applyBorder="1" applyAlignment="1">
      <alignment horizontal="left" vertical="center"/>
    </xf>
    <xf numFmtId="0" fontId="1" fillId="3" borderId="0" xfId="0" applyFont="1" applyFill="1" applyAlignment="1">
      <alignment horizontal="center" vertical="center" wrapText="1"/>
    </xf>
    <xf numFmtId="0" fontId="2" fillId="2" borderId="1" xfId="0" applyFont="1" applyFill="1" applyBorder="1" applyAlignment="1">
      <alignment horizontal="left" vertical="center"/>
    </xf>
    <xf numFmtId="0" fontId="2" fillId="2" borderId="7" xfId="0" applyFont="1" applyFill="1" applyBorder="1" applyAlignment="1">
      <alignment horizontal="left" vertical="center"/>
    </xf>
    <xf numFmtId="0" fontId="2" fillId="2" borderId="2" xfId="0" applyFont="1" applyFill="1" applyBorder="1" applyAlignment="1">
      <alignment horizontal="left" vertical="center"/>
    </xf>
    <xf numFmtId="0" fontId="3" fillId="2" borderId="13"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3" borderId="19" xfId="0" applyFont="1" applyFill="1" applyBorder="1" applyAlignment="1">
      <alignment horizontal="left" vertical="center"/>
    </xf>
    <xf numFmtId="0" fontId="17" fillId="3" borderId="20" xfId="0" applyFont="1" applyFill="1" applyBorder="1" applyAlignment="1">
      <alignment horizontal="left" vertical="center"/>
    </xf>
    <xf numFmtId="0" fontId="17" fillId="3" borderId="21" xfId="0" applyFont="1" applyFill="1" applyBorder="1" applyAlignment="1">
      <alignment horizontal="left" vertical="center"/>
    </xf>
    <xf numFmtId="0" fontId="17" fillId="3" borderId="37" xfId="0" applyFont="1" applyFill="1" applyBorder="1" applyAlignment="1">
      <alignment horizontal="left" vertical="center"/>
    </xf>
    <xf numFmtId="0" fontId="17" fillId="3" borderId="38" xfId="0" applyFont="1" applyFill="1" applyBorder="1" applyAlignment="1">
      <alignment horizontal="left" vertical="center"/>
    </xf>
    <xf numFmtId="0" fontId="17" fillId="3" borderId="39" xfId="0" applyFont="1" applyFill="1" applyBorder="1" applyAlignment="1">
      <alignment horizontal="left" vertical="center"/>
    </xf>
    <xf numFmtId="0" fontId="3" fillId="2" borderId="25" xfId="0" applyFont="1" applyFill="1" applyBorder="1" applyAlignment="1">
      <alignment horizontal="left" vertical="center"/>
    </xf>
    <xf numFmtId="0" fontId="3" fillId="2" borderId="28" xfId="0" applyFont="1" applyFill="1" applyBorder="1" applyAlignment="1">
      <alignment horizontal="left" vertical="center"/>
    </xf>
    <xf numFmtId="0" fontId="3" fillId="2" borderId="29" xfId="0" applyFont="1" applyFill="1" applyBorder="1" applyAlignment="1">
      <alignment horizontal="left" vertical="center"/>
    </xf>
    <xf numFmtId="0" fontId="3" fillId="2" borderId="28" xfId="0" applyFont="1" applyFill="1" applyBorder="1" applyAlignment="1">
      <alignment horizontal="left" vertical="center" wrapText="1"/>
    </xf>
    <xf numFmtId="0" fontId="3" fillId="2" borderId="29" xfId="0" applyFont="1" applyFill="1" applyBorder="1" applyAlignment="1">
      <alignment horizontal="left" vertical="center" wrapText="1"/>
    </xf>
    <xf numFmtId="0" fontId="3" fillId="2" borderId="9" xfId="0" applyFont="1" applyFill="1" applyBorder="1" applyAlignment="1">
      <alignment horizontal="left" vertical="center"/>
    </xf>
    <xf numFmtId="0" fontId="3" fillId="2" borderId="24" xfId="0" applyFont="1" applyFill="1" applyBorder="1" applyAlignment="1">
      <alignment horizontal="left" vertical="center"/>
    </xf>
    <xf numFmtId="0" fontId="3" fillId="2" borderId="6" xfId="0" applyFont="1" applyFill="1" applyBorder="1" applyAlignment="1">
      <alignment horizontal="left" vertical="center"/>
    </xf>
    <xf numFmtId="0" fontId="3" fillId="2" borderId="27" xfId="0" applyFont="1" applyFill="1" applyBorder="1" applyAlignment="1">
      <alignment horizontal="left" vertical="center"/>
    </xf>
    <xf numFmtId="0" fontId="5" fillId="2" borderId="0" xfId="0" applyFont="1" applyFill="1" applyBorder="1" applyAlignment="1">
      <alignment horizontal="center" vertical="center"/>
    </xf>
    <xf numFmtId="0" fontId="9" fillId="2" borderId="17" xfId="0" applyFont="1" applyFill="1" applyBorder="1" applyAlignment="1">
      <alignment horizontal="center" vertical="center"/>
    </xf>
    <xf numFmtId="0" fontId="9" fillId="2" borderId="18" xfId="0" applyFont="1" applyFill="1" applyBorder="1" applyAlignment="1">
      <alignment horizontal="center" vertical="center"/>
    </xf>
    <xf numFmtId="0" fontId="4" fillId="3" borderId="37" xfId="0" applyFont="1" applyFill="1" applyBorder="1" applyAlignment="1">
      <alignment horizontal="left" vertical="center"/>
    </xf>
    <xf numFmtId="0" fontId="4" fillId="3" borderId="38" xfId="0" applyFont="1" applyFill="1" applyBorder="1" applyAlignment="1">
      <alignment horizontal="left" vertical="center"/>
    </xf>
    <xf numFmtId="0" fontId="4" fillId="3" borderId="39" xfId="0" applyFont="1" applyFill="1" applyBorder="1" applyAlignment="1">
      <alignment horizontal="left" vertical="center"/>
    </xf>
    <xf numFmtId="0" fontId="3" fillId="2" borderId="31" xfId="0" applyFont="1" applyFill="1" applyBorder="1" applyAlignment="1">
      <alignment horizontal="left" vertical="center"/>
    </xf>
    <xf numFmtId="0" fontId="3" fillId="2" borderId="41" xfId="0"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5" fillId="2" borderId="30" xfId="0" applyFont="1" applyFill="1" applyBorder="1" applyAlignment="1">
      <alignment horizontal="left" vertical="center" wrapText="1"/>
    </xf>
    <xf numFmtId="0" fontId="5" fillId="2" borderId="9" xfId="0" applyFont="1" applyFill="1" applyBorder="1" applyAlignment="1">
      <alignment horizontal="left" vertical="center" wrapText="1"/>
    </xf>
    <xf numFmtId="0" fontId="11" fillId="2" borderId="0" xfId="0" applyFont="1" applyFill="1" applyBorder="1" applyAlignment="1">
      <alignment horizontal="center" vertical="center"/>
    </xf>
    <xf numFmtId="0" fontId="9" fillId="2" borderId="52" xfId="0" applyFont="1" applyFill="1" applyBorder="1" applyAlignment="1">
      <alignment horizontal="center" vertical="center"/>
    </xf>
    <xf numFmtId="0" fontId="9" fillId="2" borderId="45" xfId="0" applyFont="1" applyFill="1" applyBorder="1" applyAlignment="1">
      <alignment horizontal="center" vertical="center"/>
    </xf>
    <xf numFmtId="0" fontId="12" fillId="2" borderId="1"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7" fillId="2" borderId="13"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14" xfId="0" applyFont="1" applyFill="1" applyBorder="1" applyAlignment="1">
      <alignment horizontal="center" vertical="center"/>
    </xf>
    <xf numFmtId="0" fontId="29" fillId="2" borderId="3" xfId="0" applyFont="1" applyFill="1" applyBorder="1" applyAlignment="1">
      <alignment horizontal="center" vertical="center"/>
    </xf>
    <xf numFmtId="0" fontId="29" fillId="2" borderId="15" xfId="0" applyFont="1" applyFill="1" applyBorder="1" applyAlignment="1">
      <alignment horizontal="center" vertical="center"/>
    </xf>
    <xf numFmtId="0" fontId="29" fillId="2" borderId="4" xfId="0" applyFont="1" applyFill="1" applyBorder="1" applyAlignment="1">
      <alignment horizontal="center" vertical="center"/>
    </xf>
    <xf numFmtId="0" fontId="16" fillId="2" borderId="16" xfId="0" applyFont="1" applyFill="1" applyBorder="1" applyAlignment="1">
      <alignment horizontal="center" vertical="center" wrapText="1"/>
    </xf>
    <xf numFmtId="0" fontId="16" fillId="2" borderId="17" xfId="0" applyFont="1" applyFill="1" applyBorder="1" applyAlignment="1">
      <alignment horizontal="center" vertical="center" wrapText="1"/>
    </xf>
    <xf numFmtId="0" fontId="16" fillId="2" borderId="18" xfId="0" applyFont="1" applyFill="1" applyBorder="1" applyAlignment="1">
      <alignment horizontal="center" vertical="center" wrapText="1"/>
    </xf>
    <xf numFmtId="0" fontId="15" fillId="3" borderId="1" xfId="0" applyFont="1" applyFill="1" applyBorder="1" applyAlignment="1">
      <alignment horizontal="center" vertical="center"/>
    </xf>
    <xf numFmtId="0" fontId="15" fillId="3" borderId="7" xfId="0" applyFont="1" applyFill="1" applyBorder="1" applyAlignment="1">
      <alignment horizontal="center" vertical="center"/>
    </xf>
    <xf numFmtId="0" fontId="15" fillId="3" borderId="2" xfId="0" applyFont="1" applyFill="1" applyBorder="1" applyAlignment="1">
      <alignment horizontal="center" vertical="center"/>
    </xf>
    <xf numFmtId="0" fontId="15" fillId="3" borderId="3" xfId="0" applyFont="1" applyFill="1" applyBorder="1" applyAlignment="1">
      <alignment horizontal="center" vertical="center"/>
    </xf>
    <xf numFmtId="0" fontId="15" fillId="3" borderId="15" xfId="0" applyFont="1" applyFill="1" applyBorder="1" applyAlignment="1">
      <alignment horizontal="center" vertical="center"/>
    </xf>
    <xf numFmtId="0" fontId="15" fillId="3" borderId="4" xfId="0" applyFont="1" applyFill="1" applyBorder="1" applyAlignment="1">
      <alignment horizontal="center" vertical="center"/>
    </xf>
    <xf numFmtId="0" fontId="4" fillId="3" borderId="1" xfId="0" applyFont="1" applyFill="1" applyBorder="1" applyAlignment="1">
      <alignment horizontal="left" vertical="center"/>
    </xf>
    <xf numFmtId="0" fontId="4" fillId="3" borderId="7" xfId="0" applyFont="1" applyFill="1" applyBorder="1" applyAlignment="1">
      <alignment horizontal="left" vertical="center"/>
    </xf>
    <xf numFmtId="0" fontId="4" fillId="3" borderId="2" xfId="0" applyFont="1" applyFill="1" applyBorder="1" applyAlignment="1">
      <alignment horizontal="left" vertical="center"/>
    </xf>
    <xf numFmtId="0" fontId="3"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26" xfId="0" applyFont="1" applyFill="1" applyBorder="1" applyAlignment="1">
      <alignment horizontal="center" vertical="center"/>
    </xf>
    <xf numFmtId="0" fontId="5" fillId="2" borderId="23" xfId="0" applyFont="1" applyFill="1" applyBorder="1" applyAlignment="1">
      <alignment horizontal="left" vertical="center" wrapText="1"/>
    </xf>
    <xf numFmtId="0" fontId="5" fillId="2" borderId="26" xfId="0" applyFont="1" applyFill="1" applyBorder="1" applyAlignment="1">
      <alignment horizontal="left" vertical="center" wrapText="1"/>
    </xf>
    <xf numFmtId="0" fontId="5" fillId="2" borderId="28" xfId="0" applyFont="1" applyFill="1" applyBorder="1" applyAlignment="1">
      <alignment horizontal="left" vertical="center" wrapText="1"/>
    </xf>
    <xf numFmtId="0" fontId="5" fillId="2" borderId="29" xfId="0" applyFont="1" applyFill="1" applyBorder="1" applyAlignment="1">
      <alignment horizontal="left" vertical="center" wrapText="1"/>
    </xf>
    <xf numFmtId="0" fontId="5" fillId="2" borderId="23" xfId="0" applyFont="1" applyFill="1" applyBorder="1" applyAlignment="1">
      <alignment horizontal="left" vertical="center"/>
    </xf>
    <xf numFmtId="0" fontId="5" fillId="2" borderId="26" xfId="0" applyFont="1" applyFill="1" applyBorder="1" applyAlignment="1">
      <alignment horizontal="left" vertical="center"/>
    </xf>
    <xf numFmtId="0" fontId="15" fillId="2" borderId="0" xfId="0" applyFont="1" applyFill="1" applyBorder="1" applyAlignment="1">
      <alignment horizontal="center" vertical="center"/>
    </xf>
    <xf numFmtId="0" fontId="17" fillId="3" borderId="35" xfId="0" applyFont="1" applyFill="1" applyBorder="1" applyAlignment="1">
      <alignment horizontal="left" vertical="center"/>
    </xf>
    <xf numFmtId="0" fontId="17" fillId="3" borderId="34" xfId="0" applyFont="1" applyFill="1" applyBorder="1" applyAlignment="1">
      <alignment horizontal="left" vertical="center"/>
    </xf>
    <xf numFmtId="0" fontId="17" fillId="3" borderId="36" xfId="0" applyFont="1" applyFill="1" applyBorder="1" applyAlignment="1">
      <alignment horizontal="left" vertical="center"/>
    </xf>
    <xf numFmtId="0" fontId="3" fillId="2" borderId="44" xfId="0" applyFont="1" applyFill="1" applyBorder="1" applyAlignment="1">
      <alignment horizontal="left" vertical="center" wrapText="1"/>
    </xf>
    <xf numFmtId="0" fontId="3" fillId="2" borderId="51" xfId="0" applyFont="1" applyFill="1" applyBorder="1" applyAlignment="1">
      <alignment horizontal="left" vertical="center" wrapText="1"/>
    </xf>
    <xf numFmtId="0" fontId="5" fillId="2" borderId="28"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3" fillId="2" borderId="32" xfId="0" applyFont="1" applyFill="1" applyBorder="1" applyAlignment="1">
      <alignment horizontal="left" vertical="center"/>
    </xf>
    <xf numFmtId="0" fontId="3" fillId="2" borderId="23"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4" fillId="3" borderId="16"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8" xfId="0" applyFont="1" applyFill="1" applyBorder="1" applyAlignment="1">
      <alignment horizontal="center" vertical="center"/>
    </xf>
    <xf numFmtId="0" fontId="16" fillId="2" borderId="23" xfId="0" applyFont="1" applyFill="1" applyBorder="1" applyAlignment="1">
      <alignment horizontal="left" vertical="center" wrapText="1"/>
    </xf>
    <xf numFmtId="0" fontId="16" fillId="2" borderId="26" xfId="0" applyFont="1" applyFill="1" applyBorder="1" applyAlignment="1">
      <alignment horizontal="left" vertical="center" wrapText="1"/>
    </xf>
    <xf numFmtId="0" fontId="16" fillId="2" borderId="23" xfId="0" applyFont="1" applyFill="1" applyBorder="1" applyAlignment="1">
      <alignment horizontal="left" vertical="center"/>
    </xf>
    <xf numFmtId="0" fontId="16" fillId="2" borderId="26" xfId="0" applyFont="1" applyFill="1" applyBorder="1" applyAlignment="1">
      <alignment horizontal="left" vertical="center"/>
    </xf>
    <xf numFmtId="0" fontId="3" fillId="2" borderId="42" xfId="0" applyFont="1" applyFill="1" applyBorder="1" applyAlignment="1">
      <alignment horizontal="left" vertical="center"/>
    </xf>
    <xf numFmtId="0" fontId="5" fillId="2" borderId="33" xfId="0" applyFont="1" applyFill="1" applyBorder="1" applyAlignment="1">
      <alignment horizontal="left" vertical="center" wrapText="1"/>
    </xf>
    <xf numFmtId="0" fontId="5" fillId="2" borderId="36" xfId="0" applyFont="1" applyFill="1" applyBorder="1" applyAlignment="1">
      <alignment horizontal="left" vertical="center" wrapText="1"/>
    </xf>
    <xf numFmtId="0" fontId="12" fillId="6" borderId="37" xfId="0" applyFont="1" applyFill="1" applyBorder="1" applyAlignment="1">
      <alignment horizontal="center" vertical="center"/>
    </xf>
    <xf numFmtId="0" fontId="12" fillId="6" borderId="38" xfId="0" applyFont="1" applyFill="1" applyBorder="1" applyAlignment="1">
      <alignment horizontal="center" vertical="center"/>
    </xf>
    <xf numFmtId="0" fontId="12" fillId="6" borderId="39" xfId="0" applyFont="1" applyFill="1" applyBorder="1" applyAlignment="1">
      <alignment horizontal="center" vertical="center"/>
    </xf>
    <xf numFmtId="0" fontId="31" fillId="2" borderId="42" xfId="0" applyFont="1" applyFill="1" applyBorder="1" applyAlignment="1">
      <alignment horizontal="left" vertical="center"/>
    </xf>
    <xf numFmtId="0" fontId="31" fillId="2" borderId="12" xfId="0" applyFont="1" applyFill="1" applyBorder="1" applyAlignment="1">
      <alignment horizontal="left" vertical="center"/>
    </xf>
    <xf numFmtId="0" fontId="31" fillId="2" borderId="30" xfId="0" applyFont="1" applyFill="1" applyBorder="1" applyAlignment="1">
      <alignment horizontal="left" vertical="center"/>
    </xf>
    <xf numFmtId="0" fontId="31" fillId="2" borderId="9" xfId="0" applyFont="1" applyFill="1" applyBorder="1" applyAlignment="1">
      <alignment horizontal="left" vertical="center"/>
    </xf>
    <xf numFmtId="0" fontId="29" fillId="2" borderId="11" xfId="0" applyFont="1" applyFill="1" applyBorder="1" applyAlignment="1">
      <alignment horizontal="left" vertical="center"/>
    </xf>
    <xf numFmtId="0" fontId="29" fillId="2" borderId="12" xfId="0" applyFont="1" applyFill="1" applyBorder="1" applyAlignment="1">
      <alignment horizontal="left" vertical="center"/>
    </xf>
    <xf numFmtId="0" fontId="31" fillId="2" borderId="43" xfId="0" applyFont="1" applyFill="1" applyBorder="1" applyAlignment="1">
      <alignment horizontal="center" vertical="center"/>
    </xf>
    <xf numFmtId="0" fontId="31" fillId="2" borderId="38" xfId="0" applyFont="1" applyFill="1" applyBorder="1" applyAlignment="1">
      <alignment horizontal="center" vertical="center"/>
    </xf>
    <xf numFmtId="0" fontId="31" fillId="2" borderId="39" xfId="0" applyFont="1" applyFill="1" applyBorder="1" applyAlignment="1">
      <alignment horizontal="center" vertical="center"/>
    </xf>
    <xf numFmtId="0" fontId="33" fillId="2" borderId="37" xfId="0" applyFont="1" applyFill="1" applyBorder="1" applyAlignment="1">
      <alignment horizontal="center" vertical="center"/>
    </xf>
    <xf numFmtId="0" fontId="33" fillId="2" borderId="8" xfId="0" applyFont="1" applyFill="1" applyBorder="1" applyAlignment="1">
      <alignment horizontal="center" vertical="center"/>
    </xf>
    <xf numFmtId="0" fontId="33" fillId="2" borderId="10" xfId="0" applyFont="1" applyFill="1" applyBorder="1" applyAlignment="1">
      <alignment horizontal="center" vertical="center"/>
    </xf>
    <xf numFmtId="0" fontId="31" fillId="7" borderId="16" xfId="0" applyFont="1" applyFill="1" applyBorder="1" applyAlignment="1">
      <alignment horizontal="center" vertical="center"/>
    </xf>
    <xf numFmtId="0" fontId="31" fillId="7" borderId="17" xfId="0" applyFont="1" applyFill="1" applyBorder="1" applyAlignment="1">
      <alignment horizontal="center" vertical="center"/>
    </xf>
    <xf numFmtId="0" fontId="31" fillId="7" borderId="18" xfId="0" applyFont="1" applyFill="1" applyBorder="1" applyAlignment="1">
      <alignment horizontal="center" vertical="center"/>
    </xf>
    <xf numFmtId="0" fontId="31" fillId="2" borderId="43" xfId="0" applyFont="1" applyFill="1" applyBorder="1" applyAlignment="1">
      <alignment horizontal="left" vertical="center"/>
    </xf>
    <xf numFmtId="0" fontId="31" fillId="2" borderId="38" xfId="0" applyFont="1" applyFill="1" applyBorder="1" applyAlignment="1">
      <alignment horizontal="left" vertical="center"/>
    </xf>
    <xf numFmtId="0" fontId="31" fillId="2" borderId="39" xfId="0" applyFont="1" applyFill="1" applyBorder="1" applyAlignment="1">
      <alignment horizontal="left" vertical="center"/>
    </xf>
    <xf numFmtId="0" fontId="31" fillId="2" borderId="28" xfId="0" applyFont="1" applyFill="1" applyBorder="1" applyAlignment="1">
      <alignment horizontal="left" vertical="center"/>
    </xf>
    <xf numFmtId="0" fontId="31" fillId="2" borderId="29" xfId="0" applyFont="1" applyFill="1" applyBorder="1" applyAlignment="1">
      <alignment horizontal="left" vertical="center"/>
    </xf>
    <xf numFmtId="0" fontId="31" fillId="2" borderId="42" xfId="0" applyFont="1" applyFill="1" applyBorder="1" applyAlignment="1">
      <alignment horizontal="center" vertical="center"/>
    </xf>
    <xf numFmtId="0" fontId="31" fillId="2" borderId="11" xfId="0" applyFont="1" applyFill="1" applyBorder="1" applyAlignment="1">
      <alignment horizontal="center" vertical="center"/>
    </xf>
    <xf numFmtId="0" fontId="31" fillId="2" borderId="12" xfId="0" applyFont="1" applyFill="1" applyBorder="1" applyAlignment="1">
      <alignment horizontal="center" vertical="center"/>
    </xf>
    <xf numFmtId="0" fontId="33" fillId="2" borderId="55" xfId="0" applyFont="1" applyFill="1" applyBorder="1" applyAlignment="1">
      <alignment horizontal="center" vertical="center"/>
    </xf>
    <xf numFmtId="0" fontId="33" fillId="2" borderId="49" xfId="0" applyFont="1" applyFill="1" applyBorder="1" applyAlignment="1">
      <alignment horizontal="center" vertical="center"/>
    </xf>
    <xf numFmtId="0" fontId="31" fillId="2" borderId="20" xfId="0" applyFont="1" applyFill="1" applyBorder="1" applyAlignment="1">
      <alignment horizontal="left" vertical="center"/>
    </xf>
    <xf numFmtId="0" fontId="31" fillId="2" borderId="21" xfId="0" applyFont="1" applyFill="1" applyBorder="1" applyAlignment="1">
      <alignment horizontal="left" vertical="center"/>
    </xf>
    <xf numFmtId="164" fontId="31" fillId="2" borderId="20" xfId="0" applyNumberFormat="1" applyFont="1" applyFill="1" applyBorder="1" applyAlignment="1">
      <alignment horizontal="left" vertical="center"/>
    </xf>
    <xf numFmtId="164" fontId="31" fillId="2" borderId="21" xfId="0" applyNumberFormat="1" applyFont="1" applyFill="1" applyBorder="1" applyAlignment="1">
      <alignment horizontal="left" vertical="center"/>
    </xf>
    <xf numFmtId="0" fontId="31" fillId="2" borderId="52" xfId="0" applyFont="1" applyFill="1" applyBorder="1" applyAlignment="1">
      <alignment horizontal="left" vertical="center"/>
    </xf>
    <xf numFmtId="0" fontId="31" fillId="2" borderId="57" xfId="0" applyFont="1" applyFill="1" applyBorder="1" applyAlignment="1">
      <alignment horizontal="left" vertical="center"/>
    </xf>
    <xf numFmtId="0" fontId="36" fillId="2" borderId="39" xfId="0" applyFont="1" applyFill="1" applyBorder="1" applyAlignment="1">
      <alignment horizontal="center" vertical="center" wrapText="1"/>
    </xf>
    <xf numFmtId="0" fontId="36" fillId="2" borderId="12" xfId="0" applyFont="1" applyFill="1" applyBorder="1" applyAlignment="1">
      <alignment horizontal="center" vertical="center" wrapText="1"/>
    </xf>
    <xf numFmtId="0" fontId="33" fillId="2" borderId="1" xfId="0" applyFont="1" applyFill="1" applyBorder="1" applyAlignment="1">
      <alignment horizontal="center" vertical="center"/>
    </xf>
    <xf numFmtId="0" fontId="33" fillId="2" borderId="3" xfId="0" applyFont="1" applyFill="1" applyBorder="1" applyAlignment="1">
      <alignment horizontal="center" vertical="center"/>
    </xf>
    <xf numFmtId="0" fontId="9" fillId="2" borderId="22" xfId="0" applyFont="1" applyFill="1" applyBorder="1" applyAlignment="1">
      <alignment horizontal="left" vertical="center"/>
    </xf>
    <xf numFmtId="0" fontId="9" fillId="2" borderId="26" xfId="0" applyFont="1" applyFill="1" applyBorder="1" applyAlignment="1">
      <alignment horizontal="left" vertical="center"/>
    </xf>
    <xf numFmtId="0" fontId="3" fillId="2" borderId="20"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8" xfId="0" applyFont="1" applyFill="1" applyBorder="1" applyAlignment="1">
      <alignment horizontal="left" vertical="center" wrapText="1"/>
    </xf>
    <xf numFmtId="0" fontId="3" fillId="2" borderId="5" xfId="0" applyFont="1" applyFill="1" applyBorder="1" applyAlignment="1">
      <alignment vertical="center"/>
    </xf>
    <xf numFmtId="0" fontId="8" fillId="3" borderId="37" xfId="0" applyFont="1" applyFill="1" applyBorder="1" applyAlignment="1">
      <alignment horizontal="left" vertical="center"/>
    </xf>
    <xf numFmtId="0" fontId="8" fillId="3" borderId="38" xfId="0" applyFont="1" applyFill="1" applyBorder="1" applyAlignment="1">
      <alignment horizontal="left" vertical="center"/>
    </xf>
    <xf numFmtId="0" fontId="8" fillId="3" borderId="39" xfId="0" applyFont="1" applyFill="1" applyBorder="1" applyAlignment="1">
      <alignment horizontal="left" vertical="center"/>
    </xf>
    <xf numFmtId="0" fontId="16" fillId="2" borderId="5" xfId="0" applyFont="1" applyFill="1" applyBorder="1" applyAlignment="1">
      <alignment horizontal="left" vertical="center"/>
    </xf>
    <xf numFmtId="0" fontId="16" fillId="2" borderId="9" xfId="0" applyFont="1" applyFill="1" applyBorder="1" applyAlignment="1">
      <alignment horizontal="left" vertical="center"/>
    </xf>
    <xf numFmtId="0" fontId="16" fillId="5" borderId="8" xfId="0" applyFont="1" applyFill="1" applyBorder="1" applyAlignment="1">
      <alignment horizontal="left" vertical="center" wrapText="1"/>
    </xf>
    <xf numFmtId="0" fontId="3" fillId="5" borderId="5" xfId="0" applyFont="1" applyFill="1" applyBorder="1" applyAlignment="1">
      <alignment horizontal="center" vertical="center"/>
    </xf>
    <xf numFmtId="0" fontId="3" fillId="5" borderId="5" xfId="0" applyFont="1" applyFill="1" applyBorder="1" applyAlignment="1">
      <alignment horizontal="right" vertical="center"/>
    </xf>
    <xf numFmtId="0" fontId="3" fillId="5" borderId="22" xfId="0" applyFont="1" applyFill="1" applyBorder="1" applyAlignment="1">
      <alignment horizontal="left" vertical="center"/>
    </xf>
    <xf numFmtId="0" fontId="9" fillId="4" borderId="26" xfId="0" applyFont="1" applyFill="1" applyBorder="1" applyAlignment="1">
      <alignment horizontal="left" vertical="center"/>
    </xf>
    <xf numFmtId="0" fontId="3" fillId="2" borderId="53" xfId="0" applyFont="1" applyFill="1" applyBorder="1" applyAlignment="1">
      <alignment horizontal="left" vertical="center"/>
    </xf>
    <xf numFmtId="0" fontId="3" fillId="2" borderId="60" xfId="0" applyFont="1" applyFill="1" applyBorder="1" applyAlignment="1">
      <alignment horizontal="left" vertical="center"/>
    </xf>
    <xf numFmtId="0" fontId="8" fillId="3" borderId="43" xfId="0" applyFont="1" applyFill="1" applyBorder="1" applyAlignment="1">
      <alignment horizontal="left" vertical="center"/>
    </xf>
    <xf numFmtId="0" fontId="3" fillId="2" borderId="34" xfId="0" applyFont="1" applyFill="1" applyBorder="1" applyAlignment="1">
      <alignment horizontal="left" vertical="center"/>
    </xf>
    <xf numFmtId="0" fontId="3" fillId="2" borderId="36" xfId="0" applyFont="1" applyFill="1" applyBorder="1" applyAlignment="1">
      <alignment horizontal="left" vertical="center"/>
    </xf>
    <xf numFmtId="0" fontId="3" fillId="2" borderId="15" xfId="0" applyFont="1" applyFill="1" applyBorder="1" applyAlignment="1">
      <alignment horizontal="center" vertical="center"/>
    </xf>
    <xf numFmtId="0" fontId="8" fillId="3" borderId="1" xfId="0" applyFont="1" applyFill="1" applyBorder="1" applyAlignment="1">
      <alignment horizontal="left" vertical="center"/>
    </xf>
    <xf numFmtId="0" fontId="8" fillId="3" borderId="7" xfId="0" applyFont="1" applyFill="1" applyBorder="1" applyAlignment="1">
      <alignment horizontal="left" vertical="center"/>
    </xf>
    <xf numFmtId="0" fontId="8" fillId="3" borderId="2" xfId="0" applyFont="1" applyFill="1" applyBorder="1" applyAlignment="1">
      <alignment horizontal="left" vertical="center"/>
    </xf>
    <xf numFmtId="0" fontId="3" fillId="2" borderId="7" xfId="0" applyFont="1" applyFill="1" applyBorder="1" applyAlignment="1">
      <alignment horizontal="center" vertical="center"/>
    </xf>
    <xf numFmtId="0" fontId="3" fillId="2" borderId="4" xfId="0" applyFont="1" applyFill="1" applyBorder="1" applyAlignment="1">
      <alignment horizontal="left" vertical="center"/>
    </xf>
    <xf numFmtId="0" fontId="13" fillId="3" borderId="37" xfId="0" applyFont="1" applyFill="1" applyBorder="1" applyAlignment="1">
      <alignment horizontal="center" vertical="center"/>
    </xf>
    <xf numFmtId="0" fontId="13" fillId="3" borderId="38" xfId="0" applyFont="1" applyFill="1" applyBorder="1" applyAlignment="1">
      <alignment horizontal="center" vertical="center"/>
    </xf>
    <xf numFmtId="0" fontId="13" fillId="3" borderId="39" xfId="0" applyFont="1" applyFill="1" applyBorder="1" applyAlignment="1">
      <alignment horizontal="center" vertical="center"/>
    </xf>
    <xf numFmtId="0" fontId="21" fillId="3" borderId="0" xfId="0" applyFont="1" applyFill="1" applyAlignment="1">
      <alignment horizontal="center" vertical="center"/>
    </xf>
    <xf numFmtId="0" fontId="20" fillId="2" borderId="0"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16" fillId="5" borderId="5" xfId="0" applyFont="1" applyFill="1" applyBorder="1" applyAlignment="1">
      <alignment horizontal="center" vertical="center"/>
    </xf>
    <xf numFmtId="0" fontId="16" fillId="5" borderId="5" xfId="0" applyFont="1" applyFill="1" applyBorder="1" applyAlignment="1">
      <alignment horizontal="right" vertical="center"/>
    </xf>
    <xf numFmtId="0" fontId="16" fillId="5" borderId="5" xfId="0" applyFont="1" applyFill="1" applyBorder="1" applyAlignment="1">
      <alignment horizontal="left" vertical="center"/>
    </xf>
    <xf numFmtId="0" fontId="16" fillId="5" borderId="31" xfId="0" applyFont="1" applyFill="1" applyBorder="1" applyAlignment="1">
      <alignment horizontal="center" vertical="center" wrapText="1"/>
    </xf>
    <xf numFmtId="0" fontId="16" fillId="5" borderId="34" xfId="0" applyFont="1" applyFill="1" applyBorder="1" applyAlignment="1">
      <alignment horizontal="center" vertical="center" wrapText="1"/>
    </xf>
    <xf numFmtId="0" fontId="16" fillId="5" borderId="32" xfId="0" applyFont="1" applyFill="1" applyBorder="1" applyAlignment="1">
      <alignment horizontal="left" vertical="center" wrapText="1"/>
    </xf>
    <xf numFmtId="0" fontId="16" fillId="5" borderId="33" xfId="0" applyFont="1" applyFill="1" applyBorder="1" applyAlignment="1">
      <alignment horizontal="left" vertical="center" wrapText="1"/>
    </xf>
    <xf numFmtId="0" fontId="16" fillId="5" borderId="31" xfId="0" applyFont="1" applyFill="1" applyBorder="1" applyAlignment="1">
      <alignment horizontal="center" vertical="center"/>
    </xf>
    <xf numFmtId="0" fontId="16" fillId="5" borderId="34" xfId="0" applyFont="1" applyFill="1" applyBorder="1" applyAlignment="1">
      <alignment horizontal="center" vertical="center"/>
    </xf>
    <xf numFmtId="0" fontId="16" fillId="5" borderId="31" xfId="0" applyFont="1" applyFill="1" applyBorder="1" applyAlignment="1">
      <alignment horizontal="right" vertical="center"/>
    </xf>
    <xf numFmtId="0" fontId="16" fillId="5" borderId="34" xfId="0" applyFont="1" applyFill="1" applyBorder="1" applyAlignment="1">
      <alignment horizontal="right" vertical="center"/>
    </xf>
    <xf numFmtId="0" fontId="16" fillId="5" borderId="31" xfId="0" applyFont="1" applyFill="1" applyBorder="1" applyAlignment="1">
      <alignment horizontal="left" vertical="center"/>
    </xf>
    <xf numFmtId="0" fontId="16" fillId="5" borderId="34" xfId="0" applyFont="1" applyFill="1" applyBorder="1" applyAlignment="1">
      <alignment horizontal="left" vertical="center"/>
    </xf>
    <xf numFmtId="0" fontId="9" fillId="4" borderId="41" xfId="0" applyFont="1" applyFill="1" applyBorder="1" applyAlignment="1">
      <alignment horizontal="center" vertical="center" wrapText="1"/>
    </xf>
    <xf numFmtId="0" fontId="9" fillId="4" borderId="51" xfId="0" applyFont="1" applyFill="1" applyBorder="1" applyAlignment="1">
      <alignment horizontal="center" vertical="center" wrapText="1"/>
    </xf>
    <xf numFmtId="0" fontId="9" fillId="4" borderId="36" xfId="0" applyFont="1" applyFill="1" applyBorder="1" applyAlignment="1">
      <alignment horizontal="center" vertical="center" wrapText="1"/>
    </xf>
    <xf numFmtId="0" fontId="13" fillId="3" borderId="31" xfId="0" applyFont="1" applyFill="1" applyBorder="1" applyAlignment="1">
      <alignment horizontal="center" vertical="center"/>
    </xf>
    <xf numFmtId="164" fontId="3" fillId="2" borderId="5" xfId="0" applyNumberFormat="1" applyFont="1" applyFill="1" applyBorder="1" applyAlignment="1">
      <alignment horizontal="right" vertical="center"/>
    </xf>
    <xf numFmtId="0" fontId="24" fillId="2" borderId="11" xfId="0" applyFont="1" applyFill="1" applyBorder="1" applyAlignment="1">
      <alignment horizontal="left" vertical="center"/>
    </xf>
    <xf numFmtId="0" fontId="24" fillId="2" borderId="12" xfId="0" applyFont="1" applyFill="1" applyBorder="1" applyAlignment="1">
      <alignment horizontal="left" vertical="center"/>
    </xf>
    <xf numFmtId="0" fontId="16" fillId="2" borderId="5" xfId="0" applyFont="1" applyFill="1" applyBorder="1" applyAlignment="1">
      <alignment horizontal="center" vertical="center"/>
    </xf>
    <xf numFmtId="164" fontId="16" fillId="2" borderId="5" xfId="0" applyNumberFormat="1" applyFont="1" applyFill="1" applyBorder="1" applyAlignment="1">
      <alignment horizontal="right" vertical="center"/>
    </xf>
    <xf numFmtId="0" fontId="8" fillId="3" borderId="37" xfId="0" applyFont="1" applyFill="1" applyBorder="1" applyAlignment="1">
      <alignment horizontal="left"/>
    </xf>
    <xf numFmtId="0" fontId="8" fillId="3" borderId="38" xfId="0" applyFont="1" applyFill="1" applyBorder="1" applyAlignment="1">
      <alignment horizontal="left"/>
    </xf>
    <xf numFmtId="0" fontId="8" fillId="3" borderId="39" xfId="0" applyFont="1" applyFill="1" applyBorder="1" applyAlignment="1">
      <alignment horizontal="left"/>
    </xf>
    <xf numFmtId="0" fontId="3" fillId="2" borderId="24" xfId="0" applyFont="1" applyFill="1" applyBorder="1" applyAlignment="1">
      <alignment horizontal="center" vertical="center"/>
    </xf>
    <xf numFmtId="0" fontId="3" fillId="2" borderId="27" xfId="0" applyFont="1" applyFill="1" applyBorder="1" applyAlignment="1">
      <alignment horizontal="center" vertical="center"/>
    </xf>
    <xf numFmtId="0" fontId="3" fillId="2" borderId="53" xfId="0" applyFont="1" applyFill="1" applyBorder="1" applyAlignment="1">
      <alignment horizontal="center" vertical="center"/>
    </xf>
    <xf numFmtId="0" fontId="3" fillId="2" borderId="60" xfId="0" applyFont="1" applyFill="1" applyBorder="1" applyAlignment="1">
      <alignment horizontal="center" vertical="center"/>
    </xf>
    <xf numFmtId="0" fontId="9" fillId="2" borderId="5" xfId="0" applyFont="1" applyFill="1" applyBorder="1" applyAlignment="1">
      <alignment horizontal="left" vertical="center"/>
    </xf>
    <xf numFmtId="0" fontId="9" fillId="2" borderId="9" xfId="0" applyFont="1" applyFill="1" applyBorder="1" applyAlignment="1">
      <alignment horizontal="left" vertical="center"/>
    </xf>
    <xf numFmtId="0" fontId="24" fillId="2" borderId="8" xfId="0" applyFont="1" applyFill="1" applyBorder="1" applyAlignment="1">
      <alignment horizontal="left" vertical="center"/>
    </xf>
    <xf numFmtId="0" fontId="24" fillId="2" borderId="10" xfId="0" applyFont="1" applyFill="1" applyBorder="1" applyAlignment="1">
      <alignment horizontal="left" vertical="center"/>
    </xf>
    <xf numFmtId="0" fontId="3" fillId="5" borderId="8" xfId="0" applyFont="1" applyFill="1" applyBorder="1" applyAlignment="1">
      <alignment horizontal="left" vertical="center" wrapText="1"/>
    </xf>
    <xf numFmtId="0" fontId="40" fillId="2" borderId="22" xfId="0" applyFont="1" applyFill="1" applyBorder="1" applyAlignment="1">
      <alignment horizontal="left" vertical="center"/>
    </xf>
    <xf numFmtId="0" fontId="40" fillId="2" borderId="26" xfId="0" applyFont="1" applyFill="1" applyBorder="1" applyAlignment="1">
      <alignment horizontal="left" vertical="center"/>
    </xf>
    <xf numFmtId="0" fontId="3" fillId="2" borderId="8" xfId="0" applyFont="1" applyFill="1" applyBorder="1" applyAlignment="1">
      <alignment horizontal="left" vertical="center"/>
    </xf>
    <xf numFmtId="0" fontId="11" fillId="2" borderId="22" xfId="0" applyFont="1" applyFill="1" applyBorder="1" applyAlignment="1">
      <alignment horizontal="center" vertical="center"/>
    </xf>
    <xf numFmtId="0" fontId="11" fillId="2" borderId="26" xfId="0" applyFont="1" applyFill="1" applyBorder="1" applyAlignment="1">
      <alignment horizontal="center" vertical="center"/>
    </xf>
    <xf numFmtId="0" fontId="9" fillId="2" borderId="24"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27" xfId="0" applyFont="1" applyFill="1" applyBorder="1" applyAlignment="1">
      <alignment horizontal="center" vertical="center" wrapText="1"/>
    </xf>
    <xf numFmtId="0" fontId="9" fillId="2" borderId="48" xfId="0" applyFont="1" applyFill="1" applyBorder="1" applyAlignment="1">
      <alignment horizontal="center" vertical="center" wrapText="1"/>
    </xf>
    <xf numFmtId="0" fontId="9" fillId="2" borderId="15"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4" borderId="22" xfId="0" applyFont="1" applyFill="1" applyBorder="1" applyAlignment="1">
      <alignment horizontal="center" vertical="center" wrapText="1"/>
    </xf>
    <xf numFmtId="0" fontId="9" fillId="4" borderId="26" xfId="0" applyFont="1" applyFill="1" applyBorder="1" applyAlignment="1">
      <alignment horizontal="center" vertical="center" wrapText="1"/>
    </xf>
    <xf numFmtId="0" fontId="16" fillId="2" borderId="27" xfId="0" applyFont="1" applyFill="1" applyBorder="1" applyAlignment="1">
      <alignment horizontal="left" vertical="center" wrapText="1"/>
    </xf>
    <xf numFmtId="0" fontId="16" fillId="2" borderId="60" xfId="0" applyFont="1" applyFill="1" applyBorder="1" applyAlignment="1">
      <alignment horizontal="left" vertical="center" wrapText="1"/>
    </xf>
    <xf numFmtId="0" fontId="16" fillId="2" borderId="24" xfId="0" applyFont="1" applyFill="1" applyBorder="1" applyAlignment="1">
      <alignment horizontal="left" vertical="center"/>
    </xf>
    <xf numFmtId="0" fontId="16" fillId="2" borderId="53" xfId="0" applyFont="1" applyFill="1" applyBorder="1" applyAlignment="1">
      <alignment horizontal="left" vertical="center"/>
    </xf>
    <xf numFmtId="0" fontId="16" fillId="5" borderId="5" xfId="0" applyFont="1" applyFill="1" applyBorder="1" applyAlignment="1">
      <alignment horizontal="right" vertical="center" wrapText="1"/>
    </xf>
    <xf numFmtId="0" fontId="16" fillId="2" borderId="8" xfId="0" applyFont="1" applyFill="1" applyBorder="1" applyAlignment="1">
      <alignment horizontal="left" vertical="center" wrapText="1"/>
    </xf>
    <xf numFmtId="0" fontId="9" fillId="2" borderId="48" xfId="0" applyFont="1" applyFill="1" applyBorder="1" applyAlignment="1">
      <alignment horizontal="left" vertical="center"/>
    </xf>
    <xf numFmtId="0" fontId="9" fillId="2" borderId="4" xfId="0" applyFont="1" applyFill="1" applyBorder="1" applyAlignment="1">
      <alignment horizontal="left" vertical="center"/>
    </xf>
    <xf numFmtId="0" fontId="3" fillId="2" borderId="5" xfId="0" applyFont="1" applyFill="1" applyBorder="1" applyAlignment="1">
      <alignment horizontal="right" vertical="center"/>
    </xf>
    <xf numFmtId="0" fontId="24" fillId="5" borderId="8" xfId="0" applyFont="1" applyFill="1" applyBorder="1" applyAlignment="1">
      <alignment horizontal="left" vertical="center" wrapText="1"/>
    </xf>
    <xf numFmtId="0" fontId="3" fillId="5" borderId="31" xfId="0" applyFont="1" applyFill="1" applyBorder="1" applyAlignment="1">
      <alignment horizontal="center" vertical="center"/>
    </xf>
    <xf numFmtId="0" fontId="3" fillId="5" borderId="34" xfId="0" applyFont="1" applyFill="1" applyBorder="1" applyAlignment="1">
      <alignment horizontal="center" vertical="center"/>
    </xf>
    <xf numFmtId="164" fontId="3" fillId="5" borderId="31" xfId="0" applyNumberFormat="1" applyFont="1" applyFill="1" applyBorder="1" applyAlignment="1">
      <alignment horizontal="right" vertical="center"/>
    </xf>
    <xf numFmtId="164" fontId="3" fillId="5" borderId="34" xfId="0" applyNumberFormat="1" applyFont="1" applyFill="1" applyBorder="1" applyAlignment="1">
      <alignment horizontal="right" vertical="center"/>
    </xf>
    <xf numFmtId="0" fontId="3" fillId="5" borderId="24" xfId="0" applyFont="1" applyFill="1" applyBorder="1" applyAlignment="1">
      <alignment horizontal="left" vertical="center"/>
    </xf>
    <xf numFmtId="0" fontId="3" fillId="5" borderId="53" xfId="0" applyFont="1" applyFill="1" applyBorder="1" applyAlignment="1">
      <alignment horizontal="left" vertical="center"/>
    </xf>
    <xf numFmtId="0" fontId="3" fillId="2" borderId="0" xfId="0" applyFont="1" applyFill="1" applyAlignment="1" applyProtection="1">
      <alignment horizontal="center"/>
    </xf>
    <xf numFmtId="0" fontId="3" fillId="2" borderId="0" xfId="0" applyFont="1" applyFill="1" applyAlignment="1" applyProtection="1">
      <alignment horizontal="center" wrapText="1"/>
    </xf>
    <xf numFmtId="0" fontId="3" fillId="2" borderId="0" xfId="0" applyFont="1" applyFill="1" applyAlignment="1" applyProtection="1">
      <alignment horizontal="left"/>
    </xf>
    <xf numFmtId="0" fontId="36" fillId="2" borderId="31" xfId="0" applyFont="1" applyFill="1" applyBorder="1" applyAlignment="1" applyProtection="1">
      <alignment horizontal="center" wrapText="1"/>
    </xf>
    <xf numFmtId="0" fontId="36" fillId="2" borderId="34" xfId="0" applyFont="1" applyFill="1" applyBorder="1" applyAlignment="1" applyProtection="1">
      <alignment horizontal="center" wrapText="1"/>
    </xf>
    <xf numFmtId="0" fontId="9" fillId="2" borderId="0" xfId="0" applyFont="1" applyFill="1" applyAlignment="1" applyProtection="1">
      <alignment horizontal="center"/>
    </xf>
  </cellXfs>
  <cellStyles count="1">
    <cellStyle name="Normal" xfId="0" builtinId="0"/>
  </cellStyles>
  <dxfs count="0"/>
  <tableStyles count="0" defaultTableStyle="TableStyleMedium2" defaultPivotStyle="PivotStyleLight16"/>
  <colors>
    <mruColors>
      <color rgb="FFDDFFDD"/>
      <color rgb="FFCCFFCC"/>
      <color rgb="FF404F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Open Loop Gain, Phase Plot</a:t>
            </a:r>
          </a:p>
        </c:rich>
      </c:tx>
      <c:overlay val="0"/>
    </c:title>
    <c:autoTitleDeleted val="0"/>
    <c:plotArea>
      <c:layout/>
      <c:scatterChart>
        <c:scatterStyle val="smoothMarker"/>
        <c:varyColors val="0"/>
        <c:ser>
          <c:idx val="0"/>
          <c:order val="0"/>
          <c:tx>
            <c:v>Gain</c:v>
          </c:tx>
          <c:spPr>
            <a:ln w="31750"/>
          </c:spPr>
          <c:marker>
            <c:symbol val="none"/>
          </c:marker>
          <c:xVal>
            <c:numRef>
              <c:f>'LOOKUP TABLES AND DROPDOWN LIST'!$B$79:$B$109</c:f>
              <c:numCache>
                <c:formatCode>General</c:formatCode>
                <c:ptCount val="31"/>
                <c:pt idx="0">
                  <c:v>10</c:v>
                </c:pt>
                <c:pt idx="1">
                  <c:v>12.58925411794168</c:v>
                </c:pt>
                <c:pt idx="2">
                  <c:v>15.848931924611136</c:v>
                </c:pt>
                <c:pt idx="3">
                  <c:v>19.952623149688804</c:v>
                </c:pt>
                <c:pt idx="4">
                  <c:v>25.118864315095799</c:v>
                </c:pt>
                <c:pt idx="5">
                  <c:v>31.622776601683803</c:v>
                </c:pt>
                <c:pt idx="6">
                  <c:v>39.810717055349755</c:v>
                </c:pt>
                <c:pt idx="7">
                  <c:v>50.118723362727238</c:v>
                </c:pt>
                <c:pt idx="8">
                  <c:v>63.095734448019364</c:v>
                </c:pt>
                <c:pt idx="9">
                  <c:v>79.432823472428197</c:v>
                </c:pt>
                <c:pt idx="10">
                  <c:v>100</c:v>
                </c:pt>
                <c:pt idx="11">
                  <c:v>125.89254117941677</c:v>
                </c:pt>
                <c:pt idx="12">
                  <c:v>158.48931924611153</c:v>
                </c:pt>
                <c:pt idx="13">
                  <c:v>199.52623149688802</c:v>
                </c:pt>
                <c:pt idx="14">
                  <c:v>251.18864315095806</c:v>
                </c:pt>
                <c:pt idx="15">
                  <c:v>316.22776601683825</c:v>
                </c:pt>
                <c:pt idx="16">
                  <c:v>398.10717055349761</c:v>
                </c:pt>
                <c:pt idx="17">
                  <c:v>501.18723362727269</c:v>
                </c:pt>
                <c:pt idx="18">
                  <c:v>630.95734448019323</c:v>
                </c:pt>
                <c:pt idx="19">
                  <c:v>794.32823472428208</c:v>
                </c:pt>
                <c:pt idx="20">
                  <c:v>1000</c:v>
                </c:pt>
                <c:pt idx="21">
                  <c:v>1258.925411794168</c:v>
                </c:pt>
                <c:pt idx="22">
                  <c:v>1584.8931924611156</c:v>
                </c:pt>
                <c:pt idx="23">
                  <c:v>1995.2623149688804</c:v>
                </c:pt>
                <c:pt idx="24">
                  <c:v>2511.8864315095811</c:v>
                </c:pt>
                <c:pt idx="25">
                  <c:v>3162.2776601683804</c:v>
                </c:pt>
                <c:pt idx="26">
                  <c:v>3981.0717055349769</c:v>
                </c:pt>
                <c:pt idx="27">
                  <c:v>5011.8723362727324</c:v>
                </c:pt>
                <c:pt idx="28">
                  <c:v>6309.5734448019384</c:v>
                </c:pt>
                <c:pt idx="29">
                  <c:v>7943.2823472428154</c:v>
                </c:pt>
                <c:pt idx="30">
                  <c:v>10000</c:v>
                </c:pt>
              </c:numCache>
            </c:numRef>
          </c:xVal>
          <c:yVal>
            <c:numRef>
              <c:f>'LOOKUP TABLES AND DROPDOWN LIST'!$K$79:$K$109</c:f>
              <c:numCache>
                <c:formatCode>General</c:formatCode>
                <c:ptCount val="31"/>
                <c:pt idx="0">
                  <c:v>26.04383000194824</c:v>
                </c:pt>
                <c:pt idx="1">
                  <c:v>26.026713609541623</c:v>
                </c:pt>
                <c:pt idx="2">
                  <c:v>25.999722650168422</c:v>
                </c:pt>
                <c:pt idx="3">
                  <c:v>25.9572837018532</c:v>
                </c:pt>
                <c:pt idx="4">
                  <c:v>25.890856096107939</c:v>
                </c:pt>
                <c:pt idx="5">
                  <c:v>25.787602355539363</c:v>
                </c:pt>
                <c:pt idx="6">
                  <c:v>25.62879749760155</c:v>
                </c:pt>
                <c:pt idx="7">
                  <c:v>25.388367077023595</c:v>
                </c:pt>
                <c:pt idx="8">
                  <c:v>25.032493161245441</c:v>
                </c:pt>
                <c:pt idx="9">
                  <c:v>24.521825674626633</c:v>
                </c:pt>
                <c:pt idx="10">
                  <c:v>23.817708203503656</c:v>
                </c:pt>
                <c:pt idx="11">
                  <c:v>22.891846913975677</c:v>
                </c:pt>
                <c:pt idx="12">
                  <c:v>21.735342042933524</c:v>
                </c:pt>
                <c:pt idx="13">
                  <c:v>20.361417600112421</c:v>
                </c:pt>
                <c:pt idx="14">
                  <c:v>18.799735703296754</c:v>
                </c:pt>
                <c:pt idx="15">
                  <c:v>17.085944577029931</c:v>
                </c:pt>
                <c:pt idx="16">
                  <c:v>15.252021892729942</c:v>
                </c:pt>
                <c:pt idx="17">
                  <c:v>13.320302242393344</c:v>
                </c:pt>
                <c:pt idx="18">
                  <c:v>11.3008641556887</c:v>
                </c:pt>
                <c:pt idx="19">
                  <c:v>9.1907828977108572</c:v>
                </c:pt>
                <c:pt idx="20">
                  <c:v>6.9743192517596775</c:v>
                </c:pt>
                <c:pt idx="21">
                  <c:v>4.6243276636697086</c:v>
                </c:pt>
                <c:pt idx="22">
                  <c:v>2.1062065472128406</c:v>
                </c:pt>
                <c:pt idx="23">
                  <c:v>-0.61436286868514112</c:v>
                </c:pt>
                <c:pt idx="24">
                  <c:v>-3.5608227129745518</c:v>
                </c:pt>
                <c:pt idx="25">
                  <c:v>-6.7367124508275831</c:v>
                </c:pt>
                <c:pt idx="26">
                  <c:v>-10.123615902138249</c:v>
                </c:pt>
                <c:pt idx="27">
                  <c:v>-13.687307846599763</c:v>
                </c:pt>
                <c:pt idx="28">
                  <c:v>-17.3877785537662</c:v>
                </c:pt>
                <c:pt idx="29">
                  <c:v>-21.187646319761818</c:v>
                </c:pt>
                <c:pt idx="30">
                  <c:v>-25.056484597499136</c:v>
                </c:pt>
              </c:numCache>
            </c:numRef>
          </c:yVal>
          <c:smooth val="1"/>
          <c:extLst>
            <c:ext xmlns:c16="http://schemas.microsoft.com/office/drawing/2014/chart" uri="{C3380CC4-5D6E-409C-BE32-E72D297353CC}">
              <c16:uniqueId val="{00000000-1E38-44CB-80A1-D14B9301743B}"/>
            </c:ext>
          </c:extLst>
        </c:ser>
        <c:dLbls>
          <c:showLegendKey val="0"/>
          <c:showVal val="0"/>
          <c:showCatName val="0"/>
          <c:showSerName val="0"/>
          <c:showPercent val="0"/>
          <c:showBubbleSize val="0"/>
        </c:dLbls>
        <c:axId val="101384192"/>
        <c:axId val="101387264"/>
      </c:scatterChart>
      <c:scatterChart>
        <c:scatterStyle val="smoothMarker"/>
        <c:varyColors val="0"/>
        <c:ser>
          <c:idx val="1"/>
          <c:order val="1"/>
          <c:tx>
            <c:v>Phase</c:v>
          </c:tx>
          <c:spPr>
            <a:ln w="31750"/>
          </c:spPr>
          <c:marker>
            <c:symbol val="none"/>
          </c:marker>
          <c:xVal>
            <c:numRef>
              <c:f>'LOOKUP TABLES AND DROPDOWN LIST'!$B$79:$B$109</c:f>
              <c:numCache>
                <c:formatCode>General</c:formatCode>
                <c:ptCount val="31"/>
                <c:pt idx="0">
                  <c:v>10</c:v>
                </c:pt>
                <c:pt idx="1">
                  <c:v>12.58925411794168</c:v>
                </c:pt>
                <c:pt idx="2">
                  <c:v>15.848931924611136</c:v>
                </c:pt>
                <c:pt idx="3">
                  <c:v>19.952623149688804</c:v>
                </c:pt>
                <c:pt idx="4">
                  <c:v>25.118864315095799</c:v>
                </c:pt>
                <c:pt idx="5">
                  <c:v>31.622776601683803</c:v>
                </c:pt>
                <c:pt idx="6">
                  <c:v>39.810717055349755</c:v>
                </c:pt>
                <c:pt idx="7">
                  <c:v>50.118723362727238</c:v>
                </c:pt>
                <c:pt idx="8">
                  <c:v>63.095734448019364</c:v>
                </c:pt>
                <c:pt idx="9">
                  <c:v>79.432823472428197</c:v>
                </c:pt>
                <c:pt idx="10">
                  <c:v>100</c:v>
                </c:pt>
                <c:pt idx="11">
                  <c:v>125.89254117941677</c:v>
                </c:pt>
                <c:pt idx="12">
                  <c:v>158.48931924611153</c:v>
                </c:pt>
                <c:pt idx="13">
                  <c:v>199.52623149688802</c:v>
                </c:pt>
                <c:pt idx="14">
                  <c:v>251.18864315095806</c:v>
                </c:pt>
                <c:pt idx="15">
                  <c:v>316.22776601683825</c:v>
                </c:pt>
                <c:pt idx="16">
                  <c:v>398.10717055349761</c:v>
                </c:pt>
                <c:pt idx="17">
                  <c:v>501.18723362727269</c:v>
                </c:pt>
                <c:pt idx="18">
                  <c:v>630.95734448019323</c:v>
                </c:pt>
                <c:pt idx="19">
                  <c:v>794.32823472428208</c:v>
                </c:pt>
                <c:pt idx="20">
                  <c:v>1000</c:v>
                </c:pt>
                <c:pt idx="21">
                  <c:v>1258.925411794168</c:v>
                </c:pt>
                <c:pt idx="22">
                  <c:v>1584.8931924611156</c:v>
                </c:pt>
                <c:pt idx="23">
                  <c:v>1995.2623149688804</c:v>
                </c:pt>
                <c:pt idx="24">
                  <c:v>2511.8864315095811</c:v>
                </c:pt>
                <c:pt idx="25">
                  <c:v>3162.2776601683804</c:v>
                </c:pt>
                <c:pt idx="26">
                  <c:v>3981.0717055349769</c:v>
                </c:pt>
                <c:pt idx="27">
                  <c:v>5011.8723362727324</c:v>
                </c:pt>
                <c:pt idx="28">
                  <c:v>6309.5734448019384</c:v>
                </c:pt>
                <c:pt idx="29">
                  <c:v>7943.2823472428154</c:v>
                </c:pt>
                <c:pt idx="30">
                  <c:v>10000</c:v>
                </c:pt>
              </c:numCache>
            </c:numRef>
          </c:xVal>
          <c:yVal>
            <c:numRef>
              <c:f>'LOOKUP TABLES AND DROPDOWN LIST'!$L$79:$L$109</c:f>
              <c:numCache>
                <c:formatCode>General</c:formatCode>
                <c:ptCount val="31"/>
                <c:pt idx="0">
                  <c:v>175.04919994448497</c:v>
                </c:pt>
                <c:pt idx="1">
                  <c:v>173.77508065568537</c:v>
                </c:pt>
                <c:pt idx="2">
                  <c:v>172.17869737777411</c:v>
                </c:pt>
                <c:pt idx="3">
                  <c:v>170.18401045071298</c:v>
                </c:pt>
                <c:pt idx="4">
                  <c:v>167.70224515583266</c:v>
                </c:pt>
                <c:pt idx="5">
                  <c:v>164.6346810454329</c:v>
                </c:pt>
                <c:pt idx="6">
                  <c:v>160.88064147409847</c:v>
                </c:pt>
                <c:pt idx="7">
                  <c:v>156.35382377860589</c:v>
                </c:pt>
                <c:pt idx="8">
                  <c:v>151.00920373966142</c:v>
                </c:pt>
                <c:pt idx="9">
                  <c:v>144.87772264741935</c:v>
                </c:pt>
                <c:pt idx="10">
                  <c:v>138.0954404986694</c:v>
                </c:pt>
                <c:pt idx="11">
                  <c:v>130.90374240761571</c:v>
                </c:pt>
                <c:pt idx="12">
                  <c:v>123.60320550293802</c:v>
                </c:pt>
                <c:pt idx="13">
                  <c:v>116.47342122026485</c:v>
                </c:pt>
                <c:pt idx="14">
                  <c:v>109.69972761024657</c:v>
                </c:pt>
                <c:pt idx="15">
                  <c:v>103.34165121348768</c:v>
                </c:pt>
                <c:pt idx="16">
                  <c:v>97.344836116745569</c:v>
                </c:pt>
                <c:pt idx="17">
                  <c:v>91.57543447142767</c:v>
                </c:pt>
                <c:pt idx="18">
                  <c:v>85.857480236100727</c:v>
                </c:pt>
                <c:pt idx="19">
                  <c:v>80.006269762499514</c:v>
                </c:pt>
                <c:pt idx="20">
                  <c:v>73.860323402477761</c:v>
                </c:pt>
                <c:pt idx="21">
                  <c:v>67.3166490724374</c:v>
                </c:pt>
                <c:pt idx="22">
                  <c:v>60.368427983937387</c:v>
                </c:pt>
                <c:pt idx="23">
                  <c:v>53.132311933516846</c:v>
                </c:pt>
                <c:pt idx="24">
                  <c:v>45.842705119566318</c:v>
                </c:pt>
                <c:pt idx="25">
                  <c:v>38.799155292631184</c:v>
                </c:pt>
                <c:pt idx="26">
                  <c:v>32.284339641257738</c:v>
                </c:pt>
                <c:pt idx="27">
                  <c:v>26.495255427650655</c:v>
                </c:pt>
                <c:pt idx="28">
                  <c:v>21.518526574604451</c:v>
                </c:pt>
                <c:pt idx="29">
                  <c:v>17.346668433370873</c:v>
                </c:pt>
                <c:pt idx="30">
                  <c:v>13.912175741835908</c:v>
                </c:pt>
              </c:numCache>
            </c:numRef>
          </c:yVal>
          <c:smooth val="1"/>
          <c:extLst>
            <c:ext xmlns:c16="http://schemas.microsoft.com/office/drawing/2014/chart" uri="{C3380CC4-5D6E-409C-BE32-E72D297353CC}">
              <c16:uniqueId val="{00000001-1E38-44CB-80A1-D14B9301743B}"/>
            </c:ext>
          </c:extLst>
        </c:ser>
        <c:dLbls>
          <c:showLegendKey val="0"/>
          <c:showVal val="0"/>
          <c:showCatName val="0"/>
          <c:showSerName val="0"/>
          <c:showPercent val="0"/>
          <c:showBubbleSize val="0"/>
        </c:dLbls>
        <c:axId val="135223552"/>
        <c:axId val="131871872"/>
      </c:scatterChart>
      <c:valAx>
        <c:axId val="101384192"/>
        <c:scaling>
          <c:logBase val="10"/>
          <c:orientation val="minMax"/>
          <c:max val="10000"/>
          <c:min val="10"/>
        </c:scaling>
        <c:delete val="0"/>
        <c:axPos val="b"/>
        <c:majorGridlines>
          <c:spPr>
            <a:ln w="12700"/>
          </c:spPr>
        </c:majorGridlines>
        <c:minorGridlines/>
        <c:title>
          <c:tx>
            <c:rich>
              <a:bodyPr/>
              <a:lstStyle/>
              <a:p>
                <a:pPr>
                  <a:defRPr/>
                </a:pPr>
                <a:r>
                  <a:rPr lang="en-US"/>
                  <a:t>Frequency (Hz)</a:t>
                </a:r>
              </a:p>
            </c:rich>
          </c:tx>
          <c:overlay val="0"/>
        </c:title>
        <c:numFmt formatCode="General" sourceLinked="1"/>
        <c:majorTickMark val="out"/>
        <c:minorTickMark val="none"/>
        <c:tickLblPos val="nextTo"/>
        <c:crossAx val="101387264"/>
        <c:crossesAt val="-40"/>
        <c:crossBetween val="midCat"/>
        <c:minorUnit val="10"/>
      </c:valAx>
      <c:valAx>
        <c:axId val="101387264"/>
        <c:scaling>
          <c:orientation val="minMax"/>
          <c:max val="40"/>
          <c:min val="-40"/>
        </c:scaling>
        <c:delete val="0"/>
        <c:axPos val="l"/>
        <c:majorGridlines>
          <c:spPr>
            <a:ln w="15875"/>
          </c:spPr>
        </c:majorGridlines>
        <c:title>
          <c:tx>
            <c:rich>
              <a:bodyPr rot="-5400000" vert="horz"/>
              <a:lstStyle/>
              <a:p>
                <a:pPr>
                  <a:defRPr/>
                </a:pPr>
                <a:r>
                  <a:rPr lang="en-US"/>
                  <a:t>Gain (dB)</a:t>
                </a:r>
              </a:p>
            </c:rich>
          </c:tx>
          <c:overlay val="0"/>
        </c:title>
        <c:numFmt formatCode="General" sourceLinked="1"/>
        <c:majorTickMark val="out"/>
        <c:minorTickMark val="none"/>
        <c:tickLblPos val="nextTo"/>
        <c:crossAx val="101384192"/>
        <c:crosses val="autoZero"/>
        <c:crossBetween val="midCat"/>
        <c:majorUnit val="10"/>
        <c:minorUnit val="1"/>
      </c:valAx>
      <c:valAx>
        <c:axId val="131871872"/>
        <c:scaling>
          <c:orientation val="minMax"/>
          <c:max val="180"/>
          <c:min val="-180"/>
        </c:scaling>
        <c:delete val="0"/>
        <c:axPos val="r"/>
        <c:title>
          <c:tx>
            <c:rich>
              <a:bodyPr rot="5400000" vert="horz"/>
              <a:lstStyle/>
              <a:p>
                <a:pPr>
                  <a:defRPr/>
                </a:pPr>
                <a:r>
                  <a:rPr lang="en-US"/>
                  <a:t>Phase (degrees)</a:t>
                </a:r>
              </a:p>
            </c:rich>
          </c:tx>
          <c:overlay val="0"/>
        </c:title>
        <c:numFmt formatCode="General" sourceLinked="1"/>
        <c:majorTickMark val="out"/>
        <c:minorTickMark val="none"/>
        <c:tickLblPos val="nextTo"/>
        <c:crossAx val="135223552"/>
        <c:crosses val="max"/>
        <c:crossBetween val="midCat"/>
        <c:majorUnit val="45"/>
        <c:minorUnit val="5"/>
      </c:valAx>
      <c:valAx>
        <c:axId val="135223552"/>
        <c:scaling>
          <c:logBase val="10"/>
          <c:orientation val="minMax"/>
          <c:max val="10000"/>
          <c:min val="10"/>
        </c:scaling>
        <c:delete val="0"/>
        <c:axPos val="t"/>
        <c:numFmt formatCode="General" sourceLinked="1"/>
        <c:majorTickMark val="out"/>
        <c:minorTickMark val="none"/>
        <c:tickLblPos val="nextTo"/>
        <c:crossAx val="131871872"/>
        <c:crosses val="max"/>
        <c:crossBetween val="midCat"/>
        <c:minorUnit val="10"/>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7</xdr:col>
          <xdr:colOff>232913</xdr:colOff>
          <xdr:row>25</xdr:row>
          <xdr:rowOff>112143</xdr:rowOff>
        </xdr:to>
        <xdr:sp macro="" textlink="">
          <xdr:nvSpPr>
            <xdr:cNvPr id="4101" name="Object 5" hidden="1">
              <a:extLst>
                <a:ext uri="{63B3BB69-23CF-44E3-9099-C40C66FF867C}">
                  <a14:compatExt spid="_x0000_s4101"/>
                </a:ext>
                <a:ext uri="{FF2B5EF4-FFF2-40B4-BE49-F238E27FC236}">
                  <a16:creationId xmlns:a16="http://schemas.microsoft.com/office/drawing/2014/main" id="{00000000-0008-0000-0100-000005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252</xdr:row>
      <xdr:rowOff>180978</xdr:rowOff>
    </xdr:from>
    <xdr:to>
      <xdr:col>4</xdr:col>
      <xdr:colOff>990600</xdr:colOff>
      <xdr:row>276</xdr:row>
      <xdr:rowOff>28575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08"/>
  <sheetViews>
    <sheetView topLeftCell="A7" zoomScale="85" workbookViewId="0">
      <selection activeCell="E40" sqref="E40:F40"/>
    </sheetView>
  </sheetViews>
  <sheetFormatPr defaultColWidth="9.125" defaultRowHeight="13.6"/>
  <cols>
    <col min="1" max="1" width="3.75" style="2" customWidth="1"/>
    <col min="2" max="2" width="59.75" style="2" customWidth="1"/>
    <col min="3" max="3" width="12.75" style="1" customWidth="1"/>
    <col min="4" max="4" width="12.25" style="2" customWidth="1"/>
    <col min="5" max="5" width="12.75" style="2" customWidth="1"/>
    <col min="6" max="6" width="37.125" style="2" customWidth="1"/>
    <col min="7" max="7" width="36.875" style="2" customWidth="1"/>
    <col min="8" max="16384" width="9.125" style="2"/>
  </cols>
  <sheetData>
    <row r="1" spans="2:6" ht="37.549999999999997" customHeight="1">
      <c r="B1" s="277" t="s">
        <v>2</v>
      </c>
      <c r="C1" s="277"/>
      <c r="D1" s="277"/>
      <c r="E1" s="277"/>
      <c r="F1" s="277"/>
    </row>
    <row r="2" spans="2:6" ht="17.350000000000001" customHeight="1" thickBot="1">
      <c r="B2" s="173" t="s">
        <v>701</v>
      </c>
      <c r="C2" s="172" t="s">
        <v>731</v>
      </c>
      <c r="D2" s="174"/>
      <c r="E2" s="175"/>
      <c r="F2" s="171"/>
    </row>
    <row r="3" spans="2:6" ht="14.3" customHeight="1">
      <c r="B3" s="278" t="s">
        <v>0</v>
      </c>
      <c r="C3" s="279"/>
      <c r="D3" s="279"/>
      <c r="E3" s="279"/>
      <c r="F3" s="280"/>
    </row>
    <row r="4" spans="2:6" ht="14.95" customHeight="1">
      <c r="B4" s="281" t="s">
        <v>1</v>
      </c>
      <c r="C4" s="282"/>
      <c r="D4" s="282"/>
      <c r="E4" s="282"/>
      <c r="F4" s="283"/>
    </row>
    <row r="5" spans="2:6">
      <c r="B5" s="281"/>
      <c r="C5" s="282"/>
      <c r="D5" s="282"/>
      <c r="E5" s="282"/>
      <c r="F5" s="283"/>
    </row>
    <row r="6" spans="2:6">
      <c r="B6" s="281"/>
      <c r="C6" s="282"/>
      <c r="D6" s="282"/>
      <c r="E6" s="282"/>
      <c r="F6" s="283"/>
    </row>
    <row r="7" spans="2:6" ht="14.3" thickBot="1">
      <c r="B7" s="284"/>
      <c r="C7" s="285"/>
      <c r="D7" s="285"/>
      <c r="E7" s="285"/>
      <c r="F7" s="286"/>
    </row>
    <row r="8" spans="2:6" ht="45" customHeight="1">
      <c r="B8" s="317" t="s">
        <v>3</v>
      </c>
      <c r="C8" s="318"/>
      <c r="D8" s="318"/>
      <c r="E8" s="318"/>
      <c r="F8" s="319"/>
    </row>
    <row r="9" spans="2:6" ht="18.350000000000001">
      <c r="B9" s="320" t="s">
        <v>4</v>
      </c>
      <c r="C9" s="321"/>
      <c r="D9" s="321"/>
      <c r="E9" s="321"/>
      <c r="F9" s="322"/>
    </row>
    <row r="10" spans="2:6" ht="15.8" customHeight="1" thickBot="1">
      <c r="B10" s="323" t="s">
        <v>623</v>
      </c>
      <c r="C10" s="324"/>
      <c r="D10" s="324"/>
      <c r="E10" s="324"/>
      <c r="F10" s="325"/>
    </row>
    <row r="11" spans="2:6" ht="59.95" customHeight="1" thickBot="1">
      <c r="B11" s="326" t="s">
        <v>109</v>
      </c>
      <c r="C11" s="327"/>
      <c r="D11" s="327"/>
      <c r="E11" s="327"/>
      <c r="F11" s="328"/>
    </row>
    <row r="12" spans="2:6" ht="14.95" customHeight="1">
      <c r="B12" s="329" t="s">
        <v>5</v>
      </c>
      <c r="C12" s="330"/>
      <c r="D12" s="330"/>
      <c r="E12" s="330"/>
      <c r="F12" s="331"/>
    </row>
    <row r="13" spans="2:6" ht="15.8" customHeight="1" thickBot="1">
      <c r="B13" s="332"/>
      <c r="C13" s="333"/>
      <c r="D13" s="333"/>
      <c r="E13" s="333"/>
      <c r="F13" s="334"/>
    </row>
    <row r="14" spans="2:6" ht="15.8" customHeight="1" thickBot="1">
      <c r="B14" s="347"/>
      <c r="C14" s="347"/>
      <c r="D14" s="347"/>
      <c r="E14" s="347"/>
      <c r="F14" s="347"/>
    </row>
    <row r="15" spans="2:6" ht="16.3" thickBot="1">
      <c r="B15" s="335" t="s">
        <v>16</v>
      </c>
      <c r="C15" s="336"/>
      <c r="D15" s="336"/>
      <c r="E15" s="336"/>
      <c r="F15" s="337"/>
    </row>
    <row r="16" spans="2:6">
      <c r="B16" s="13" t="s">
        <v>54</v>
      </c>
      <c r="C16" s="143" t="s">
        <v>8</v>
      </c>
      <c r="D16" s="338" t="s">
        <v>25</v>
      </c>
      <c r="E16" s="339"/>
      <c r="F16" s="340"/>
    </row>
    <row r="17" spans="2:6" ht="17.7">
      <c r="B17" s="4" t="s">
        <v>55</v>
      </c>
      <c r="C17" s="113">
        <v>22</v>
      </c>
      <c r="D17" s="273" t="str">
        <f>IF(Vin_type="AC","VAC","VDC")</f>
        <v>VDC</v>
      </c>
      <c r="E17" s="265"/>
      <c r="F17" s="266"/>
    </row>
    <row r="18" spans="2:6" ht="18.7" customHeight="1">
      <c r="B18" s="4" t="s">
        <v>56</v>
      </c>
      <c r="C18" s="113">
        <v>50</v>
      </c>
      <c r="D18" s="48" t="str">
        <f>IF(Vin_type="AC","VAC","VDC")</f>
        <v>VDC</v>
      </c>
      <c r="E18" s="345" t="str">
        <f>IF(C18&lt;C17,"VINPUTmax must be &gt;VINPUTmin","")</f>
        <v/>
      </c>
      <c r="F18" s="346"/>
    </row>
    <row r="19" spans="2:6" ht="45" customHeight="1">
      <c r="B19" s="4" t="s">
        <v>82</v>
      </c>
      <c r="C19" s="114">
        <v>36</v>
      </c>
      <c r="D19" s="48" t="str">
        <f>IF(Vin_type="AC","VAC","VDC")</f>
        <v>VDC</v>
      </c>
      <c r="E19" s="341" t="str">
        <f>IF(Vinput_nom&lt;Vinput_min,"Select a NOMINAL voltage greater than the minimum input voltage",IF(Vinput_nom&gt;Vinput_max,"Select a NOMINAL voltage less than the maximum input voltage.",""))</f>
        <v/>
      </c>
      <c r="F19" s="342"/>
    </row>
    <row r="20" spans="2:6" ht="18.7" customHeight="1">
      <c r="B20" s="4" t="s">
        <v>83</v>
      </c>
      <c r="C20" s="113"/>
      <c r="D20" s="48" t="s">
        <v>53</v>
      </c>
      <c r="E20" s="265" t="s">
        <v>732</v>
      </c>
      <c r="F20" s="266"/>
    </row>
    <row r="21" spans="2:6" ht="59.95" customHeight="1" thickBot="1">
      <c r="B21" s="5" t="s">
        <v>84</v>
      </c>
      <c r="C21" s="115">
        <v>20</v>
      </c>
      <c r="D21" s="6" t="str">
        <f>IF(Vin_type="AC","VAC","VDC")</f>
        <v>VDC</v>
      </c>
      <c r="E21" s="343" t="str">
        <f>IF(Vinput_run&gt;Vinput_min,"Low-line start-up voltage must be less than or equal to the minimum input voltage","")</f>
        <v/>
      </c>
      <c r="F21" s="344"/>
    </row>
    <row r="22" spans="2:6" ht="15.8" customHeight="1" thickBot="1">
      <c r="B22" s="302" t="str">
        <f>IF(Vinput_nom&lt;Vinput_min,"DO NOT CONTINUE UNTIL NOMINAL INPUT VOLTAGE IS INCREASED",IF(Vinput_nom&gt;Vinput_max,"DO NOT CONTINUE UNTIL NOMINAL INPUT VOLTAGE IS DECREASED",""))</f>
        <v/>
      </c>
      <c r="C22" s="302"/>
      <c r="D22" s="302"/>
      <c r="E22" s="302"/>
      <c r="F22" s="302"/>
    </row>
    <row r="23" spans="2:6" ht="15.65">
      <c r="B23" s="305" t="s">
        <v>17</v>
      </c>
      <c r="C23" s="306"/>
      <c r="D23" s="306"/>
      <c r="E23" s="306"/>
      <c r="F23" s="307"/>
    </row>
    <row r="24" spans="2:6" ht="17.7">
      <c r="B24" s="11" t="s">
        <v>85</v>
      </c>
      <c r="C24" s="190">
        <v>15</v>
      </c>
      <c r="D24" s="263" t="s">
        <v>11</v>
      </c>
      <c r="E24" s="263"/>
      <c r="F24" s="298"/>
    </row>
    <row r="25" spans="2:6" ht="17.7">
      <c r="B25" s="11" t="s">
        <v>721</v>
      </c>
      <c r="C25" s="190">
        <v>4</v>
      </c>
      <c r="D25" s="263" t="s">
        <v>12</v>
      </c>
      <c r="E25" s="308"/>
      <c r="F25" s="309"/>
    </row>
    <row r="26" spans="2:6" ht="36.700000000000003" customHeight="1">
      <c r="B26" s="11" t="s">
        <v>725</v>
      </c>
      <c r="C26" s="190">
        <v>4.2</v>
      </c>
      <c r="D26" s="189" t="s">
        <v>12</v>
      </c>
      <c r="E26" s="341" t="str">
        <f>IF(Iocc_target&lt;1.05*Iout,"Recommend target to be a minimum of 5% higher than rated Iout","")</f>
        <v/>
      </c>
      <c r="F26" s="342"/>
    </row>
    <row r="27" spans="2:6" ht="59.95" customHeight="1">
      <c r="B27" s="7" t="s">
        <v>86</v>
      </c>
      <c r="C27" s="113">
        <v>14</v>
      </c>
      <c r="D27" s="72" t="s">
        <v>11</v>
      </c>
      <c r="E27" s="366" t="str">
        <f>IF(C27&gt;=Vout_cv,"Minimum output voltage in CC mode must be less than regulated output voltage","")</f>
        <v/>
      </c>
      <c r="F27" s="367"/>
    </row>
    <row r="28" spans="2:6" ht="45" customHeight="1">
      <c r="B28" s="7" t="s">
        <v>327</v>
      </c>
      <c r="C28" s="113">
        <v>0.05</v>
      </c>
      <c r="D28" s="263" t="s">
        <v>10</v>
      </c>
      <c r="E28" s="263"/>
      <c r="F28" s="298"/>
    </row>
    <row r="29" spans="2:6" ht="18.7" customHeight="1">
      <c r="B29" s="7" t="s">
        <v>87</v>
      </c>
      <c r="C29" s="113">
        <v>400</v>
      </c>
      <c r="D29" s="263" t="s">
        <v>14</v>
      </c>
      <c r="E29" s="263"/>
      <c r="F29" s="298"/>
    </row>
    <row r="30" spans="2:6" ht="45" customHeight="1">
      <c r="B30" s="7" t="s">
        <v>733</v>
      </c>
      <c r="C30" s="113">
        <v>45</v>
      </c>
      <c r="D30" s="72" t="s">
        <v>15</v>
      </c>
      <c r="E30" s="312" t="str">
        <f>IF(fmax_target&gt;100,"Desired switching frequency must be lower than 100 kHz",IF(fmax_target&lt;0.17,"Desired switching frequency must be higher than 170 Hz",""))</f>
        <v/>
      </c>
      <c r="F30" s="313"/>
    </row>
    <row r="31" spans="2:6" ht="18.7" customHeight="1">
      <c r="B31" s="4" t="s">
        <v>216</v>
      </c>
      <c r="C31" s="113">
        <v>25</v>
      </c>
      <c r="D31" s="72" t="s">
        <v>10</v>
      </c>
      <c r="E31" s="312" t="str">
        <f>IF(Vout_ovp&lt;=C24,"Vout_ovp must be &gt;Vout","")</f>
        <v/>
      </c>
      <c r="F31" s="313"/>
    </row>
    <row r="32" spans="2:6" ht="18.7" customHeight="1">
      <c r="B32" s="4" t="s">
        <v>314</v>
      </c>
      <c r="C32" s="113">
        <v>4</v>
      </c>
      <c r="D32" s="263" t="s">
        <v>12</v>
      </c>
      <c r="E32" s="263"/>
      <c r="F32" s="298"/>
    </row>
    <row r="33" spans="2:7" ht="37.549999999999997" customHeight="1">
      <c r="B33" s="7" t="s">
        <v>316</v>
      </c>
      <c r="C33" s="113">
        <v>20</v>
      </c>
      <c r="D33" s="263" t="s">
        <v>24</v>
      </c>
      <c r="E33" s="263"/>
      <c r="F33" s="298"/>
    </row>
    <row r="34" spans="2:7" ht="18.7" customHeight="1" thickBot="1">
      <c r="B34" s="5" t="s">
        <v>711</v>
      </c>
      <c r="C34" s="116">
        <v>20</v>
      </c>
      <c r="D34" s="310" t="s">
        <v>113</v>
      </c>
      <c r="E34" s="310"/>
      <c r="F34" s="311"/>
    </row>
    <row r="35" spans="2:7" ht="14.95" customHeight="1" thickBot="1">
      <c r="B35" s="314" t="str">
        <f>IF(fmax_target&gt;100,"DO NOT CONTINUE UNTIL DESIRED SWITCHING FREQUENCY VALUE IS DECREASED",IF(fmax_target&lt;0.17,"DO NOT CONTINUE UNTIL DESIRED SWITCHING FREQUENCY VALUE IS INCREASED",""))</f>
        <v/>
      </c>
      <c r="C35" s="314"/>
      <c r="D35" s="314"/>
      <c r="E35" s="314"/>
      <c r="F35" s="314"/>
    </row>
    <row r="36" spans="2:7" ht="16.3" thickBot="1">
      <c r="B36" s="358" t="s">
        <v>328</v>
      </c>
      <c r="C36" s="359"/>
      <c r="D36" s="359"/>
      <c r="E36" s="359"/>
      <c r="F36" s="360"/>
      <c r="G36" s="112"/>
    </row>
    <row r="37" spans="2:7" ht="14.95" customHeight="1" thickBot="1">
      <c r="B37" s="74" t="s">
        <v>18</v>
      </c>
      <c r="C37" s="315" t="s">
        <v>90</v>
      </c>
      <c r="D37" s="316"/>
      <c r="E37" s="303" t="s">
        <v>38</v>
      </c>
      <c r="F37" s="304"/>
      <c r="G37" s="112"/>
    </row>
    <row r="38" spans="2:7" ht="14.95" customHeight="1">
      <c r="B38" s="287" t="s">
        <v>95</v>
      </c>
      <c r="C38" s="288"/>
      <c r="D38" s="288"/>
      <c r="E38" s="288"/>
      <c r="F38" s="289"/>
      <c r="G38" s="112"/>
    </row>
    <row r="39" spans="2:7" ht="49.6" customHeight="1">
      <c r="B39" s="192" t="s">
        <v>710</v>
      </c>
      <c r="C39" s="122">
        <v>20</v>
      </c>
      <c r="D39" s="193" t="s">
        <v>10</v>
      </c>
      <c r="E39" s="361" t="s">
        <v>729</v>
      </c>
      <c r="F39" s="362"/>
      <c r="G39" s="112"/>
    </row>
    <row r="40" spans="2:7" ht="102.1" customHeight="1">
      <c r="B40" s="4" t="s">
        <v>89</v>
      </c>
      <c r="C40" s="8">
        <f>Cbulk_rcmd</f>
        <v>31.5</v>
      </c>
      <c r="D40" s="183" t="s">
        <v>23</v>
      </c>
      <c r="E40" s="356" t="s">
        <v>712</v>
      </c>
      <c r="F40" s="357"/>
      <c r="G40" s="112"/>
    </row>
    <row r="41" spans="2:7" ht="30.1" customHeight="1" thickBot="1">
      <c r="B41" s="5" t="s">
        <v>91</v>
      </c>
      <c r="C41" s="117">
        <v>36</v>
      </c>
      <c r="D41" s="6" t="s">
        <v>23</v>
      </c>
      <c r="E41" s="296" t="s">
        <v>39</v>
      </c>
      <c r="F41" s="297"/>
      <c r="G41" s="112"/>
    </row>
    <row r="42" spans="2:7" ht="18.7" customHeight="1">
      <c r="B42" s="287" t="s">
        <v>92</v>
      </c>
      <c r="C42" s="288"/>
      <c r="D42" s="288"/>
      <c r="E42" s="288"/>
      <c r="F42" s="289"/>
    </row>
    <row r="43" spans="2:7" ht="30.1" customHeight="1" thickBot="1">
      <c r="B43" s="5" t="s">
        <v>99</v>
      </c>
      <c r="C43" s="116">
        <v>0.5</v>
      </c>
      <c r="D43" s="6" t="s">
        <v>10</v>
      </c>
      <c r="E43" s="296" t="s">
        <v>40</v>
      </c>
      <c r="F43" s="297"/>
    </row>
    <row r="44" spans="2:7" ht="18.7" customHeight="1">
      <c r="B44" s="287" t="s">
        <v>93</v>
      </c>
      <c r="C44" s="288"/>
      <c r="D44" s="288"/>
      <c r="E44" s="288"/>
      <c r="F44" s="289"/>
    </row>
    <row r="45" spans="2:7" ht="30.1" customHeight="1" thickBot="1">
      <c r="B45" s="5" t="s">
        <v>100</v>
      </c>
      <c r="C45" s="116">
        <v>0</v>
      </c>
      <c r="D45" s="6" t="s">
        <v>58</v>
      </c>
      <c r="E45" s="296" t="s">
        <v>41</v>
      </c>
      <c r="F45" s="297"/>
    </row>
    <row r="47" spans="2:7" ht="18.7" customHeight="1">
      <c r="B47" s="348" t="s">
        <v>702</v>
      </c>
      <c r="C47" s="349"/>
      <c r="D47" s="349"/>
      <c r="E47" s="349"/>
      <c r="F47" s="350"/>
    </row>
    <row r="48" spans="2:7" ht="18.7" customHeight="1">
      <c r="B48" s="7" t="s">
        <v>708</v>
      </c>
      <c r="C48" s="188">
        <f>Nps_ideal</f>
        <v>1.6091081593927896</v>
      </c>
      <c r="D48" s="187"/>
      <c r="E48" s="265" t="s">
        <v>709</v>
      </c>
      <c r="F48" s="266"/>
    </row>
    <row r="49" spans="2:7" ht="59.95" customHeight="1" thickBot="1">
      <c r="B49" s="7" t="s">
        <v>106</v>
      </c>
      <c r="C49" s="119">
        <v>1.6</v>
      </c>
      <c r="D49" s="18" t="s">
        <v>103</v>
      </c>
      <c r="E49" s="312" t="str">
        <f>IF(C49&gt;1.01*Nps_ideal,"Using a higher Nps than ideal may result in better efficiency but may limit operation at low input voltage",IF(C49&lt;0.99*Nps_ideal,"Using a lower Nps than ideal may result in deeper DCM operation at max load and may result in lower efficiency"," "))</f>
        <v xml:space="preserve"> </v>
      </c>
      <c r="F49" s="313"/>
    </row>
    <row r="50" spans="2:7" ht="17">
      <c r="B50" s="290" t="s">
        <v>104</v>
      </c>
      <c r="C50" s="291"/>
      <c r="D50" s="291"/>
      <c r="E50" s="291"/>
      <c r="F50" s="292"/>
    </row>
    <row r="51" spans="2:7" ht="17.7">
      <c r="B51" s="4" t="s">
        <v>256</v>
      </c>
      <c r="C51" s="9">
        <f>Rcs_rcmd</f>
        <v>5.9247086812940067E-2</v>
      </c>
      <c r="D51" s="183" t="s">
        <v>48</v>
      </c>
      <c r="E51" s="265" t="s">
        <v>245</v>
      </c>
      <c r="F51" s="266"/>
      <c r="G51" s="176"/>
    </row>
    <row r="52" spans="2:7" ht="18.350000000000001" thickBot="1">
      <c r="B52" s="5" t="s">
        <v>257</v>
      </c>
      <c r="C52" s="121">
        <v>5.6000000000000001E-2</v>
      </c>
      <c r="D52" s="6" t="s">
        <v>48</v>
      </c>
      <c r="E52" s="365" t="s">
        <v>313</v>
      </c>
      <c r="F52" s="311"/>
      <c r="G52" s="176" t="str">
        <f>IF(Iocc&lt;Iocc_target,"Iocc will be less than target Iocc because Rcs is greater than recommended value","")</f>
        <v/>
      </c>
    </row>
    <row r="53" spans="2:7" ht="20.25" customHeight="1">
      <c r="B53" s="348" t="s">
        <v>96</v>
      </c>
      <c r="C53" s="349"/>
      <c r="D53" s="349"/>
      <c r="E53" s="349"/>
      <c r="F53" s="350"/>
    </row>
    <row r="54" spans="2:7" ht="18.7" customHeight="1">
      <c r="B54" s="4" t="s">
        <v>105</v>
      </c>
      <c r="C54" s="9">
        <f>Lp_rcmd</f>
        <v>18.853592704390469</v>
      </c>
      <c r="D54" s="75" t="s">
        <v>50</v>
      </c>
      <c r="E54" s="355"/>
      <c r="F54" s="309"/>
      <c r="G54" s="176"/>
    </row>
    <row r="55" spans="2:7" ht="59.95" customHeight="1">
      <c r="B55" s="4" t="s">
        <v>108</v>
      </c>
      <c r="C55" s="120">
        <v>20</v>
      </c>
      <c r="D55" s="55" t="s">
        <v>50</v>
      </c>
      <c r="E55" s="341" t="str">
        <f>IF(ton_min&lt;tonmin_limit,"Increase the Primary Inductance to meet minimum on-time, tCSLEB, requirement, otherwise OVP fault at high input voltage may result","")</f>
        <v/>
      </c>
      <c r="F55" s="342"/>
      <c r="G55" s="176" t="str">
        <f>IF(fmax&gt;100,"fmax &gt; 100kHz Design exceeds capability of part",IF(fmax&lt;32,"Design will operate only in the AM range, not all features may be available",""))</f>
        <v/>
      </c>
    </row>
    <row r="56" spans="2:7" ht="18.7" customHeight="1">
      <c r="B56" s="4" t="s">
        <v>276</v>
      </c>
      <c r="C56" s="9">
        <f>Npa_rcmd</f>
        <v>2.6820809248554918</v>
      </c>
      <c r="D56" s="269" t="s">
        <v>275</v>
      </c>
      <c r="E56" s="351"/>
      <c r="F56" s="352"/>
    </row>
    <row r="57" spans="2:7" ht="59.95" customHeight="1" thickBot="1">
      <c r="B57" s="5" t="s">
        <v>281</v>
      </c>
      <c r="C57" s="121">
        <v>2.6</v>
      </c>
      <c r="D57" s="56" t="s">
        <v>280</v>
      </c>
      <c r="E57" s="353" t="str">
        <f>IF(VDD&gt;25,"VDD may exceed its ABS MAX rating due to the targetted minimum output voltage during constant current regulation, a zener clamp is needed on VDD.  This will impact efficiency",IF(VDD&lt;9,"Decrease Primary to Auxiliary Turns Ratio",""))</f>
        <v/>
      </c>
      <c r="F57" s="354"/>
    </row>
    <row r="58" spans="2:7" ht="18.7" customHeight="1">
      <c r="B58" s="290" t="s">
        <v>94</v>
      </c>
      <c r="C58" s="291"/>
      <c r="D58" s="291"/>
      <c r="E58" s="291"/>
      <c r="F58" s="292"/>
    </row>
    <row r="59" spans="2:7" ht="18.7" customHeight="1">
      <c r="B59" s="54" t="s">
        <v>713</v>
      </c>
      <c r="C59" s="9">
        <f>Vds_min_rating</f>
        <v>97.24</v>
      </c>
      <c r="D59" s="219" t="s">
        <v>10</v>
      </c>
      <c r="E59" s="363"/>
      <c r="F59" s="364"/>
    </row>
    <row r="60" spans="2:7" ht="47.25" customHeight="1">
      <c r="B60" s="4" t="s">
        <v>102</v>
      </c>
      <c r="C60" s="217">
        <v>150</v>
      </c>
      <c r="D60" s="183" t="s">
        <v>10</v>
      </c>
      <c r="E60" s="312" t="str">
        <f>IF(VDS_derating&gt;0.95,"Excessive leakage inductance voltage spikes during switching may result in exceeding the VDS rating of the FET ","")</f>
        <v/>
      </c>
      <c r="F60" s="313"/>
      <c r="G60" s="176"/>
    </row>
    <row r="61" spans="2:7" ht="30.1" customHeight="1">
      <c r="B61" s="4" t="s">
        <v>107</v>
      </c>
      <c r="C61" s="217">
        <v>24.6</v>
      </c>
      <c r="D61" s="263" t="s">
        <v>28</v>
      </c>
      <c r="E61" s="263"/>
      <c r="F61" s="298"/>
      <c r="G61" s="176" t="str">
        <f>IF((1-((tres_actual*us)*(fmax*kHz))-Ddemag_cc)&lt;(1-((2.1*us)*(fmax*kHz))-Ddemag_cc),"Design will not Valley Switch","")</f>
        <v/>
      </c>
    </row>
    <row r="62" spans="2:7" ht="30.1" customHeight="1">
      <c r="B62" s="4" t="s">
        <v>118</v>
      </c>
      <c r="C62" s="217">
        <v>0.84</v>
      </c>
      <c r="D62" s="263" t="s">
        <v>48</v>
      </c>
      <c r="E62" s="263"/>
      <c r="F62" s="298"/>
    </row>
    <row r="63" spans="2:7" ht="30.1" customHeight="1">
      <c r="B63" s="4" t="s">
        <v>240</v>
      </c>
      <c r="C63" s="217">
        <v>12</v>
      </c>
      <c r="D63" s="263" t="s">
        <v>52</v>
      </c>
      <c r="E63" s="263"/>
      <c r="F63" s="298"/>
    </row>
    <row r="64" spans="2:7" ht="30.1" customHeight="1">
      <c r="B64" s="4" t="s">
        <v>409</v>
      </c>
      <c r="C64" s="217">
        <v>39</v>
      </c>
      <c r="D64" s="263" t="s">
        <v>52</v>
      </c>
      <c r="E64" s="263"/>
      <c r="F64" s="298"/>
    </row>
    <row r="65" spans="2:13" ht="18.7" customHeight="1" thickBot="1">
      <c r="B65" s="5" t="s">
        <v>418</v>
      </c>
      <c r="C65" s="116">
        <v>14</v>
      </c>
      <c r="D65" s="293" t="s">
        <v>419</v>
      </c>
      <c r="E65" s="294"/>
      <c r="F65" s="295"/>
    </row>
    <row r="66" spans="2:13" ht="14.3" thickBot="1">
      <c r="B66" s="49"/>
      <c r="C66" s="194"/>
      <c r="D66" s="49"/>
      <c r="E66" s="49"/>
      <c r="F66" s="49"/>
      <c r="G66" s="49"/>
      <c r="H66" s="49"/>
      <c r="I66" s="49"/>
      <c r="J66" s="49"/>
      <c r="K66" s="49"/>
      <c r="L66" s="49"/>
      <c r="M66" s="49"/>
    </row>
    <row r="67" spans="2:13" ht="17">
      <c r="B67" s="290" t="s">
        <v>422</v>
      </c>
      <c r="C67" s="291"/>
      <c r="D67" s="291"/>
      <c r="E67" s="291"/>
      <c r="F67" s="292"/>
    </row>
    <row r="68" spans="2:13" ht="17.7">
      <c r="B68" s="4" t="s">
        <v>423</v>
      </c>
      <c r="C68" s="9">
        <f>Cout_rcmd</f>
        <v>680</v>
      </c>
      <c r="D68" s="72" t="s">
        <v>23</v>
      </c>
      <c r="E68" s="265" t="s">
        <v>436</v>
      </c>
      <c r="F68" s="266"/>
    </row>
    <row r="69" spans="2:13" ht="17.7">
      <c r="B69" s="4" t="s">
        <v>424</v>
      </c>
      <c r="C69" s="120">
        <v>820</v>
      </c>
      <c r="D69" s="72" t="s">
        <v>23</v>
      </c>
      <c r="E69" s="265" t="s">
        <v>437</v>
      </c>
      <c r="F69" s="266"/>
    </row>
    <row r="70" spans="2:13" ht="17.7">
      <c r="B70" s="4" t="s">
        <v>430</v>
      </c>
      <c r="C70" s="9">
        <f>ESRrcmd</f>
        <v>18.111254851228978</v>
      </c>
      <c r="D70" s="72" t="s">
        <v>58</v>
      </c>
      <c r="E70" s="265" t="s">
        <v>435</v>
      </c>
      <c r="F70" s="266"/>
    </row>
    <row r="71" spans="2:13" ht="18.350000000000001" thickBot="1">
      <c r="B71" s="5" t="s">
        <v>492</v>
      </c>
      <c r="C71" s="121">
        <v>23</v>
      </c>
      <c r="D71" s="6" t="s">
        <v>58</v>
      </c>
      <c r="E71" s="294" t="s">
        <v>438</v>
      </c>
      <c r="F71" s="295"/>
    </row>
    <row r="72" spans="2:13" ht="17">
      <c r="B72" s="348" t="s">
        <v>260</v>
      </c>
      <c r="C72" s="349"/>
      <c r="D72" s="349"/>
      <c r="E72" s="349"/>
      <c r="F72" s="350"/>
    </row>
    <row r="73" spans="2:13" ht="18.350000000000001" thickBot="1">
      <c r="B73" s="5" t="s">
        <v>258</v>
      </c>
      <c r="C73" s="116">
        <v>0</v>
      </c>
      <c r="D73" s="6" t="s">
        <v>10</v>
      </c>
      <c r="E73" s="203" t="s">
        <v>259</v>
      </c>
      <c r="F73" s="204" t="s">
        <v>730</v>
      </c>
    </row>
    <row r="74" spans="2:13" ht="17">
      <c r="B74" s="287" t="s">
        <v>272</v>
      </c>
      <c r="C74" s="288"/>
      <c r="D74" s="288"/>
      <c r="E74" s="288"/>
      <c r="F74" s="289"/>
    </row>
    <row r="75" spans="2:13" ht="18.350000000000001" thickBot="1">
      <c r="B75" s="34" t="s">
        <v>271</v>
      </c>
      <c r="C75" s="118">
        <v>0.5</v>
      </c>
      <c r="D75" s="299" t="s">
        <v>10</v>
      </c>
      <c r="E75" s="300"/>
      <c r="F75" s="301"/>
    </row>
    <row r="76" spans="2:13" ht="17">
      <c r="B76" s="290" t="s">
        <v>341</v>
      </c>
      <c r="C76" s="291"/>
      <c r="D76" s="291"/>
      <c r="E76" s="291"/>
      <c r="F76" s="292"/>
    </row>
    <row r="77" spans="2:13" ht="17.7">
      <c r="B77" s="4" t="s">
        <v>343</v>
      </c>
      <c r="C77" s="9">
        <f>Rvs1_rcmd</f>
        <v>27.4</v>
      </c>
      <c r="D77" s="72" t="s">
        <v>374</v>
      </c>
      <c r="E77" s="265" t="s">
        <v>376</v>
      </c>
      <c r="F77" s="266"/>
    </row>
    <row r="78" spans="2:13" ht="18.350000000000001" thickBot="1">
      <c r="B78" s="34" t="s">
        <v>382</v>
      </c>
      <c r="C78" s="200">
        <v>27</v>
      </c>
      <c r="D78" s="6" t="s">
        <v>374</v>
      </c>
      <c r="E78" s="300" t="s">
        <v>377</v>
      </c>
      <c r="F78" s="301"/>
    </row>
    <row r="79" spans="2:13" ht="17">
      <c r="B79" s="290" t="s">
        <v>484</v>
      </c>
      <c r="C79" s="291"/>
      <c r="D79" s="291"/>
      <c r="E79" s="291"/>
      <c r="F79" s="292"/>
    </row>
    <row r="80" spans="2:13" ht="17.7">
      <c r="B80" s="4" t="s">
        <v>375</v>
      </c>
      <c r="C80" s="9">
        <f>Rvs2_rcmd</f>
        <v>12.1</v>
      </c>
      <c r="D80" s="72" t="s">
        <v>374</v>
      </c>
      <c r="E80" s="274" t="s">
        <v>383</v>
      </c>
      <c r="F80" s="298"/>
    </row>
    <row r="81" spans="2:6" ht="18.350000000000001" thickBot="1">
      <c r="B81" s="34" t="s">
        <v>385</v>
      </c>
      <c r="C81" s="200">
        <v>12.7</v>
      </c>
      <c r="D81" s="6" t="s">
        <v>374</v>
      </c>
      <c r="E81" s="355" t="s">
        <v>384</v>
      </c>
      <c r="F81" s="309"/>
    </row>
    <row r="82" spans="2:6" ht="17">
      <c r="B82" s="290" t="s">
        <v>485</v>
      </c>
      <c r="C82" s="291"/>
      <c r="D82" s="291"/>
      <c r="E82" s="291"/>
      <c r="F82" s="292"/>
    </row>
    <row r="83" spans="2:6" ht="17.7">
      <c r="B83" s="4" t="s">
        <v>459</v>
      </c>
      <c r="C83" s="9">
        <f>Rlc_rcmd</f>
        <v>0.442</v>
      </c>
      <c r="D83" s="72" t="s">
        <v>374</v>
      </c>
      <c r="E83" s="265" t="s">
        <v>458</v>
      </c>
      <c r="F83" s="266"/>
    </row>
    <row r="84" spans="2:6" ht="17.7">
      <c r="B84" s="34" t="s">
        <v>460</v>
      </c>
      <c r="C84" s="200">
        <v>0.47</v>
      </c>
      <c r="D84" s="86" t="s">
        <v>374</v>
      </c>
      <c r="E84" s="267" t="s">
        <v>488</v>
      </c>
      <c r="F84" s="268"/>
    </row>
    <row r="85" spans="2:6" ht="17">
      <c r="B85" s="264" t="s">
        <v>543</v>
      </c>
      <c r="C85" s="264"/>
      <c r="D85" s="264"/>
      <c r="E85" s="264"/>
      <c r="F85" s="264"/>
    </row>
    <row r="86" spans="2:6" ht="17.7">
      <c r="B86" s="76" t="s">
        <v>601</v>
      </c>
      <c r="C86" s="122">
        <v>2.4950000000000001</v>
      </c>
      <c r="D86" s="71" t="s">
        <v>10</v>
      </c>
      <c r="E86" s="275" t="s">
        <v>517</v>
      </c>
      <c r="F86" s="276"/>
    </row>
    <row r="87" spans="2:6" ht="17.7">
      <c r="B87" s="76" t="s">
        <v>602</v>
      </c>
      <c r="C87" s="122">
        <v>4</v>
      </c>
      <c r="D87" s="71" t="s">
        <v>519</v>
      </c>
      <c r="E87" s="275" t="s">
        <v>518</v>
      </c>
      <c r="F87" s="276"/>
    </row>
    <row r="88" spans="2:6" ht="17.7">
      <c r="B88" s="3" t="s">
        <v>487</v>
      </c>
      <c r="C88" s="70">
        <f>Rfb2_rcmd</f>
        <v>44.2</v>
      </c>
      <c r="D88" s="3" t="s">
        <v>340</v>
      </c>
      <c r="E88" s="263" t="s">
        <v>489</v>
      </c>
      <c r="F88" s="263"/>
    </row>
    <row r="89" spans="2:6" ht="17.7">
      <c r="B89" s="3" t="s">
        <v>493</v>
      </c>
      <c r="C89" s="113">
        <v>44.2</v>
      </c>
      <c r="D89" s="3" t="s">
        <v>340</v>
      </c>
      <c r="E89" s="273" t="s">
        <v>491</v>
      </c>
      <c r="F89" s="274"/>
    </row>
    <row r="90" spans="2:6" ht="17.7">
      <c r="B90" s="3" t="s">
        <v>510</v>
      </c>
      <c r="C90" s="70">
        <f>Rfb1_rcmd</f>
        <v>226</v>
      </c>
      <c r="D90" s="3" t="s">
        <v>340</v>
      </c>
      <c r="E90" s="263" t="s">
        <v>512</v>
      </c>
      <c r="F90" s="263"/>
    </row>
    <row r="91" spans="2:6" ht="17.7">
      <c r="B91" s="3" t="s">
        <v>511</v>
      </c>
      <c r="C91" s="177">
        <v>226</v>
      </c>
      <c r="D91" s="3" t="s">
        <v>340</v>
      </c>
      <c r="E91" s="263" t="s">
        <v>513</v>
      </c>
      <c r="F91" s="263"/>
    </row>
    <row r="92" spans="2:6" ht="18.7" customHeight="1">
      <c r="B92" s="269" t="s">
        <v>521</v>
      </c>
      <c r="C92" s="272">
        <v>20</v>
      </c>
      <c r="D92" s="263" t="s">
        <v>524</v>
      </c>
      <c r="E92" s="263" t="s">
        <v>522</v>
      </c>
      <c r="F92" s="263"/>
    </row>
    <row r="93" spans="2:6">
      <c r="B93" s="269"/>
      <c r="C93" s="272"/>
      <c r="D93" s="263"/>
      <c r="E93" s="263"/>
      <c r="F93" s="263"/>
    </row>
    <row r="94" spans="2:6" ht="17.7">
      <c r="B94" s="3" t="s">
        <v>529</v>
      </c>
      <c r="C94" s="177">
        <v>0.8</v>
      </c>
      <c r="D94" s="3" t="s">
        <v>523</v>
      </c>
      <c r="E94" s="273" t="s">
        <v>525</v>
      </c>
      <c r="F94" s="274"/>
    </row>
    <row r="95" spans="2:6" ht="17.7">
      <c r="B95" s="3" t="s">
        <v>528</v>
      </c>
      <c r="C95" s="177">
        <v>1900</v>
      </c>
      <c r="D95" s="108" t="s">
        <v>48</v>
      </c>
      <c r="E95" s="273" t="s">
        <v>526</v>
      </c>
      <c r="F95" s="274"/>
    </row>
    <row r="96" spans="2:6" ht="17.7">
      <c r="B96" s="3" t="s">
        <v>527</v>
      </c>
      <c r="C96" s="177">
        <v>80</v>
      </c>
      <c r="D96" s="3" t="s">
        <v>15</v>
      </c>
      <c r="E96" s="273" t="s">
        <v>531</v>
      </c>
      <c r="F96" s="274"/>
    </row>
    <row r="97" spans="2:6" ht="17.7">
      <c r="B97" s="3" t="s">
        <v>530</v>
      </c>
      <c r="C97" s="177">
        <v>1.42</v>
      </c>
      <c r="D97" s="3" t="s">
        <v>10</v>
      </c>
      <c r="E97" s="263" t="s">
        <v>532</v>
      </c>
      <c r="F97" s="263"/>
    </row>
    <row r="98" spans="2:6" ht="18.7" customHeight="1">
      <c r="B98" s="269" t="s">
        <v>551</v>
      </c>
      <c r="C98" s="270">
        <v>0</v>
      </c>
      <c r="D98" s="271" t="s">
        <v>23</v>
      </c>
      <c r="E98" s="263" t="s">
        <v>550</v>
      </c>
      <c r="F98" s="263"/>
    </row>
    <row r="99" spans="2:6">
      <c r="B99" s="269"/>
      <c r="C99" s="270"/>
      <c r="D99" s="263"/>
      <c r="E99" s="263"/>
      <c r="F99" s="263"/>
    </row>
    <row r="100" spans="2:6" ht="17.7">
      <c r="B100" s="3" t="s">
        <v>552</v>
      </c>
      <c r="C100" s="113">
        <v>0</v>
      </c>
      <c r="D100" s="3" t="s">
        <v>454</v>
      </c>
      <c r="E100" s="273" t="s">
        <v>553</v>
      </c>
      <c r="F100" s="274"/>
    </row>
    <row r="101" spans="2:6" ht="17.7">
      <c r="B101" s="3" t="s">
        <v>567</v>
      </c>
      <c r="C101" s="73">
        <f>Cfb_rcmd</f>
        <v>4.7E-2</v>
      </c>
      <c r="D101" s="3" t="s">
        <v>454</v>
      </c>
      <c r="E101" s="263" t="s">
        <v>560</v>
      </c>
      <c r="F101" s="263"/>
    </row>
    <row r="102" spans="2:6" ht="17.7">
      <c r="B102" s="3" t="s">
        <v>569</v>
      </c>
      <c r="C102" s="113">
        <v>4.7E-2</v>
      </c>
      <c r="D102" s="3" t="s">
        <v>454</v>
      </c>
      <c r="E102" s="263" t="s">
        <v>568</v>
      </c>
      <c r="F102" s="263"/>
    </row>
    <row r="103" spans="2:6" ht="17.7">
      <c r="B103" s="3" t="s">
        <v>574</v>
      </c>
      <c r="C103" s="73">
        <f>R_fb4_rcmd</f>
        <v>22</v>
      </c>
      <c r="D103" s="3" t="s">
        <v>340</v>
      </c>
      <c r="E103" s="263" t="s">
        <v>575</v>
      </c>
      <c r="F103" s="263"/>
    </row>
    <row r="104" spans="2:6" ht="17.7">
      <c r="B104" s="3" t="s">
        <v>572</v>
      </c>
      <c r="C104" s="113">
        <v>22</v>
      </c>
      <c r="D104" s="3" t="s">
        <v>340</v>
      </c>
      <c r="E104" s="263" t="s">
        <v>576</v>
      </c>
      <c r="F104" s="263"/>
    </row>
    <row r="105" spans="2:6" ht="17.7">
      <c r="B105" s="3" t="s">
        <v>610</v>
      </c>
      <c r="C105" s="73">
        <f>Rtl_rcmd</f>
        <v>1.5</v>
      </c>
      <c r="D105" s="3" t="s">
        <v>340</v>
      </c>
      <c r="E105" s="263" t="s">
        <v>609</v>
      </c>
      <c r="F105" s="263"/>
    </row>
    <row r="106" spans="2:6" ht="17.7">
      <c r="B106" s="3" t="s">
        <v>611</v>
      </c>
      <c r="C106" s="113">
        <v>1.5</v>
      </c>
      <c r="D106" s="3" t="s">
        <v>340</v>
      </c>
      <c r="E106" s="263" t="s">
        <v>612</v>
      </c>
      <c r="F106" s="263"/>
    </row>
    <row r="107" spans="2:6" ht="17.7">
      <c r="B107" s="3" t="s">
        <v>620</v>
      </c>
      <c r="C107" s="73">
        <f>Cz_rcmd</f>
        <v>680</v>
      </c>
      <c r="D107" s="3" t="s">
        <v>28</v>
      </c>
      <c r="E107" s="273" t="s">
        <v>619</v>
      </c>
      <c r="F107" s="274"/>
    </row>
    <row r="108" spans="2:6" ht="17.7">
      <c r="B108" s="3" t="s">
        <v>621</v>
      </c>
      <c r="C108" s="113">
        <v>680</v>
      </c>
      <c r="D108" s="3" t="s">
        <v>28</v>
      </c>
      <c r="E108" s="273" t="s">
        <v>622</v>
      </c>
      <c r="F108" s="274"/>
    </row>
  </sheetData>
  <sheetProtection password="EFDD" sheet="1" objects="1" scenarios="1"/>
  <mergeCells count="105">
    <mergeCell ref="E52:F52"/>
    <mergeCell ref="E80:F80"/>
    <mergeCell ref="B79:F79"/>
    <mergeCell ref="B53:F53"/>
    <mergeCell ref="E48:F48"/>
    <mergeCell ref="E51:F51"/>
    <mergeCell ref="E26:F26"/>
    <mergeCell ref="B38:F38"/>
    <mergeCell ref="B42:F42"/>
    <mergeCell ref="E49:F49"/>
    <mergeCell ref="E60:F60"/>
    <mergeCell ref="E27:F27"/>
    <mergeCell ref="E30:F30"/>
    <mergeCell ref="B47:F47"/>
    <mergeCell ref="B82:F82"/>
    <mergeCell ref="D32:F32"/>
    <mergeCell ref="D33:F33"/>
    <mergeCell ref="B50:F50"/>
    <mergeCell ref="B72:F72"/>
    <mergeCell ref="D56:F56"/>
    <mergeCell ref="D62:F62"/>
    <mergeCell ref="E57:F57"/>
    <mergeCell ref="E54:F54"/>
    <mergeCell ref="E45:F45"/>
    <mergeCell ref="D63:F63"/>
    <mergeCell ref="D64:F64"/>
    <mergeCell ref="E81:F81"/>
    <mergeCell ref="B67:F67"/>
    <mergeCell ref="E41:F41"/>
    <mergeCell ref="E40:F40"/>
    <mergeCell ref="E77:F77"/>
    <mergeCell ref="E78:F78"/>
    <mergeCell ref="E55:F55"/>
    <mergeCell ref="B36:F36"/>
    <mergeCell ref="E39:F39"/>
    <mergeCell ref="E59:F59"/>
    <mergeCell ref="B44:F44"/>
    <mergeCell ref="B58:F58"/>
    <mergeCell ref="B8:F8"/>
    <mergeCell ref="B9:F9"/>
    <mergeCell ref="B10:F10"/>
    <mergeCell ref="B11:F11"/>
    <mergeCell ref="B12:F13"/>
    <mergeCell ref="B15:F15"/>
    <mergeCell ref="D16:F16"/>
    <mergeCell ref="E19:F19"/>
    <mergeCell ref="E21:F21"/>
    <mergeCell ref="D17:F17"/>
    <mergeCell ref="E18:F18"/>
    <mergeCell ref="E20:F20"/>
    <mergeCell ref="B14:F14"/>
    <mergeCell ref="B1:F1"/>
    <mergeCell ref="B3:F3"/>
    <mergeCell ref="B4:F7"/>
    <mergeCell ref="B74:F74"/>
    <mergeCell ref="B76:F76"/>
    <mergeCell ref="D65:F65"/>
    <mergeCell ref="E71:F71"/>
    <mergeCell ref="E70:F70"/>
    <mergeCell ref="E69:F69"/>
    <mergeCell ref="E68:F68"/>
    <mergeCell ref="E43:F43"/>
    <mergeCell ref="D61:F61"/>
    <mergeCell ref="D75:F75"/>
    <mergeCell ref="B22:F22"/>
    <mergeCell ref="E37:F37"/>
    <mergeCell ref="B23:F23"/>
    <mergeCell ref="D24:F24"/>
    <mergeCell ref="D25:F25"/>
    <mergeCell ref="D34:F34"/>
    <mergeCell ref="E31:F31"/>
    <mergeCell ref="D28:F28"/>
    <mergeCell ref="D29:F29"/>
    <mergeCell ref="B35:F35"/>
    <mergeCell ref="C37:D37"/>
    <mergeCell ref="E105:F105"/>
    <mergeCell ref="E106:F106"/>
    <mergeCell ref="E107:F107"/>
    <mergeCell ref="E108:F108"/>
    <mergeCell ref="E103:F103"/>
    <mergeCell ref="E102:F102"/>
    <mergeCell ref="E100:F100"/>
    <mergeCell ref="E101:F101"/>
    <mergeCell ref="E104:F104"/>
    <mergeCell ref="E91:F91"/>
    <mergeCell ref="B85:F85"/>
    <mergeCell ref="E83:F83"/>
    <mergeCell ref="E84:F84"/>
    <mergeCell ref="E88:F88"/>
    <mergeCell ref="E97:F97"/>
    <mergeCell ref="B98:B99"/>
    <mergeCell ref="C98:C99"/>
    <mergeCell ref="D98:D99"/>
    <mergeCell ref="E98:F99"/>
    <mergeCell ref="B92:B93"/>
    <mergeCell ref="C92:C93"/>
    <mergeCell ref="D92:D93"/>
    <mergeCell ref="E92:F93"/>
    <mergeCell ref="E96:F96"/>
    <mergeCell ref="E95:F95"/>
    <mergeCell ref="E94:F94"/>
    <mergeCell ref="E90:F90"/>
    <mergeCell ref="E89:F89"/>
    <mergeCell ref="E87:F87"/>
    <mergeCell ref="E86:F86"/>
  </mergeCells>
  <phoneticPr fontId="39" type="noConversion"/>
  <dataValidations xWindow="1546" yWindow="526" count="1">
    <dataValidation type="custom" errorStyle="warning" allowBlank="1" showInputMessage="1" prompt="User must enter a value up to 100kHz" sqref="C30" xr:uid="{00000000-0002-0000-0000-000000000000}">
      <formula1>"&lt;100"</formula1>
    </dataValidation>
  </dataValidations>
  <pageMargins left="0.70866141732283472" right="0.70866141732283472" top="0.74803149606299213" bottom="0.74803149606299213" header="0.31496062992125984" footer="0.31496062992125984"/>
  <pageSetup paperSize="9" orientation="portrait" r:id="rId1"/>
  <extLst>
    <ext xmlns:x14="http://schemas.microsoft.com/office/spreadsheetml/2009/9/main" uri="{CCE6A557-97BC-4b89-ADB6-D9C93CAAB3DF}">
      <x14:dataValidations xmlns:xm="http://schemas.microsoft.com/office/excel/2006/main" xWindow="1546" yWindow="526" count="1">
        <x14:dataValidation type="list" showErrorMessage="1" promptTitle="Select Input Voltage Type" prompt="Choose either AC or DC from the drop-down menu." xr:uid="{00000000-0002-0000-0000-000001000000}">
          <x14:formula1>
            <xm:f>'LOOKUP TABLES AND DROPDOWN LIST'!$B$1:$B$2</xm:f>
          </x14:formula1>
          <xm:sqref>C16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8:F146"/>
  <sheetViews>
    <sheetView tabSelected="1" topLeftCell="A79" zoomScale="123" zoomScaleNormal="100" workbookViewId="0">
      <selection activeCell="E93" sqref="C90:F93"/>
    </sheetView>
  </sheetViews>
  <sheetFormatPr defaultColWidth="9.125" defaultRowHeight="15.65"/>
  <cols>
    <col min="1" max="1" width="9.125" style="132"/>
    <col min="2" max="2" width="36.75" style="132" customWidth="1"/>
    <col min="3" max="3" width="42" style="132" customWidth="1"/>
    <col min="4" max="4" width="12.75" style="132" customWidth="1"/>
    <col min="5" max="5" width="5.75" style="132" customWidth="1"/>
    <col min="6" max="6" width="20.125" style="132" customWidth="1"/>
    <col min="7" max="16384" width="9.125" style="132"/>
  </cols>
  <sheetData>
    <row r="28" spans="2:6" ht="16.3" thickBot="1"/>
    <row r="29" spans="2:6" ht="21.1">
      <c r="B29" s="368" t="s">
        <v>628</v>
      </c>
      <c r="C29" s="369"/>
      <c r="D29" s="369"/>
      <c r="E29" s="369"/>
      <c r="F29" s="370"/>
    </row>
    <row r="30" spans="2:6" ht="19.05" thickBot="1">
      <c r="B30" s="142" t="s">
        <v>625</v>
      </c>
      <c r="C30" s="375" t="s">
        <v>629</v>
      </c>
      <c r="D30" s="375"/>
      <c r="E30" s="375"/>
      <c r="F30" s="376"/>
    </row>
    <row r="31" spans="2:6" ht="16.3" thickBot="1">
      <c r="B31" s="383"/>
      <c r="C31" s="384"/>
      <c r="D31" s="384"/>
      <c r="E31" s="384"/>
      <c r="F31" s="385"/>
    </row>
    <row r="32" spans="2:6">
      <c r="B32" s="380" t="s">
        <v>249</v>
      </c>
      <c r="C32" s="135" t="s">
        <v>636</v>
      </c>
      <c r="D32" s="137">
        <f>Vbridge</f>
        <v>50</v>
      </c>
      <c r="E32" s="386" t="str">
        <f>CALCULATIONS!D48</f>
        <v>V</v>
      </c>
      <c r="F32" s="388"/>
    </row>
    <row r="33" spans="2:6">
      <c r="B33" s="381"/>
      <c r="C33" s="133" t="s">
        <v>635</v>
      </c>
      <c r="D33" s="140">
        <f>Ibridge</f>
        <v>7.4117647058823533</v>
      </c>
      <c r="E33" s="373" t="str">
        <f>CALCULATIONS!D49</f>
        <v>A</v>
      </c>
      <c r="F33" s="374"/>
    </row>
    <row r="34" spans="2:6" ht="16.3" thickBot="1">
      <c r="B34" s="382"/>
      <c r="C34" s="136" t="s">
        <v>637</v>
      </c>
      <c r="D34" s="138">
        <f>Pbridge</f>
        <v>0</v>
      </c>
      <c r="E34" s="371" t="str">
        <f>CALCULATIONS!D51</f>
        <v>mW</v>
      </c>
      <c r="F34" s="372"/>
    </row>
    <row r="35" spans="2:6" ht="16.3" thickBot="1">
      <c r="B35" s="383"/>
      <c r="C35" s="384"/>
      <c r="D35" s="384"/>
      <c r="E35" s="384"/>
      <c r="F35" s="385"/>
    </row>
    <row r="36" spans="2:6" ht="19.55" customHeight="1">
      <c r="B36" s="380" t="s">
        <v>726</v>
      </c>
      <c r="C36" s="166" t="s">
        <v>630</v>
      </c>
      <c r="D36" s="386" t="s">
        <v>699</v>
      </c>
      <c r="E36" s="387"/>
      <c r="F36" s="388"/>
    </row>
    <row r="37" spans="2:6" ht="14.95" customHeight="1">
      <c r="B37" s="381"/>
      <c r="C37" s="133" t="s">
        <v>638</v>
      </c>
      <c r="D37" s="134">
        <f>Cbulk</f>
        <v>36</v>
      </c>
      <c r="E37" s="134" t="str">
        <f>CALCULATIONS!D37</f>
        <v>µF</v>
      </c>
      <c r="F37" s="152" t="s">
        <v>627</v>
      </c>
    </row>
    <row r="38" spans="2:6" ht="14.95" customHeight="1">
      <c r="B38" s="381"/>
      <c r="C38" s="133" t="s">
        <v>634</v>
      </c>
      <c r="D38" s="134">
        <f>Vcin_rated</f>
        <v>100</v>
      </c>
      <c r="E38" s="373" t="str">
        <f>CALCULATIONS!D41</f>
        <v>V</v>
      </c>
      <c r="F38" s="374"/>
    </row>
    <row r="39" spans="2:6" ht="15.8" customHeight="1" thickBot="1">
      <c r="B39" s="382"/>
      <c r="C39" s="136" t="s">
        <v>657</v>
      </c>
      <c r="D39" s="138">
        <f>Icin</f>
        <v>7.4117647058823533</v>
      </c>
      <c r="E39" s="371" t="str">
        <f>CALCULATIONS!D40</f>
        <v>mA</v>
      </c>
      <c r="F39" s="372"/>
    </row>
    <row r="40" spans="2:6" ht="16.5" customHeight="1" thickBot="1">
      <c r="B40" s="383"/>
      <c r="C40" s="384"/>
      <c r="D40" s="384"/>
      <c r="E40" s="384"/>
      <c r="F40" s="385"/>
    </row>
    <row r="41" spans="2:6" ht="16.5" customHeight="1">
      <c r="B41" s="380" t="s">
        <v>670</v>
      </c>
      <c r="C41" s="166" t="s">
        <v>630</v>
      </c>
      <c r="D41" s="386" t="s">
        <v>700</v>
      </c>
      <c r="E41" s="387"/>
      <c r="F41" s="388"/>
    </row>
    <row r="42" spans="2:6" ht="15.8" customHeight="1">
      <c r="B42" s="381"/>
      <c r="C42" s="133" t="s">
        <v>638</v>
      </c>
      <c r="D42" s="134">
        <f>Cext</f>
        <v>0</v>
      </c>
      <c r="E42" s="134" t="str">
        <f>CALCULATIONS!D236</f>
        <v>µF</v>
      </c>
      <c r="F42" s="167" t="s">
        <v>669</v>
      </c>
    </row>
    <row r="43" spans="2:6" ht="15.8" customHeight="1" thickBot="1">
      <c r="B43" s="382"/>
      <c r="C43" s="136" t="s">
        <v>634</v>
      </c>
      <c r="D43" s="168">
        <v>50</v>
      </c>
      <c r="E43" s="371" t="s">
        <v>10</v>
      </c>
      <c r="F43" s="372"/>
    </row>
    <row r="44" spans="2:6" ht="15.8" customHeight="1" thickBot="1">
      <c r="B44" s="383"/>
      <c r="C44" s="384"/>
      <c r="D44" s="384"/>
      <c r="E44" s="384"/>
      <c r="F44" s="385"/>
    </row>
    <row r="45" spans="2:6" ht="15.8" customHeight="1">
      <c r="B45" s="380" t="s">
        <v>671</v>
      </c>
      <c r="C45" s="166" t="s">
        <v>630</v>
      </c>
      <c r="D45" s="386" t="s">
        <v>700</v>
      </c>
      <c r="E45" s="387"/>
      <c r="F45" s="388"/>
    </row>
    <row r="46" spans="2:6" ht="15.8" customHeight="1">
      <c r="B46" s="381"/>
      <c r="C46" s="133" t="s">
        <v>638</v>
      </c>
      <c r="D46" s="134">
        <f>CALCULATIONS!C238</f>
        <v>4.7E-2</v>
      </c>
      <c r="E46" s="134" t="str">
        <f>CALCULATIONS!D238</f>
        <v>µF</v>
      </c>
      <c r="F46" s="167" t="s">
        <v>669</v>
      </c>
    </row>
    <row r="47" spans="2:6" ht="15.8" customHeight="1" thickBot="1">
      <c r="B47" s="382"/>
      <c r="C47" s="136" t="s">
        <v>634</v>
      </c>
      <c r="D47" s="151">
        <v>10</v>
      </c>
      <c r="E47" s="371" t="s">
        <v>10</v>
      </c>
      <c r="F47" s="372"/>
    </row>
    <row r="48" spans="2:6" ht="15.8" customHeight="1" thickBot="1">
      <c r="B48" s="383"/>
      <c r="C48" s="384"/>
      <c r="D48" s="384"/>
      <c r="E48" s="384"/>
      <c r="F48" s="385"/>
    </row>
    <row r="49" spans="2:6" ht="15.8" customHeight="1">
      <c r="B49" s="380" t="s">
        <v>727</v>
      </c>
      <c r="C49" s="166" t="s">
        <v>630</v>
      </c>
      <c r="D49" s="386" t="s">
        <v>699</v>
      </c>
      <c r="E49" s="387"/>
      <c r="F49" s="388"/>
    </row>
    <row r="50" spans="2:6" ht="15.8" customHeight="1">
      <c r="B50" s="381"/>
      <c r="C50" s="133" t="s">
        <v>656</v>
      </c>
      <c r="D50" s="169">
        <f>Cout</f>
        <v>820</v>
      </c>
      <c r="E50" s="134" t="str">
        <f>CALCULATIONS!D154</f>
        <v>µF</v>
      </c>
      <c r="F50" s="152" t="s">
        <v>627</v>
      </c>
    </row>
    <row r="51" spans="2:6" ht="15.8" customHeight="1">
      <c r="B51" s="381"/>
      <c r="C51" s="133" t="s">
        <v>634</v>
      </c>
      <c r="D51" s="140">
        <f>Vout_cv</f>
        <v>15</v>
      </c>
      <c r="E51" s="373" t="str">
        <f>CALCULATIONS!D16</f>
        <v>V</v>
      </c>
      <c r="F51" s="374"/>
    </row>
    <row r="52" spans="2:6" ht="15.8" customHeight="1">
      <c r="B52" s="381"/>
      <c r="C52" s="133" t="s">
        <v>657</v>
      </c>
      <c r="D52" s="140">
        <f>Icout_rms</f>
        <v>7.286124228546309</v>
      </c>
      <c r="E52" s="373" t="str">
        <f>CALCULATIONS!D155</f>
        <v>A</v>
      </c>
      <c r="F52" s="374"/>
    </row>
    <row r="53" spans="2:6" ht="15.8" customHeight="1" thickBot="1">
      <c r="B53" s="382"/>
      <c r="C53" s="136" t="s">
        <v>658</v>
      </c>
      <c r="D53" s="138">
        <f>ESRrcmd</f>
        <v>18.111254851228978</v>
      </c>
      <c r="E53" s="371" t="str">
        <f>CALCULATIONS!D156</f>
        <v>mΩ</v>
      </c>
      <c r="F53" s="372"/>
    </row>
    <row r="54" spans="2:6" ht="15.8" customHeight="1" thickBot="1">
      <c r="B54" s="383"/>
      <c r="C54" s="384"/>
      <c r="D54" s="384"/>
      <c r="E54" s="384"/>
      <c r="F54" s="385"/>
    </row>
    <row r="55" spans="2:6" ht="15.8" customHeight="1">
      <c r="B55" s="380" t="s">
        <v>672</v>
      </c>
      <c r="C55" s="166" t="s">
        <v>630</v>
      </c>
      <c r="D55" s="386" t="s">
        <v>700</v>
      </c>
      <c r="E55" s="387"/>
      <c r="F55" s="388"/>
    </row>
    <row r="56" spans="2:6" ht="15.8" customHeight="1">
      <c r="B56" s="381"/>
      <c r="C56" s="133" t="s">
        <v>638</v>
      </c>
      <c r="D56" s="134">
        <v>1</v>
      </c>
      <c r="E56" s="134" t="s">
        <v>23</v>
      </c>
      <c r="F56" s="167" t="s">
        <v>669</v>
      </c>
    </row>
    <row r="57" spans="2:6" ht="15.8" customHeight="1" thickBot="1">
      <c r="B57" s="382"/>
      <c r="C57" s="136" t="s">
        <v>634</v>
      </c>
      <c r="D57" s="151">
        <v>10</v>
      </c>
      <c r="E57" s="371" t="s">
        <v>10</v>
      </c>
      <c r="F57" s="372"/>
    </row>
    <row r="58" spans="2:6" ht="15.8" customHeight="1" thickBot="1">
      <c r="B58" s="383"/>
      <c r="C58" s="384"/>
      <c r="D58" s="384"/>
      <c r="E58" s="384"/>
      <c r="F58" s="385"/>
    </row>
    <row r="59" spans="2:6" ht="15.8" customHeight="1">
      <c r="B59" s="380" t="s">
        <v>667</v>
      </c>
      <c r="C59" s="166" t="s">
        <v>630</v>
      </c>
      <c r="D59" s="386" t="s">
        <v>700</v>
      </c>
      <c r="E59" s="387"/>
      <c r="F59" s="388"/>
    </row>
    <row r="60" spans="2:6" ht="15.8" customHeight="1">
      <c r="B60" s="381"/>
      <c r="C60" s="133" t="s">
        <v>656</v>
      </c>
      <c r="D60" s="169">
        <f>Cvdd_rcmd</f>
        <v>22</v>
      </c>
      <c r="E60" s="170" t="str">
        <f>CALCULATIONS!D209</f>
        <v>µF</v>
      </c>
      <c r="F60" s="167" t="s">
        <v>669</v>
      </c>
    </row>
    <row r="61" spans="2:6" ht="15.8" customHeight="1" thickBot="1">
      <c r="B61" s="382"/>
      <c r="C61" s="136" t="s">
        <v>668</v>
      </c>
      <c r="D61" s="168">
        <v>50</v>
      </c>
      <c r="E61" s="371" t="s">
        <v>10</v>
      </c>
      <c r="F61" s="372"/>
    </row>
    <row r="62" spans="2:6" ht="15.8" customHeight="1" thickBot="1">
      <c r="B62" s="383"/>
      <c r="C62" s="384"/>
      <c r="D62" s="384"/>
      <c r="E62" s="384"/>
      <c r="F62" s="385"/>
    </row>
    <row r="63" spans="2:6" ht="15.8" customHeight="1">
      <c r="B63" s="380" t="s">
        <v>673</v>
      </c>
      <c r="C63" s="166" t="s">
        <v>630</v>
      </c>
      <c r="D63" s="386" t="s">
        <v>700</v>
      </c>
      <c r="E63" s="387"/>
      <c r="F63" s="388"/>
    </row>
    <row r="64" spans="2:6" ht="15.8" customHeight="1">
      <c r="B64" s="381"/>
      <c r="C64" s="133" t="s">
        <v>638</v>
      </c>
      <c r="D64" s="134">
        <f>Cz_actual</f>
        <v>680</v>
      </c>
      <c r="E64" s="134" t="str">
        <f>CALCULATIONS!D251</f>
        <v>pF</v>
      </c>
      <c r="F64" s="167" t="s">
        <v>669</v>
      </c>
    </row>
    <row r="65" spans="2:6" ht="15.8" customHeight="1" thickBot="1">
      <c r="B65" s="382"/>
      <c r="C65" s="136" t="s">
        <v>668</v>
      </c>
      <c r="D65" s="151">
        <v>10</v>
      </c>
      <c r="E65" s="151" t="s">
        <v>10</v>
      </c>
      <c r="F65" s="154"/>
    </row>
    <row r="66" spans="2:6" ht="15.8" customHeight="1" thickBot="1">
      <c r="B66" s="383"/>
      <c r="C66" s="384"/>
      <c r="D66" s="384"/>
      <c r="E66" s="384"/>
      <c r="F66" s="385"/>
    </row>
    <row r="67" spans="2:6" ht="15.8" customHeight="1">
      <c r="B67" s="380" t="s">
        <v>659</v>
      </c>
      <c r="C67" s="135" t="s">
        <v>630</v>
      </c>
      <c r="D67" s="396" t="s">
        <v>698</v>
      </c>
      <c r="E67" s="396"/>
      <c r="F67" s="397"/>
    </row>
    <row r="68" spans="2:6" ht="15.8" customHeight="1">
      <c r="B68" s="381"/>
      <c r="C68" s="133" t="s">
        <v>660</v>
      </c>
      <c r="D68" s="140">
        <f>VDbias_blocking</f>
        <v>37.5</v>
      </c>
      <c r="E68" s="373" t="str">
        <f>CALCULATIONS!D143</f>
        <v>V</v>
      </c>
      <c r="F68" s="374"/>
    </row>
    <row r="69" spans="2:6" ht="15.8" customHeight="1" thickBot="1">
      <c r="B69" s="382"/>
      <c r="C69" s="136" t="s">
        <v>661</v>
      </c>
      <c r="D69" s="151">
        <v>250</v>
      </c>
      <c r="E69" s="371" t="s">
        <v>36</v>
      </c>
      <c r="F69" s="372"/>
    </row>
    <row r="70" spans="2:6" ht="15.8" customHeight="1" thickBot="1">
      <c r="B70" s="383"/>
      <c r="C70" s="384"/>
      <c r="D70" s="384"/>
      <c r="E70" s="384"/>
      <c r="F70" s="385"/>
    </row>
    <row r="71" spans="2:6" ht="15.8" customHeight="1">
      <c r="B71" s="380" t="s">
        <v>674</v>
      </c>
      <c r="C71" s="135" t="s">
        <v>630</v>
      </c>
      <c r="D71" s="145" t="s">
        <v>676</v>
      </c>
      <c r="E71" s="144"/>
      <c r="F71" s="139"/>
    </row>
    <row r="72" spans="2:6" ht="15.8" customHeight="1">
      <c r="B72" s="381"/>
      <c r="C72" s="133" t="s">
        <v>675</v>
      </c>
      <c r="D72" s="140">
        <f>Vdrain_clamp</f>
        <v>67.7</v>
      </c>
      <c r="E72" s="373" t="str">
        <f>CALCULATIONS!D133</f>
        <v>V</v>
      </c>
      <c r="F72" s="374"/>
    </row>
    <row r="73" spans="2:6" ht="15.8" customHeight="1" thickBot="1">
      <c r="B73" s="382"/>
      <c r="C73" s="136" t="s">
        <v>663</v>
      </c>
      <c r="D73" s="138">
        <v>600</v>
      </c>
      <c r="E73" s="371" t="s">
        <v>13</v>
      </c>
      <c r="F73" s="372"/>
    </row>
    <row r="74" spans="2:6" ht="15.8" customHeight="1" thickBot="1">
      <c r="B74" s="383"/>
      <c r="C74" s="384"/>
      <c r="D74" s="384"/>
      <c r="E74" s="384"/>
      <c r="F74" s="385"/>
    </row>
    <row r="75" spans="2:6" ht="15.8" customHeight="1">
      <c r="B75" s="380" t="s">
        <v>682</v>
      </c>
      <c r="C75" s="135" t="s">
        <v>630</v>
      </c>
      <c r="D75" s="398" t="s">
        <v>697</v>
      </c>
      <c r="E75" s="398"/>
      <c r="F75" s="399"/>
    </row>
    <row r="76" spans="2:6" ht="15.8" customHeight="1">
      <c r="B76" s="381"/>
      <c r="C76" s="133" t="s">
        <v>654</v>
      </c>
      <c r="D76" s="140">
        <f>Vdout_blocking</f>
        <v>98.5625</v>
      </c>
      <c r="E76" s="373" t="str">
        <f>CALCULATIONS!D137</f>
        <v>V</v>
      </c>
      <c r="F76" s="374"/>
    </row>
    <row r="77" spans="2:6" ht="15.8" customHeight="1">
      <c r="B77" s="381"/>
      <c r="C77" s="133" t="s">
        <v>655</v>
      </c>
      <c r="D77" s="140">
        <f>Idout</f>
        <v>8.3127608649159956</v>
      </c>
      <c r="E77" s="373" t="str">
        <f>CALCULATIONS!D138</f>
        <v>A</v>
      </c>
      <c r="F77" s="374"/>
    </row>
    <row r="78" spans="2:6" ht="15.8" customHeight="1" thickBot="1">
      <c r="B78" s="382"/>
      <c r="C78" s="136" t="s">
        <v>637</v>
      </c>
      <c r="D78" s="138">
        <f>Pdout</f>
        <v>2.3466071428571431</v>
      </c>
      <c r="E78" s="371" t="str">
        <f>CALCULATIONS!D139</f>
        <v>W</v>
      </c>
      <c r="F78" s="372"/>
    </row>
    <row r="79" spans="2:6" ht="15.8" customHeight="1" thickBot="1">
      <c r="B79" s="383"/>
      <c r="C79" s="384"/>
      <c r="D79" s="384"/>
      <c r="E79" s="384"/>
      <c r="F79" s="385"/>
    </row>
    <row r="80" spans="2:6" ht="15.8" customHeight="1">
      <c r="B80" s="380" t="s">
        <v>677</v>
      </c>
      <c r="C80" s="135" t="s">
        <v>630</v>
      </c>
      <c r="D80" s="386" t="s">
        <v>678</v>
      </c>
      <c r="E80" s="387"/>
      <c r="F80" s="388"/>
    </row>
    <row r="81" spans="2:6" ht="15.8" customHeight="1">
      <c r="B81" s="381"/>
      <c r="C81" s="133" t="s">
        <v>668</v>
      </c>
      <c r="D81" s="134">
        <v>1000</v>
      </c>
      <c r="E81" s="373" t="s">
        <v>10</v>
      </c>
      <c r="F81" s="374"/>
    </row>
    <row r="82" spans="2:6" ht="14.95" customHeight="1" thickBot="1">
      <c r="B82" s="382"/>
      <c r="C82" s="136" t="s">
        <v>679</v>
      </c>
      <c r="D82" s="151">
        <v>1</v>
      </c>
      <c r="E82" s="371" t="s">
        <v>12</v>
      </c>
      <c r="F82" s="372"/>
    </row>
    <row r="83" spans="2:6" ht="15.8" customHeight="1" thickBot="1">
      <c r="B83" s="383"/>
      <c r="C83" s="384"/>
      <c r="D83" s="384"/>
      <c r="E83" s="384"/>
      <c r="F83" s="385"/>
    </row>
    <row r="84" spans="2:6" ht="18.7" customHeight="1">
      <c r="B84" s="380" t="s">
        <v>626</v>
      </c>
      <c r="C84" s="135" t="s">
        <v>630</v>
      </c>
      <c r="D84" s="377" t="s">
        <v>650</v>
      </c>
      <c r="E84" s="378"/>
      <c r="F84" s="379"/>
    </row>
    <row r="85" spans="2:6">
      <c r="B85" s="381"/>
      <c r="C85" s="133" t="s">
        <v>634</v>
      </c>
      <c r="D85" s="134">
        <f>CALCULATIONS!C44</f>
        <v>50</v>
      </c>
      <c r="E85" s="373" t="str">
        <f>CALCULATIONS!D44</f>
        <v>VDC</v>
      </c>
      <c r="F85" s="374"/>
    </row>
    <row r="86" spans="2:6" ht="16.3" thickBot="1">
      <c r="B86" s="382"/>
      <c r="C86" s="136" t="s">
        <v>728</v>
      </c>
      <c r="D86" s="138">
        <f>Iin_peak</f>
        <v>12.890025575447572</v>
      </c>
      <c r="E86" s="371" t="str">
        <f>CALCULATIONS!D45</f>
        <v>A</v>
      </c>
      <c r="F86" s="372"/>
    </row>
    <row r="87" spans="2:6" ht="16.3" thickBot="1">
      <c r="B87" s="383"/>
      <c r="C87" s="384"/>
      <c r="D87" s="384"/>
      <c r="E87" s="384"/>
      <c r="F87" s="385"/>
    </row>
    <row r="88" spans="2:6" ht="19.05" thickBot="1">
      <c r="B88" s="159" t="s">
        <v>680</v>
      </c>
      <c r="C88" s="160" t="s">
        <v>683</v>
      </c>
      <c r="D88" s="161">
        <f>CTRmin</f>
        <v>50</v>
      </c>
      <c r="E88" s="400" t="str">
        <f>CALCULATIONS!D226</f>
        <v>%</v>
      </c>
      <c r="F88" s="401"/>
    </row>
    <row r="89" spans="2:6" ht="16.3" thickBot="1">
      <c r="B89" s="383"/>
      <c r="C89" s="384"/>
      <c r="D89" s="384"/>
      <c r="E89" s="384"/>
      <c r="F89" s="385"/>
    </row>
    <row r="90" spans="2:6" ht="18.350000000000001">
      <c r="B90" s="380" t="s">
        <v>649</v>
      </c>
      <c r="C90" s="135" t="s">
        <v>651</v>
      </c>
      <c r="D90" s="137">
        <f>Vds</f>
        <v>150</v>
      </c>
      <c r="E90" s="386" t="str">
        <f>CALCULATIONS!D118</f>
        <v>V</v>
      </c>
      <c r="F90" s="388"/>
    </row>
    <row r="91" spans="2:6">
      <c r="B91" s="381"/>
      <c r="C91" s="133" t="s">
        <v>652</v>
      </c>
      <c r="D91" s="140">
        <f>Idrain</f>
        <v>61.235952502597051</v>
      </c>
      <c r="E91" s="373" t="str">
        <f>CALCULATIONS!D128</f>
        <v>A</v>
      </c>
      <c r="F91" s="374"/>
    </row>
    <row r="92" spans="2:6">
      <c r="B92" s="381"/>
      <c r="C92" s="133" t="s">
        <v>653</v>
      </c>
      <c r="D92" s="140">
        <f>Ipulsed</f>
        <v>146.10389610389609</v>
      </c>
      <c r="E92" s="373" t="str">
        <f>CALCULATIONS!D129</f>
        <v>A</v>
      </c>
      <c r="F92" s="374"/>
    </row>
    <row r="93" spans="2:6" ht="16.3" thickBot="1">
      <c r="B93" s="382"/>
      <c r="C93" s="136" t="s">
        <v>637</v>
      </c>
      <c r="D93" s="138">
        <f>Pfet</f>
        <v>28.352689294297988</v>
      </c>
      <c r="E93" s="371" t="str">
        <f>CALCULATIONS!D132</f>
        <v>W</v>
      </c>
      <c r="F93" s="372"/>
    </row>
    <row r="94" spans="2:6" ht="16.3" thickBot="1">
      <c r="B94" s="383"/>
      <c r="C94" s="384"/>
      <c r="D94" s="384"/>
      <c r="E94" s="384"/>
      <c r="F94" s="385"/>
    </row>
    <row r="95" spans="2:6">
      <c r="B95" s="380" t="s">
        <v>647</v>
      </c>
      <c r="C95" s="135" t="s">
        <v>638</v>
      </c>
      <c r="D95" s="149">
        <f>Rcs</f>
        <v>5.6000000000000001E-2</v>
      </c>
      <c r="E95" s="137" t="str">
        <f>CALCULATIONS!D76</f>
        <v>Ω</v>
      </c>
      <c r="F95" s="141" t="s">
        <v>664</v>
      </c>
    </row>
    <row r="96" spans="2:6">
      <c r="B96" s="381"/>
      <c r="C96" s="133" t="s">
        <v>637</v>
      </c>
      <c r="D96" s="140">
        <f>P_Rcs</f>
        <v>1874.3915654761915</v>
      </c>
      <c r="E96" s="373" t="str">
        <f>CALCULATIONS!D77</f>
        <v>mW</v>
      </c>
      <c r="F96" s="374"/>
    </row>
    <row r="97" spans="2:6" ht="16.3" thickBot="1">
      <c r="B97" s="382"/>
      <c r="C97" s="136" t="s">
        <v>630</v>
      </c>
      <c r="D97" s="391" t="s">
        <v>648</v>
      </c>
      <c r="E97" s="392"/>
      <c r="F97" s="393"/>
    </row>
    <row r="98" spans="2:6" ht="16.3" thickBot="1">
      <c r="B98" s="383"/>
      <c r="C98" s="384"/>
      <c r="D98" s="384"/>
      <c r="E98" s="384"/>
      <c r="F98" s="385"/>
    </row>
    <row r="99" spans="2:6" ht="14.95" customHeight="1">
      <c r="B99" s="394" t="s">
        <v>689</v>
      </c>
      <c r="C99" s="135" t="s">
        <v>638</v>
      </c>
      <c r="D99" s="137">
        <f>Rfb1_actual</f>
        <v>226</v>
      </c>
      <c r="E99" s="137" t="str">
        <f>CALCULATIONS!D223</f>
        <v>kΩ</v>
      </c>
      <c r="F99" s="141" t="s">
        <v>664</v>
      </c>
    </row>
    <row r="100" spans="2:6" ht="15.8" customHeight="1" thickBot="1">
      <c r="B100" s="395"/>
      <c r="C100" s="136" t="s">
        <v>663</v>
      </c>
      <c r="D100" s="162">
        <v>0.1</v>
      </c>
      <c r="E100" s="389" t="s">
        <v>13</v>
      </c>
      <c r="F100" s="390"/>
    </row>
    <row r="101" spans="2:6" ht="16.3" thickBot="1">
      <c r="B101" s="383"/>
      <c r="C101" s="384"/>
      <c r="D101" s="384"/>
      <c r="E101" s="384"/>
      <c r="F101" s="385"/>
    </row>
    <row r="102" spans="2:6">
      <c r="B102" s="380" t="s">
        <v>690</v>
      </c>
      <c r="C102" s="135" t="s">
        <v>638</v>
      </c>
      <c r="D102" s="163">
        <f>R_fb2</f>
        <v>44.2</v>
      </c>
      <c r="E102" s="164" t="str">
        <f>CALCULATIONS!D218</f>
        <v>kΩ</v>
      </c>
      <c r="F102" s="141" t="s">
        <v>664</v>
      </c>
    </row>
    <row r="103" spans="2:6" ht="16.3" thickBot="1">
      <c r="B103" s="382"/>
      <c r="C103" s="136" t="s">
        <v>663</v>
      </c>
      <c r="D103" s="162">
        <v>0.1</v>
      </c>
      <c r="E103" s="371" t="s">
        <v>13</v>
      </c>
      <c r="F103" s="372"/>
    </row>
    <row r="104" spans="2:6" ht="16.3" thickBot="1">
      <c r="B104" s="383"/>
      <c r="C104" s="384"/>
      <c r="D104" s="384"/>
      <c r="E104" s="384"/>
      <c r="F104" s="385"/>
    </row>
    <row r="105" spans="2:6">
      <c r="B105" s="380" t="s">
        <v>691</v>
      </c>
      <c r="C105" s="135" t="s">
        <v>638</v>
      </c>
      <c r="D105" s="163">
        <v>100</v>
      </c>
      <c r="E105" s="164" t="str">
        <f>CALCULATIONS!D221</f>
        <v>kΩ</v>
      </c>
      <c r="F105" s="141" t="s">
        <v>664</v>
      </c>
    </row>
    <row r="106" spans="2:6" ht="16.3" thickBot="1">
      <c r="B106" s="382"/>
      <c r="C106" s="136" t="s">
        <v>663</v>
      </c>
      <c r="D106" s="162">
        <v>0.1</v>
      </c>
      <c r="E106" s="371" t="s">
        <v>13</v>
      </c>
      <c r="F106" s="372"/>
    </row>
    <row r="107" spans="2:6" ht="16.3" thickBot="1">
      <c r="B107" s="383"/>
      <c r="C107" s="384"/>
      <c r="D107" s="384"/>
      <c r="E107" s="384"/>
      <c r="F107" s="385"/>
    </row>
    <row r="108" spans="2:6" ht="16.3">
      <c r="B108" s="380" t="s">
        <v>692</v>
      </c>
      <c r="C108" s="135" t="s">
        <v>638</v>
      </c>
      <c r="D108" s="163">
        <f>R_fb4</f>
        <v>22</v>
      </c>
      <c r="E108" s="164" t="s">
        <v>694</v>
      </c>
      <c r="F108" s="141" t="s">
        <v>664</v>
      </c>
    </row>
    <row r="109" spans="2:6" ht="16.3" thickBot="1">
      <c r="B109" s="382"/>
      <c r="C109" s="136" t="s">
        <v>663</v>
      </c>
      <c r="D109" s="162">
        <v>0.1</v>
      </c>
      <c r="E109" s="371" t="s">
        <v>13</v>
      </c>
      <c r="F109" s="372"/>
    </row>
    <row r="110" spans="2:6" ht="16.3" thickBot="1">
      <c r="B110" s="383"/>
      <c r="C110" s="384"/>
      <c r="D110" s="384"/>
      <c r="E110" s="384"/>
      <c r="F110" s="385"/>
    </row>
    <row r="111" spans="2:6" ht="16.3">
      <c r="B111" s="404" t="s">
        <v>684</v>
      </c>
      <c r="C111" s="135" t="s">
        <v>638</v>
      </c>
      <c r="D111" s="146">
        <f>Rinj</f>
        <v>20</v>
      </c>
      <c r="E111" s="158" t="s">
        <v>48</v>
      </c>
      <c r="F111" s="141" t="s">
        <v>664</v>
      </c>
    </row>
    <row r="112" spans="2:6" ht="16.3" thickBot="1">
      <c r="B112" s="405"/>
      <c r="C112" s="136" t="s">
        <v>663</v>
      </c>
      <c r="D112" s="162">
        <v>0.1</v>
      </c>
      <c r="E112" s="371" t="s">
        <v>13</v>
      </c>
      <c r="F112" s="372"/>
    </row>
    <row r="113" spans="2:6" ht="16.3" thickBot="1">
      <c r="B113" s="383"/>
      <c r="C113" s="384"/>
      <c r="D113" s="384"/>
      <c r="E113" s="384"/>
      <c r="F113" s="385"/>
    </row>
    <row r="114" spans="2:6">
      <c r="B114" s="394" t="s">
        <v>666</v>
      </c>
      <c r="C114" s="135" t="s">
        <v>638</v>
      </c>
      <c r="D114" s="146">
        <f>Rlc</f>
        <v>0.47</v>
      </c>
      <c r="E114" s="146" t="str">
        <f>CALCULATIONS!D196</f>
        <v>kΩ</v>
      </c>
      <c r="F114" s="141" t="s">
        <v>664</v>
      </c>
    </row>
    <row r="115" spans="2:6" ht="16.3" thickBot="1">
      <c r="B115" s="395"/>
      <c r="C115" s="136" t="s">
        <v>663</v>
      </c>
      <c r="D115" s="162">
        <v>0.1</v>
      </c>
      <c r="E115" s="371" t="s">
        <v>13</v>
      </c>
      <c r="F115" s="372"/>
    </row>
    <row r="116" spans="2:6" ht="16.3" thickBot="1">
      <c r="B116" s="383"/>
      <c r="C116" s="384"/>
      <c r="D116" s="384"/>
      <c r="E116" s="384"/>
      <c r="F116" s="385"/>
    </row>
    <row r="117" spans="2:6" ht="16.3">
      <c r="B117" s="394" t="s">
        <v>693</v>
      </c>
      <c r="C117" s="135" t="s">
        <v>638</v>
      </c>
      <c r="D117" s="146">
        <v>1</v>
      </c>
      <c r="E117" s="146" t="s">
        <v>694</v>
      </c>
      <c r="F117" s="141" t="s">
        <v>664</v>
      </c>
    </row>
    <row r="118" spans="2:6" ht="16.3" thickBot="1">
      <c r="B118" s="395"/>
      <c r="C118" s="136" t="s">
        <v>663</v>
      </c>
      <c r="D118" s="162">
        <v>0.1</v>
      </c>
      <c r="E118" s="371" t="s">
        <v>13</v>
      </c>
      <c r="F118" s="372"/>
    </row>
    <row r="119" spans="2:6" ht="16.3" thickBot="1">
      <c r="B119" s="383"/>
      <c r="C119" s="384"/>
      <c r="D119" s="384"/>
      <c r="E119" s="384"/>
      <c r="F119" s="385"/>
    </row>
    <row r="120" spans="2:6">
      <c r="B120" s="394" t="s">
        <v>695</v>
      </c>
      <c r="C120" s="135" t="s">
        <v>638</v>
      </c>
      <c r="D120" s="146">
        <f>R_tl</f>
        <v>1.5</v>
      </c>
      <c r="E120" s="146" t="str">
        <f>CALCULATIONS!D249</f>
        <v>kΩ</v>
      </c>
      <c r="F120" s="141" t="s">
        <v>664</v>
      </c>
    </row>
    <row r="121" spans="2:6" ht="16.3" thickBot="1">
      <c r="B121" s="395"/>
      <c r="C121" s="136" t="s">
        <v>663</v>
      </c>
      <c r="D121" s="162">
        <v>0.1</v>
      </c>
      <c r="E121" s="371" t="s">
        <v>13</v>
      </c>
      <c r="F121" s="372"/>
    </row>
    <row r="122" spans="2:6" ht="16.3" thickBot="1">
      <c r="B122" s="383"/>
      <c r="C122" s="384"/>
      <c r="D122" s="384"/>
      <c r="E122" s="384"/>
      <c r="F122" s="385"/>
    </row>
    <row r="123" spans="2:6" ht="16.3">
      <c r="B123" s="380" t="s">
        <v>685</v>
      </c>
      <c r="C123" s="135" t="s">
        <v>638</v>
      </c>
      <c r="D123" s="155" t="s">
        <v>686</v>
      </c>
      <c r="E123" s="156" t="s">
        <v>48</v>
      </c>
      <c r="F123" s="402" t="s">
        <v>687</v>
      </c>
    </row>
    <row r="124" spans="2:6" ht="16.3" thickBot="1">
      <c r="B124" s="382"/>
      <c r="C124" s="136" t="s">
        <v>663</v>
      </c>
      <c r="D124" s="157" t="s">
        <v>688</v>
      </c>
      <c r="E124" s="150" t="s">
        <v>13</v>
      </c>
      <c r="F124" s="403"/>
    </row>
    <row r="125" spans="2:6" ht="16.3" thickBot="1">
      <c r="B125" s="383"/>
      <c r="C125" s="384"/>
      <c r="D125" s="384"/>
      <c r="E125" s="384"/>
      <c r="F125" s="385"/>
    </row>
    <row r="126" spans="2:6">
      <c r="B126" s="380" t="s">
        <v>662</v>
      </c>
      <c r="C126" s="135" t="s">
        <v>638</v>
      </c>
      <c r="D126" s="137">
        <f>R_vs1</f>
        <v>27</v>
      </c>
      <c r="E126" s="137" t="str">
        <f>CALCULATIONS!D172</f>
        <v>kΩ</v>
      </c>
      <c r="F126" s="141" t="s">
        <v>664</v>
      </c>
    </row>
    <row r="127" spans="2:6" ht="16.3" thickBot="1">
      <c r="B127" s="382"/>
      <c r="C127" s="136" t="s">
        <v>663</v>
      </c>
      <c r="D127" s="162">
        <v>0.1</v>
      </c>
      <c r="E127" s="371" t="s">
        <v>13</v>
      </c>
      <c r="F127" s="372"/>
    </row>
    <row r="128" spans="2:6" ht="16.3" thickBot="1">
      <c r="B128" s="383"/>
      <c r="C128" s="384"/>
      <c r="D128" s="384"/>
      <c r="E128" s="384"/>
      <c r="F128" s="385"/>
    </row>
    <row r="129" spans="2:6">
      <c r="B129" s="394" t="s">
        <v>665</v>
      </c>
      <c r="C129" s="135" t="s">
        <v>638</v>
      </c>
      <c r="D129" s="137">
        <f>R_vs2</f>
        <v>12.7</v>
      </c>
      <c r="E129" s="137" t="str">
        <f>CALCULATIONS!D186</f>
        <v>kΩ</v>
      </c>
      <c r="F129" s="141" t="s">
        <v>664</v>
      </c>
    </row>
    <row r="130" spans="2:6" ht="16.3" thickBot="1">
      <c r="B130" s="395"/>
      <c r="C130" s="136" t="s">
        <v>663</v>
      </c>
      <c r="D130" s="162">
        <v>0.1</v>
      </c>
      <c r="E130" s="371" t="s">
        <v>13</v>
      </c>
      <c r="F130" s="372"/>
    </row>
    <row r="131" spans="2:6" ht="16.3" thickBot="1">
      <c r="B131" s="383"/>
      <c r="C131" s="384"/>
      <c r="D131" s="384"/>
      <c r="E131" s="384"/>
      <c r="F131" s="385"/>
    </row>
    <row r="132" spans="2:6" ht="16.3" thickBot="1">
      <c r="B132" s="153" t="s">
        <v>681</v>
      </c>
      <c r="C132" s="161" t="s">
        <v>696</v>
      </c>
      <c r="D132" s="161">
        <f>Vref431</f>
        <v>2.4950000000000001</v>
      </c>
      <c r="E132" s="161" t="str">
        <f>CALCULATIONS!D212</f>
        <v>V</v>
      </c>
      <c r="F132" s="165"/>
    </row>
    <row r="133" spans="2:6" ht="16.3" thickBot="1">
      <c r="B133" s="383"/>
      <c r="C133" s="384"/>
      <c r="D133" s="384"/>
      <c r="E133" s="384"/>
      <c r="F133" s="385"/>
    </row>
    <row r="134" spans="2:6" ht="14.95" customHeight="1">
      <c r="B134" s="380" t="s">
        <v>633</v>
      </c>
      <c r="C134" s="135" t="s">
        <v>639</v>
      </c>
      <c r="D134" s="137">
        <f>Lp</f>
        <v>20</v>
      </c>
      <c r="E134" s="386" t="str">
        <f>CALCULATIONS!D94</f>
        <v>µH</v>
      </c>
      <c r="F134" s="388"/>
    </row>
    <row r="135" spans="2:6" ht="18.350000000000001">
      <c r="B135" s="381"/>
      <c r="C135" s="133" t="s">
        <v>640</v>
      </c>
      <c r="D135" s="140">
        <f>Nps</f>
        <v>1.6</v>
      </c>
      <c r="E135" s="134"/>
      <c r="F135" s="152" t="s">
        <v>631</v>
      </c>
    </row>
    <row r="136" spans="2:6" ht="18.7" customHeight="1">
      <c r="B136" s="381"/>
      <c r="C136" s="133" t="s">
        <v>641</v>
      </c>
      <c r="D136" s="140">
        <f>Npa</f>
        <v>2.6</v>
      </c>
      <c r="E136" s="147"/>
      <c r="F136" s="152" t="s">
        <v>632</v>
      </c>
    </row>
    <row r="137" spans="2:6">
      <c r="B137" s="381"/>
      <c r="C137" s="133" t="s">
        <v>642</v>
      </c>
      <c r="D137" s="140">
        <f>Ipp_nom</f>
        <v>13.803571428571429</v>
      </c>
      <c r="E137" s="373" t="str">
        <f>CALCULATIONS!D82</f>
        <v>A</v>
      </c>
      <c r="F137" s="374"/>
    </row>
    <row r="138" spans="2:6">
      <c r="B138" s="381"/>
      <c r="C138" s="148" t="s">
        <v>643</v>
      </c>
      <c r="D138" s="140">
        <f>Ipri_RMS</f>
        <v>5.7854367125509194</v>
      </c>
      <c r="E138" s="373" t="str">
        <f>CALCULATIONS!D100</f>
        <v>A</v>
      </c>
      <c r="F138" s="374"/>
    </row>
    <row r="139" spans="2:6">
      <c r="B139" s="381"/>
      <c r="C139" s="133" t="s">
        <v>644</v>
      </c>
      <c r="D139" s="140">
        <f>Isp_max</f>
        <v>22.085714285714289</v>
      </c>
      <c r="E139" s="373" t="str">
        <f>CALCULATIONS!D101</f>
        <v>A</v>
      </c>
      <c r="F139" s="374"/>
    </row>
    <row r="140" spans="2:6">
      <c r="B140" s="381"/>
      <c r="C140" s="133" t="s">
        <v>645</v>
      </c>
      <c r="D140" s="140">
        <f>Isec_rms</f>
        <v>8.3127608649159956</v>
      </c>
      <c r="E140" s="373" t="str">
        <f>CALCULATIONS!D102</f>
        <v>A</v>
      </c>
      <c r="F140" s="374"/>
    </row>
    <row r="141" spans="2:6" ht="15.8" customHeight="1" thickBot="1">
      <c r="B141" s="382"/>
      <c r="C141" s="136" t="s">
        <v>646</v>
      </c>
      <c r="D141" s="138">
        <f>fmax</f>
        <v>38.178525226390697</v>
      </c>
      <c r="E141" s="389" t="str">
        <f>CALCULATIONS!D95</f>
        <v>kHz</v>
      </c>
      <c r="F141" s="390"/>
    </row>
    <row r="142" spans="2:6" ht="15.8" customHeight="1"/>
    <row r="143" spans="2:6" ht="18.7" customHeight="1"/>
    <row r="144" spans="2:6" ht="18.7" customHeight="1"/>
    <row r="146" ht="18.7" customHeight="1"/>
  </sheetData>
  <sheetProtection password="EFDD" sheet="1" objects="1" scenarios="1"/>
  <mergeCells count="116">
    <mergeCell ref="D41:F41"/>
    <mergeCell ref="D45:F45"/>
    <mergeCell ref="B133:F133"/>
    <mergeCell ref="B131:F131"/>
    <mergeCell ref="B128:F128"/>
    <mergeCell ref="B125:F125"/>
    <mergeCell ref="B122:F122"/>
    <mergeCell ref="B119:F119"/>
    <mergeCell ref="B116:F116"/>
    <mergeCell ref="B113:F113"/>
    <mergeCell ref="B110:F110"/>
    <mergeCell ref="B107:F107"/>
    <mergeCell ref="B104:F104"/>
    <mergeCell ref="B101:F101"/>
    <mergeCell ref="B98:F98"/>
    <mergeCell ref="B108:B109"/>
    <mergeCell ref="E109:F109"/>
    <mergeCell ref="E118:F118"/>
    <mergeCell ref="B48:F48"/>
    <mergeCell ref="B44:F44"/>
    <mergeCell ref="D49:F49"/>
    <mergeCell ref="B49:B53"/>
    <mergeCell ref="D55:F55"/>
    <mergeCell ref="D59:F59"/>
    <mergeCell ref="E43:F43"/>
    <mergeCell ref="E47:F47"/>
    <mergeCell ref="B71:B73"/>
    <mergeCell ref="E72:F72"/>
    <mergeCell ref="E73:F73"/>
    <mergeCell ref="E51:F51"/>
    <mergeCell ref="B117:B118"/>
    <mergeCell ref="B120:B121"/>
    <mergeCell ref="E121:F121"/>
    <mergeCell ref="E100:F100"/>
    <mergeCell ref="B99:B100"/>
    <mergeCell ref="B102:B103"/>
    <mergeCell ref="E103:F103"/>
    <mergeCell ref="B105:B106"/>
    <mergeCell ref="E106:F106"/>
    <mergeCell ref="E112:F112"/>
    <mergeCell ref="B111:B112"/>
    <mergeCell ref="B94:F94"/>
    <mergeCell ref="B89:F89"/>
    <mergeCell ref="B87:F87"/>
    <mergeCell ref="B83:F83"/>
    <mergeCell ref="B79:F79"/>
    <mergeCell ref="B45:B47"/>
    <mergeCell ref="D63:F63"/>
    <mergeCell ref="E78:F78"/>
    <mergeCell ref="D75:F75"/>
    <mergeCell ref="B74:F74"/>
    <mergeCell ref="B70:F70"/>
    <mergeCell ref="E85:F85"/>
    <mergeCell ref="E88:F88"/>
    <mergeCell ref="F123:F124"/>
    <mergeCell ref="B123:B124"/>
    <mergeCell ref="E115:F115"/>
    <mergeCell ref="B114:B115"/>
    <mergeCell ref="E82:F82"/>
    <mergeCell ref="E52:F52"/>
    <mergeCell ref="E53:F53"/>
    <mergeCell ref="E68:F68"/>
    <mergeCell ref="E69:F69"/>
    <mergeCell ref="D67:F67"/>
    <mergeCell ref="B67:B69"/>
    <mergeCell ref="B66:F66"/>
    <mergeCell ref="E76:F76"/>
    <mergeCell ref="E77:F77"/>
    <mergeCell ref="E61:F61"/>
    <mergeCell ref="B63:B65"/>
    <mergeCell ref="B59:B61"/>
    <mergeCell ref="B55:B57"/>
    <mergeCell ref="B62:F62"/>
    <mergeCell ref="B58:F58"/>
    <mergeCell ref="B54:F54"/>
    <mergeCell ref="B134:B141"/>
    <mergeCell ref="E134:F134"/>
    <mergeCell ref="E141:F141"/>
    <mergeCell ref="E96:F96"/>
    <mergeCell ref="D97:F97"/>
    <mergeCell ref="B95:B97"/>
    <mergeCell ref="E90:F90"/>
    <mergeCell ref="E91:F91"/>
    <mergeCell ref="E92:F92"/>
    <mergeCell ref="E93:F93"/>
    <mergeCell ref="B90:B93"/>
    <mergeCell ref="E139:F139"/>
    <mergeCell ref="E140:F140"/>
    <mergeCell ref="B126:B127"/>
    <mergeCell ref="E127:F127"/>
    <mergeCell ref="E130:F130"/>
    <mergeCell ref="B129:B130"/>
    <mergeCell ref="B29:F29"/>
    <mergeCell ref="E57:F57"/>
    <mergeCell ref="E137:F137"/>
    <mergeCell ref="E138:F138"/>
    <mergeCell ref="C30:F30"/>
    <mergeCell ref="D84:F84"/>
    <mergeCell ref="B84:B86"/>
    <mergeCell ref="B32:B34"/>
    <mergeCell ref="B31:F31"/>
    <mergeCell ref="B80:B82"/>
    <mergeCell ref="B75:B78"/>
    <mergeCell ref="D36:F36"/>
    <mergeCell ref="B36:B39"/>
    <mergeCell ref="B41:B43"/>
    <mergeCell ref="E38:F38"/>
    <mergeCell ref="E39:F39"/>
    <mergeCell ref="E34:F34"/>
    <mergeCell ref="E33:F33"/>
    <mergeCell ref="E32:F32"/>
    <mergeCell ref="E86:F86"/>
    <mergeCell ref="B35:F35"/>
    <mergeCell ref="B40:F40"/>
    <mergeCell ref="D80:F80"/>
    <mergeCell ref="E81:F81"/>
  </mergeCells>
  <phoneticPr fontId="39" type="noConversion"/>
  <pageMargins left="0" right="0" top="0.74803149606299213" bottom="0.74803149606299213" header="0.31496062992125984" footer="0.31496062992125984"/>
  <pageSetup paperSize="8" orientation="portrait" r:id="rId1"/>
  <drawing r:id="rId2"/>
  <legacyDrawing r:id="rId3"/>
  <oleObjects>
    <mc:AlternateContent xmlns:mc="http://schemas.openxmlformats.org/markup-compatibility/2006">
      <mc:Choice Requires="x14">
        <oleObject progId="Visio.Drawing.11" shapeId="4101" r:id="rId4">
          <objectPr defaultSize="0" r:id="rId5">
            <anchor moveWithCells="1">
              <from>
                <xdr:col>1</xdr:col>
                <xdr:colOff>0</xdr:colOff>
                <xdr:row>1</xdr:row>
                <xdr:rowOff>0</xdr:rowOff>
              </from>
              <to>
                <xdr:col>7</xdr:col>
                <xdr:colOff>232913</xdr:colOff>
                <xdr:row>25</xdr:row>
                <xdr:rowOff>112143</xdr:rowOff>
              </to>
            </anchor>
          </objectPr>
        </oleObject>
      </mc:Choice>
      <mc:Fallback>
        <oleObject progId="Visio.Drawing.11" shapeId="4101"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257"/>
  <sheetViews>
    <sheetView topLeftCell="A84" zoomScale="73" zoomScaleNormal="100" workbookViewId="0">
      <selection activeCell="B109" sqref="B109"/>
    </sheetView>
  </sheetViews>
  <sheetFormatPr defaultColWidth="9.125" defaultRowHeight="13.6"/>
  <cols>
    <col min="1" max="1" width="65.125" style="2" customWidth="1"/>
    <col min="2" max="2" width="23.875" style="2" customWidth="1"/>
    <col min="3" max="3" width="19" style="2" bestFit="1" customWidth="1"/>
    <col min="4" max="4" width="9.125" style="2"/>
    <col min="5" max="5" width="38.75" style="2" customWidth="1"/>
    <col min="6" max="6" width="9.125" style="2"/>
    <col min="7" max="7" width="14.125" style="2" bestFit="1" customWidth="1"/>
    <col min="8" max="16384" width="9.125" style="2"/>
  </cols>
  <sheetData>
    <row r="1" spans="1:5" ht="27.2">
      <c r="A1" s="436" t="s">
        <v>9</v>
      </c>
      <c r="B1" s="436"/>
      <c r="C1" s="436"/>
      <c r="D1" s="436"/>
      <c r="E1" s="436"/>
    </row>
    <row r="2" spans="1:5" ht="45" customHeight="1" thickBot="1">
      <c r="A2" s="437" t="s">
        <v>57</v>
      </c>
      <c r="B2" s="437"/>
      <c r="C2" s="437"/>
      <c r="D2" s="437"/>
      <c r="E2" s="437"/>
    </row>
    <row r="3" spans="1:5" ht="18.7" customHeight="1">
      <c r="A3" s="433" t="s">
        <v>26</v>
      </c>
      <c r="B3" s="434"/>
      <c r="C3" s="434"/>
      <c r="D3" s="434"/>
      <c r="E3" s="435"/>
    </row>
    <row r="4" spans="1:5" ht="18.7" customHeight="1">
      <c r="A4" s="63" t="s">
        <v>111</v>
      </c>
      <c r="B4" s="107" t="s">
        <v>110</v>
      </c>
      <c r="C4" s="439" t="str">
        <f>Vin_type</f>
        <v>DC</v>
      </c>
      <c r="D4" s="439"/>
      <c r="E4" s="438" t="s">
        <v>97</v>
      </c>
    </row>
    <row r="5" spans="1:5" ht="18.7" customHeight="1">
      <c r="A5" s="63" t="s">
        <v>117</v>
      </c>
      <c r="B5" s="107" t="s">
        <v>393</v>
      </c>
      <c r="C5" s="64">
        <f>'START HERE'!C17</f>
        <v>22</v>
      </c>
      <c r="D5" s="64" t="str">
        <f>IF(Vin_type="AC","VAC","VDC")</f>
        <v>VDC</v>
      </c>
      <c r="E5" s="438"/>
    </row>
    <row r="6" spans="1:5" ht="18.7" customHeight="1">
      <c r="A6" s="63" t="s">
        <v>116</v>
      </c>
      <c r="B6" s="107" t="s">
        <v>394</v>
      </c>
      <c r="C6" s="64">
        <f>'START HERE'!C18</f>
        <v>50</v>
      </c>
      <c r="D6" s="64" t="str">
        <f>IF(Vin_type="AC","VAC","VDC")</f>
        <v>VDC</v>
      </c>
      <c r="E6" s="438"/>
    </row>
    <row r="7" spans="1:5" ht="18.7" customHeight="1">
      <c r="A7" s="63" t="s">
        <v>119</v>
      </c>
      <c r="B7" s="107" t="s">
        <v>395</v>
      </c>
      <c r="C7" s="64">
        <f>'START HERE'!C19</f>
        <v>36</v>
      </c>
      <c r="D7" s="64" t="str">
        <f>IF(Vin_type="AC","VAC","VDC")</f>
        <v>VDC</v>
      </c>
      <c r="E7" s="438"/>
    </row>
    <row r="8" spans="1:5" ht="18.7" customHeight="1">
      <c r="A8" s="63" t="s">
        <v>120</v>
      </c>
      <c r="B8" s="107" t="s">
        <v>396</v>
      </c>
      <c r="C8" s="64">
        <f>'START HERE'!C20</f>
        <v>0</v>
      </c>
      <c r="D8" s="64" t="s">
        <v>53</v>
      </c>
      <c r="E8" s="438"/>
    </row>
    <row r="9" spans="1:5" ht="18.7" customHeight="1">
      <c r="A9" s="63" t="s">
        <v>121</v>
      </c>
      <c r="B9" s="107" t="s">
        <v>397</v>
      </c>
      <c r="C9" s="64">
        <f>'START HERE'!C21</f>
        <v>20</v>
      </c>
      <c r="D9" s="64" t="str">
        <f>IF(Vin_type="AC","VAC","VDC")</f>
        <v>VDC</v>
      </c>
      <c r="E9" s="438"/>
    </row>
    <row r="10" spans="1:5" ht="18.7" customHeight="1">
      <c r="A10" s="22" t="s">
        <v>122</v>
      </c>
      <c r="B10" s="27" t="s">
        <v>123</v>
      </c>
      <c r="C10" s="23">
        <f>IF(Vin_type="AC",Vinput_min*SQRT(2),Vinput_min)</f>
        <v>22</v>
      </c>
      <c r="D10" s="425" t="s">
        <v>10</v>
      </c>
      <c r="E10" s="426"/>
    </row>
    <row r="11" spans="1:5" ht="18.7" customHeight="1">
      <c r="A11" s="4" t="s">
        <v>124</v>
      </c>
      <c r="B11" s="28" t="s">
        <v>125</v>
      </c>
      <c r="C11" s="21">
        <f>IF(Vin_type="AC",Vinput_max*SQRT(2),Vinput_max)</f>
        <v>50</v>
      </c>
      <c r="D11" s="263" t="s">
        <v>10</v>
      </c>
      <c r="E11" s="298"/>
    </row>
    <row r="12" spans="1:5" ht="18.7" customHeight="1">
      <c r="A12" s="4" t="s">
        <v>126</v>
      </c>
      <c r="B12" s="28" t="s">
        <v>127</v>
      </c>
      <c r="C12" s="21">
        <f>IF(Vin_type="AC",Vinput_nom*SQRT(2),Vinput_nom)</f>
        <v>36</v>
      </c>
      <c r="D12" s="263" t="s">
        <v>10</v>
      </c>
      <c r="E12" s="298"/>
    </row>
    <row r="13" spans="1:5" ht="18.7" customHeight="1">
      <c r="A13" s="4" t="s">
        <v>129</v>
      </c>
      <c r="B13" s="28" t="s">
        <v>128</v>
      </c>
      <c r="C13" s="21">
        <f>IF(Vin_type="AC",Vinput_run*SQRT(2),Vinput_run)</f>
        <v>20</v>
      </c>
      <c r="D13" s="263" t="s">
        <v>10</v>
      </c>
      <c r="E13" s="298"/>
    </row>
    <row r="14" spans="1:5" ht="18.7" customHeight="1" thickBot="1">
      <c r="A14" s="5" t="s">
        <v>131</v>
      </c>
      <c r="B14" s="29" t="s">
        <v>130</v>
      </c>
      <c r="C14" s="202" t="str">
        <f>IF(Input_Voltage_type="AC",(1/fline_min)/ms,"n/a")</f>
        <v>n/a</v>
      </c>
      <c r="D14" s="310" t="s">
        <v>24</v>
      </c>
      <c r="E14" s="311"/>
    </row>
    <row r="15" spans="1:5" ht="18.7" customHeight="1">
      <c r="A15" s="433" t="s">
        <v>27</v>
      </c>
      <c r="B15" s="434"/>
      <c r="C15" s="434"/>
      <c r="D15" s="434"/>
      <c r="E15" s="435"/>
    </row>
    <row r="16" spans="1:5" ht="18.7" customHeight="1">
      <c r="A16" s="63" t="s">
        <v>132</v>
      </c>
      <c r="B16" s="107" t="s">
        <v>398</v>
      </c>
      <c r="C16" s="64">
        <f>'START HERE'!C24</f>
        <v>15</v>
      </c>
      <c r="D16" s="64" t="s">
        <v>10</v>
      </c>
      <c r="E16" s="452" t="s">
        <v>97</v>
      </c>
    </row>
    <row r="17" spans="1:5" ht="18.7" customHeight="1">
      <c r="A17" s="63" t="s">
        <v>723</v>
      </c>
      <c r="B17" s="191" t="s">
        <v>722</v>
      </c>
      <c r="C17" s="64">
        <f>'START HERE'!C25</f>
        <v>4</v>
      </c>
      <c r="D17" s="64" t="s">
        <v>12</v>
      </c>
      <c r="E17" s="453"/>
    </row>
    <row r="18" spans="1:5" ht="18.7" customHeight="1">
      <c r="A18" s="63" t="s">
        <v>724</v>
      </c>
      <c r="B18" s="107" t="s">
        <v>399</v>
      </c>
      <c r="C18" s="64">
        <f>'START HERE'!C26</f>
        <v>4.2</v>
      </c>
      <c r="D18" s="64" t="s">
        <v>12</v>
      </c>
      <c r="E18" s="453"/>
    </row>
    <row r="19" spans="1:5" ht="18.7" customHeight="1">
      <c r="A19" s="417" t="s">
        <v>133</v>
      </c>
      <c r="B19" s="442" t="s">
        <v>400</v>
      </c>
      <c r="C19" s="440">
        <f>'START HERE'!C27</f>
        <v>14</v>
      </c>
      <c r="D19" s="441" t="s">
        <v>10</v>
      </c>
      <c r="E19" s="453"/>
    </row>
    <row r="20" spans="1:5" ht="18.7" customHeight="1">
      <c r="A20" s="417"/>
      <c r="B20" s="443"/>
      <c r="C20" s="440"/>
      <c r="D20" s="441"/>
      <c r="E20" s="453"/>
    </row>
    <row r="21" spans="1:5" ht="18.7" customHeight="1">
      <c r="A21" s="417" t="s">
        <v>139</v>
      </c>
      <c r="B21" s="442" t="s">
        <v>401</v>
      </c>
      <c r="C21" s="440">
        <f>'START HERE'!C28</f>
        <v>0.05</v>
      </c>
      <c r="D21" s="441" t="s">
        <v>10</v>
      </c>
      <c r="E21" s="453"/>
    </row>
    <row r="22" spans="1:5" ht="18.7" customHeight="1">
      <c r="A22" s="417"/>
      <c r="B22" s="443"/>
      <c r="C22" s="440"/>
      <c r="D22" s="441"/>
      <c r="E22" s="453"/>
    </row>
    <row r="23" spans="1:5" ht="18.7" customHeight="1">
      <c r="A23" s="63" t="s">
        <v>138</v>
      </c>
      <c r="B23" s="107" t="s">
        <v>402</v>
      </c>
      <c r="C23" s="64">
        <f>'START HERE'!C29</f>
        <v>400</v>
      </c>
      <c r="D23" s="64" t="s">
        <v>14</v>
      </c>
      <c r="E23" s="453"/>
    </row>
    <row r="24" spans="1:5" ht="18.7" customHeight="1">
      <c r="A24" s="64" t="s">
        <v>315</v>
      </c>
      <c r="B24" s="107" t="s">
        <v>403</v>
      </c>
      <c r="C24" s="64">
        <f>'START HERE'!C32</f>
        <v>4</v>
      </c>
      <c r="D24" s="64" t="s">
        <v>12</v>
      </c>
      <c r="E24" s="453"/>
    </row>
    <row r="25" spans="1:5" ht="18.7" customHeight="1">
      <c r="A25" s="444" t="s">
        <v>317</v>
      </c>
      <c r="B25" s="446" t="s">
        <v>404</v>
      </c>
      <c r="C25" s="448">
        <f>'START HERE'!C33</f>
        <v>20</v>
      </c>
      <c r="D25" s="450" t="s">
        <v>24</v>
      </c>
      <c r="E25" s="453"/>
    </row>
    <row r="26" spans="1:5" ht="18.7" customHeight="1">
      <c r="A26" s="445"/>
      <c r="B26" s="447"/>
      <c r="C26" s="449"/>
      <c r="D26" s="451"/>
      <c r="E26" s="453"/>
    </row>
    <row r="27" spans="1:5" ht="18.7" customHeight="1">
      <c r="A27" s="104" t="s">
        <v>378</v>
      </c>
      <c r="B27" s="65" t="s">
        <v>405</v>
      </c>
      <c r="C27" s="105">
        <f>'START HERE'!C31</f>
        <v>25</v>
      </c>
      <c r="D27" s="106" t="s">
        <v>10</v>
      </c>
      <c r="E27" s="453"/>
    </row>
    <row r="28" spans="1:5" ht="18.7" customHeight="1">
      <c r="A28" s="104" t="s">
        <v>446</v>
      </c>
      <c r="B28" s="65" t="s">
        <v>447</v>
      </c>
      <c r="C28" s="105">
        <f>'START HERE'!C34</f>
        <v>20</v>
      </c>
      <c r="D28" s="106" t="s">
        <v>113</v>
      </c>
      <c r="E28" s="454"/>
    </row>
    <row r="29" spans="1:5" ht="18.7" customHeight="1">
      <c r="A29" s="22" t="s">
        <v>137</v>
      </c>
      <c r="B29" s="27" t="s">
        <v>134</v>
      </c>
      <c r="C29" s="23">
        <f>IF(Vout_cv&lt;12,0.8,0.85)</f>
        <v>0.85</v>
      </c>
      <c r="D29" s="425"/>
      <c r="E29" s="426"/>
    </row>
    <row r="30" spans="1:5" ht="18.7" customHeight="1">
      <c r="A30" s="4" t="s">
        <v>136</v>
      </c>
      <c r="B30" s="28" t="s">
        <v>140</v>
      </c>
      <c r="C30" s="21">
        <f>(Vout_cv)*Iocc_target</f>
        <v>63</v>
      </c>
      <c r="D30" s="263" t="s">
        <v>13</v>
      </c>
      <c r="E30" s="298"/>
    </row>
    <row r="31" spans="1:5" ht="18.7" customHeight="1" thickBot="1">
      <c r="A31" s="5" t="s">
        <v>135</v>
      </c>
      <c r="B31" s="29" t="s">
        <v>141</v>
      </c>
      <c r="C31" s="26">
        <f>Pout/efficiency</f>
        <v>74.117647058823536</v>
      </c>
      <c r="D31" s="310" t="s">
        <v>13</v>
      </c>
      <c r="E31" s="311"/>
    </row>
    <row r="32" spans="1:5" ht="18.7" customHeight="1">
      <c r="A32" s="408"/>
      <c r="B32" s="408"/>
      <c r="C32" s="408"/>
      <c r="D32" s="408"/>
      <c r="E32" s="408"/>
    </row>
    <row r="33" spans="1:5" ht="18.7" customHeight="1">
      <c r="A33" s="455" t="s">
        <v>115</v>
      </c>
      <c r="B33" s="455"/>
      <c r="C33" s="455"/>
      <c r="D33" s="455"/>
      <c r="E33" s="455"/>
    </row>
    <row r="34" spans="1:5" ht="18.7" customHeight="1" thickBot="1">
      <c r="A34" s="427"/>
      <c r="B34" s="427"/>
      <c r="C34" s="427"/>
      <c r="D34" s="427"/>
      <c r="E34" s="427"/>
    </row>
    <row r="35" spans="1:5" ht="18.7" customHeight="1">
      <c r="A35" s="412" t="s">
        <v>88</v>
      </c>
      <c r="B35" s="424"/>
      <c r="C35" s="413"/>
      <c r="D35" s="413"/>
      <c r="E35" s="414"/>
    </row>
    <row r="36" spans="1:5" ht="18.7" customHeight="1">
      <c r="A36" s="34" t="s">
        <v>142</v>
      </c>
      <c r="B36" s="39" t="s">
        <v>143</v>
      </c>
      <c r="C36" s="40">
        <f>IF(Input_Voltage_type="AC",(((2*Pin)*(0.25+(((1/(2*PI()))*ASIN(Vbulkvalley_desired/Vbulk_min)))))/(((Vbulk_min^2)-(Vbulkvalley_desired^2))*fline_min))*10^6,0.5*Pout)</f>
        <v>31.5</v>
      </c>
      <c r="D36" s="308" t="s">
        <v>23</v>
      </c>
      <c r="E36" s="309"/>
    </row>
    <row r="37" spans="1:5" ht="18.7" customHeight="1">
      <c r="A37" s="25" t="s">
        <v>144</v>
      </c>
      <c r="B37" s="41" t="s">
        <v>145</v>
      </c>
      <c r="C37" s="33">
        <f>IF('START HERE'!C41="","",'START HERE'!C41)</f>
        <v>36</v>
      </c>
      <c r="D37" s="87" t="s">
        <v>23</v>
      </c>
      <c r="E37" s="42" t="s">
        <v>98</v>
      </c>
    </row>
    <row r="38" spans="1:5" ht="18.7" customHeight="1">
      <c r="A38" s="22" t="s">
        <v>146</v>
      </c>
      <c r="B38" s="27" t="s">
        <v>147</v>
      </c>
      <c r="C38" s="23">
        <f>IF(Cbulk_actual="",Cbulk_rcmd,Cbulk_actual)</f>
        <v>36</v>
      </c>
      <c r="D38" s="425" t="s">
        <v>23</v>
      </c>
      <c r="E38" s="426"/>
    </row>
    <row r="39" spans="1:5" ht="18.7" customHeight="1">
      <c r="A39" s="4" t="s">
        <v>148</v>
      </c>
      <c r="B39" s="28" t="s">
        <v>149</v>
      </c>
      <c r="C39" s="21">
        <f>IF(C4="AC",Vbulkvalley,Vinput_run)</f>
        <v>20</v>
      </c>
      <c r="D39" s="263" t="s">
        <v>10</v>
      </c>
      <c r="E39" s="298"/>
    </row>
    <row r="40" spans="1:5" ht="18.7" customHeight="1">
      <c r="A40" s="4" t="s">
        <v>150</v>
      </c>
      <c r="B40" s="28" t="s">
        <v>151</v>
      </c>
      <c r="C40" s="21">
        <f>IF(Input_Voltage_type="AC",(((Cbulk*uF)*(Vbulk_min-Vbulk_valley)/tcharge_3)/SQRT(3))/mA,(2*Pin)/(Vinput_run))</f>
        <v>7.4117647058823533</v>
      </c>
      <c r="D40" s="263" t="s">
        <v>36</v>
      </c>
      <c r="E40" s="298"/>
    </row>
    <row r="41" spans="1:5" ht="18.7" customHeight="1" thickBot="1">
      <c r="A41" s="5" t="s">
        <v>152</v>
      </c>
      <c r="B41" s="29" t="s">
        <v>153</v>
      </c>
      <c r="C41" s="14">
        <f>MROUND(Vbulk_max,100)</f>
        <v>100</v>
      </c>
      <c r="D41" s="310" t="s">
        <v>10</v>
      </c>
      <c r="E41" s="311"/>
    </row>
    <row r="42" spans="1:5" ht="18.7" customHeight="1" thickBot="1">
      <c r="A42" s="431"/>
      <c r="B42" s="431"/>
      <c r="C42" s="431"/>
      <c r="D42" s="431"/>
      <c r="E42" s="431"/>
    </row>
    <row r="43" spans="1:5" ht="18.7" customHeight="1">
      <c r="A43" s="412" t="s">
        <v>219</v>
      </c>
      <c r="B43" s="424"/>
      <c r="C43" s="413"/>
      <c r="D43" s="413"/>
      <c r="E43" s="414"/>
    </row>
    <row r="44" spans="1:5" ht="18.7" customHeight="1">
      <c r="A44" s="43" t="s">
        <v>250</v>
      </c>
      <c r="B44" s="44" t="s">
        <v>299</v>
      </c>
      <c r="C44" s="45">
        <f>Vinput_max</f>
        <v>50</v>
      </c>
      <c r="D44" s="275" t="str">
        <f>IF(Vin_type="AC","VAC","VDC")</f>
        <v>VDC</v>
      </c>
      <c r="E44" s="364"/>
    </row>
    <row r="45" spans="1:5" ht="18.7" customHeight="1" thickBot="1">
      <c r="A45" s="5" t="s">
        <v>220</v>
      </c>
      <c r="B45" s="24" t="s">
        <v>221</v>
      </c>
      <c r="C45" s="26">
        <f>IF(Input_Voltage_type="AC",(2*Pin/Vbulk_valley)/SQRT(tcharge_3/(t_line*ms)),(2*Pin)/(Vinput_run*(1-Ddemag_cc)))</f>
        <v>12.890025575447572</v>
      </c>
      <c r="D45" s="293" t="s">
        <v>12</v>
      </c>
      <c r="E45" s="295"/>
    </row>
    <row r="46" spans="1:5" ht="18.7" customHeight="1" thickBot="1">
      <c r="A46" s="15"/>
      <c r="B46" s="35"/>
      <c r="C46" s="36"/>
      <c r="D46" s="38"/>
      <c r="E46" s="38"/>
    </row>
    <row r="47" spans="1:5" ht="18.7" customHeight="1">
      <c r="A47" s="412" t="s">
        <v>249</v>
      </c>
      <c r="B47" s="413"/>
      <c r="C47" s="413"/>
      <c r="D47" s="413"/>
      <c r="E47" s="414"/>
    </row>
    <row r="48" spans="1:5" ht="18.7" customHeight="1">
      <c r="A48" s="4" t="s">
        <v>250</v>
      </c>
      <c r="B48" s="94" t="s">
        <v>251</v>
      </c>
      <c r="C48" s="199">
        <f>IF(Input_Voltage_type="AC",MROUND(Vbulk_max,100),Vinput_max)</f>
        <v>50</v>
      </c>
      <c r="D48" s="273" t="s">
        <v>10</v>
      </c>
      <c r="E48" s="266"/>
    </row>
    <row r="49" spans="1:10" ht="18.7" customHeight="1">
      <c r="A49" s="4" t="s">
        <v>252</v>
      </c>
      <c r="B49" s="94" t="s">
        <v>253</v>
      </c>
      <c r="C49" s="199">
        <f>IF(Input_Voltage_type="AC",2*Pin/Vbulk_valley,2*Pin/Vinput_run)</f>
        <v>7.4117647058823533</v>
      </c>
      <c r="D49" s="273" t="s">
        <v>12</v>
      </c>
      <c r="E49" s="301"/>
    </row>
    <row r="50" spans="1:10" ht="18.7" customHeight="1">
      <c r="A50" s="25" t="s">
        <v>255</v>
      </c>
      <c r="B50" s="92" t="s">
        <v>261</v>
      </c>
      <c r="C50" s="33">
        <f>IF('START HERE'!C73="",1,'START HERE'!C73)</f>
        <v>0</v>
      </c>
      <c r="D50" s="93" t="s">
        <v>10</v>
      </c>
      <c r="E50" s="42" t="s">
        <v>98</v>
      </c>
    </row>
    <row r="51" spans="1:10" ht="18.7" customHeight="1" thickBot="1">
      <c r="A51" s="5" t="s">
        <v>262</v>
      </c>
      <c r="B51" s="24" t="s">
        <v>254</v>
      </c>
      <c r="C51" s="26">
        <f>2*Vf_bridge*Icin*mA/mW</f>
        <v>0</v>
      </c>
      <c r="D51" s="293" t="s">
        <v>113</v>
      </c>
      <c r="E51" s="432"/>
    </row>
    <row r="52" spans="1:10" ht="18.7" customHeight="1" thickBot="1"/>
    <row r="53" spans="1:10" ht="18.7" customHeight="1">
      <c r="A53" s="428" t="s">
        <v>741</v>
      </c>
      <c r="B53" s="429"/>
      <c r="C53" s="429"/>
      <c r="D53" s="429"/>
      <c r="E53" s="430"/>
    </row>
    <row r="54" spans="1:10" ht="18.7" customHeight="1">
      <c r="A54" s="4" t="s">
        <v>156</v>
      </c>
      <c r="B54" s="205" t="s">
        <v>157</v>
      </c>
      <c r="C54" s="207">
        <v>0.42499999999999999</v>
      </c>
      <c r="D54" s="270" t="s">
        <v>373</v>
      </c>
      <c r="E54" s="409"/>
    </row>
    <row r="55" spans="1:10" ht="18.7" customHeight="1">
      <c r="A55" s="4" t="s">
        <v>158</v>
      </c>
      <c r="B55" s="205" t="s">
        <v>159</v>
      </c>
      <c r="C55" s="207">
        <v>4</v>
      </c>
      <c r="D55" s="270" t="s">
        <v>373</v>
      </c>
      <c r="E55" s="409"/>
    </row>
    <row r="56" spans="1:10" ht="18.7" customHeight="1">
      <c r="A56" s="16" t="s">
        <v>160</v>
      </c>
      <c r="B56" s="30" t="s">
        <v>161</v>
      </c>
      <c r="C56" s="17">
        <f>'START HERE'!C30</f>
        <v>45</v>
      </c>
      <c r="D56" s="87" t="s">
        <v>15</v>
      </c>
      <c r="E56" s="61" t="s">
        <v>98</v>
      </c>
    </row>
    <row r="57" spans="1:10" ht="18.7" customHeight="1">
      <c r="A57" s="4" t="s">
        <v>162</v>
      </c>
      <c r="B57" s="205" t="s">
        <v>163</v>
      </c>
      <c r="C57" s="20">
        <f>(1/(fmax_target*kHz))/us</f>
        <v>22.222222222222225</v>
      </c>
      <c r="D57" s="273" t="s">
        <v>37</v>
      </c>
      <c r="E57" s="266"/>
    </row>
    <row r="58" spans="1:10" ht="18" customHeight="1">
      <c r="A58" s="4" t="s">
        <v>164</v>
      </c>
      <c r="B58" s="205" t="s">
        <v>165</v>
      </c>
      <c r="C58" s="21">
        <v>0.5</v>
      </c>
      <c r="D58" s="183" t="s">
        <v>263</v>
      </c>
      <c r="E58" s="229"/>
    </row>
    <row r="59" spans="1:10" ht="18.7" customHeight="1">
      <c r="A59" s="4" t="s">
        <v>166</v>
      </c>
      <c r="B59" s="205" t="s">
        <v>167</v>
      </c>
      <c r="C59" s="21">
        <f>1/(2*fres*MHz)/us</f>
        <v>1</v>
      </c>
      <c r="D59" s="273" t="s">
        <v>37</v>
      </c>
      <c r="E59" s="266"/>
    </row>
    <row r="60" spans="1:10" ht="18.7" customHeight="1">
      <c r="A60" s="4" t="s">
        <v>168</v>
      </c>
      <c r="B60" s="205" t="s">
        <v>169</v>
      </c>
      <c r="C60" s="21">
        <f>(1-((tres*us)*(fmax_target*kHz))-Ddemag_cc)</f>
        <v>0.53</v>
      </c>
      <c r="D60" s="273"/>
      <c r="E60" s="266"/>
    </row>
    <row r="61" spans="1:10" ht="18.7" customHeight="1">
      <c r="A61" s="7" t="s">
        <v>706</v>
      </c>
      <c r="B61" s="31" t="s">
        <v>707</v>
      </c>
      <c r="C61" s="186">
        <f>(Dmax_target*Vbulk_valley)/(Ddemag_cc*(Vout_cv+Vf+(DCR_Lout*mOhms*Iocc_target)))</f>
        <v>1.6091081593927896</v>
      </c>
      <c r="D61" s="464" t="s">
        <v>223</v>
      </c>
      <c r="E61" s="465"/>
      <c r="F61" s="112"/>
      <c r="G61" s="112"/>
      <c r="H61" s="112"/>
      <c r="I61" s="112"/>
      <c r="J61" s="112"/>
    </row>
    <row r="62" spans="1:10" ht="18.7" customHeight="1">
      <c r="A62" s="16" t="s">
        <v>170</v>
      </c>
      <c r="B62" s="30" t="s">
        <v>175</v>
      </c>
      <c r="C62" s="214">
        <f>IF('START HERE'!C49="","",'START HERE'!C49)</f>
        <v>1.6</v>
      </c>
      <c r="D62" s="87"/>
      <c r="E62" s="42" t="s">
        <v>98</v>
      </c>
      <c r="F62" s="112"/>
      <c r="G62" s="112"/>
      <c r="H62" s="112"/>
      <c r="I62" s="112"/>
      <c r="J62" s="112"/>
    </row>
    <row r="63" spans="1:10" ht="18.7" customHeight="1">
      <c r="A63" s="7" t="s">
        <v>154</v>
      </c>
      <c r="B63" s="31" t="s">
        <v>155</v>
      </c>
      <c r="C63" s="21">
        <f>IF(Nps_actual="",Nps_ideal,Nps_actual)</f>
        <v>1.6</v>
      </c>
      <c r="D63" s="466"/>
      <c r="E63" s="467"/>
    </row>
    <row r="64" spans="1:10" ht="18.7" customHeight="1">
      <c r="A64" s="4" t="s">
        <v>176</v>
      </c>
      <c r="B64" s="205" t="s">
        <v>177</v>
      </c>
      <c r="C64" s="21">
        <f>Nps*(Vout_cv+Vf+((DCR_Lout*mOhms*Iocc_target)))</f>
        <v>24.8</v>
      </c>
      <c r="D64" s="273" t="s">
        <v>10</v>
      </c>
      <c r="E64" s="266"/>
    </row>
    <row r="65" spans="1:6" ht="18.7" customHeight="1">
      <c r="A65" s="4" t="s">
        <v>178</v>
      </c>
      <c r="B65" s="205" t="s">
        <v>179</v>
      </c>
      <c r="C65" s="21">
        <f>Vds-Vbulk_max-(Nps*(Vout_cv+Vf+((DCR_Lout*mOhms)*Iocc_target)))</f>
        <v>75.2</v>
      </c>
      <c r="D65" s="273" t="s">
        <v>10</v>
      </c>
      <c r="E65" s="266"/>
    </row>
    <row r="66" spans="1:6" ht="18.7" customHeight="1">
      <c r="A66" s="4" t="s">
        <v>180</v>
      </c>
      <c r="B66" s="205" t="s">
        <v>181</v>
      </c>
      <c r="C66" s="21">
        <f>(((Vout_cv+Vf+(DCR_Lout*mOhms*Iocc_target))*Nps*((1/(fmax_target*kHz))-(tres*us)))/(Vbulk_valley+((Vout_cv+Vf+(DCR_Lout*mOhms*Iocc_target))*Nps)))/us</f>
        <v>11.748015873015873</v>
      </c>
      <c r="D66" s="273" t="s">
        <v>37</v>
      </c>
      <c r="E66" s="266"/>
    </row>
    <row r="67" spans="1:6" ht="18.7" customHeight="1" thickBot="1">
      <c r="A67" s="5" t="s">
        <v>715</v>
      </c>
      <c r="B67" s="24" t="s">
        <v>182</v>
      </c>
      <c r="C67" s="14">
        <v>0.9</v>
      </c>
      <c r="D67" s="293"/>
      <c r="E67" s="295"/>
    </row>
    <row r="68" spans="1:6" ht="18.7" customHeight="1" thickBot="1">
      <c r="F68"/>
    </row>
    <row r="69" spans="1:6" ht="18.7" customHeight="1">
      <c r="A69" s="428" t="s">
        <v>740</v>
      </c>
      <c r="B69" s="429"/>
      <c r="C69" s="429"/>
      <c r="D69" s="429"/>
      <c r="E69" s="430"/>
    </row>
    <row r="70" spans="1:6" ht="18.7" customHeight="1">
      <c r="A70" s="54" t="s">
        <v>231</v>
      </c>
      <c r="B70" s="209" t="s">
        <v>233</v>
      </c>
      <c r="C70" s="37">
        <v>318</v>
      </c>
      <c r="D70" s="211" t="s">
        <v>14</v>
      </c>
      <c r="E70" s="212" t="s">
        <v>373</v>
      </c>
    </row>
    <row r="71" spans="1:6" ht="18.7" customHeight="1">
      <c r="A71" s="54" t="s">
        <v>232</v>
      </c>
      <c r="B71" s="209" t="s">
        <v>234</v>
      </c>
      <c r="C71" s="37">
        <v>330</v>
      </c>
      <c r="D71" s="60" t="s">
        <v>14</v>
      </c>
      <c r="E71" s="213" t="s">
        <v>373</v>
      </c>
    </row>
    <row r="72" spans="1:6" ht="18.7" customHeight="1">
      <c r="A72" s="54" t="s">
        <v>231</v>
      </c>
      <c r="B72" s="209" t="s">
        <v>233</v>
      </c>
      <c r="C72" s="37">
        <v>343</v>
      </c>
      <c r="D72" s="60" t="s">
        <v>14</v>
      </c>
      <c r="E72" s="213" t="s">
        <v>373</v>
      </c>
    </row>
    <row r="73" spans="1:6" ht="18.7" customHeight="1">
      <c r="A73" s="54" t="s">
        <v>734</v>
      </c>
      <c r="B73" s="209" t="s">
        <v>735</v>
      </c>
      <c r="C73" s="226">
        <f>2*(Vout_cv+Vf+(DCR_Lout*mOhms*Iocc_target))*Iocc_target/(eff_xfmr*((2*Iocc_target)/(Nps*Ddemag_cc))^2*fmax_target*kHz)/uH</f>
        <v>21.067607289829514</v>
      </c>
      <c r="D73" s="183" t="s">
        <v>50</v>
      </c>
      <c r="E73" s="213"/>
    </row>
    <row r="74" spans="1:6" ht="18.7" customHeight="1">
      <c r="A74" s="4" t="s">
        <v>201</v>
      </c>
      <c r="B74" s="205" t="s">
        <v>202</v>
      </c>
      <c r="C74" s="21">
        <f>(Vccr_nom*mV)/(((2*Iocc_target)/(Nps*SQRT(eff_xfmr)))+(((Vbulk_valley*tdelay*ns)/(Lp_est*uH))*Ddemag_cc))</f>
        <v>5.9247086812940067E-2</v>
      </c>
      <c r="D74" s="273" t="s">
        <v>48</v>
      </c>
      <c r="E74" s="266"/>
    </row>
    <row r="75" spans="1:6" ht="18.7" customHeight="1">
      <c r="A75" s="25" t="s">
        <v>203</v>
      </c>
      <c r="B75" s="208" t="s">
        <v>204</v>
      </c>
      <c r="C75" s="33">
        <f>IF('START HERE'!C52="","",'START HERE'!C52)</f>
        <v>5.6000000000000001E-2</v>
      </c>
      <c r="D75" s="87" t="s">
        <v>48</v>
      </c>
      <c r="E75" s="42" t="s">
        <v>98</v>
      </c>
    </row>
    <row r="76" spans="1:6" ht="18.7" customHeight="1">
      <c r="A76" s="4" t="s">
        <v>205</v>
      </c>
      <c r="B76" s="205" t="s">
        <v>326</v>
      </c>
      <c r="C76" s="21">
        <f>IF(Rcs_actual="",Rcs_rcmd,Rcs_actual)</f>
        <v>5.6000000000000001E-2</v>
      </c>
      <c r="D76" s="273" t="s">
        <v>48</v>
      </c>
      <c r="E76" s="266"/>
    </row>
    <row r="77" spans="1:6" ht="18.7" customHeight="1">
      <c r="A77" s="4" t="s">
        <v>206</v>
      </c>
      <c r="B77" s="205" t="s">
        <v>207</v>
      </c>
      <c r="C77" s="21">
        <f>(Ipri_RMS^2)*Rcs/mW</f>
        <v>1874.3915654761915</v>
      </c>
      <c r="D77" s="422" t="s">
        <v>113</v>
      </c>
      <c r="E77" s="423"/>
    </row>
    <row r="78" spans="1:6" ht="18.7" customHeight="1">
      <c r="A78" s="4" t="s">
        <v>224</v>
      </c>
      <c r="B78" s="205" t="s">
        <v>225</v>
      </c>
      <c r="C78" s="207">
        <v>738</v>
      </c>
      <c r="D78" s="183" t="s">
        <v>14</v>
      </c>
      <c r="E78" s="184" t="s">
        <v>373</v>
      </c>
    </row>
    <row r="79" spans="1:6" ht="18.7" customHeight="1">
      <c r="A79" s="4" t="s">
        <v>186</v>
      </c>
      <c r="B79" s="205" t="s">
        <v>187</v>
      </c>
      <c r="C79" s="207">
        <v>773</v>
      </c>
      <c r="D79" s="183" t="s">
        <v>14</v>
      </c>
      <c r="E79" s="184" t="s">
        <v>373</v>
      </c>
    </row>
    <row r="80" spans="1:6" ht="18.7" customHeight="1">
      <c r="A80" s="4" t="s">
        <v>188</v>
      </c>
      <c r="B80" s="205" t="s">
        <v>189</v>
      </c>
      <c r="C80" s="207">
        <v>810</v>
      </c>
      <c r="D80" s="183" t="s">
        <v>14</v>
      </c>
      <c r="E80" s="184" t="s">
        <v>373</v>
      </c>
    </row>
    <row r="81" spans="1:10" ht="18.7" customHeight="1">
      <c r="A81" s="4" t="s">
        <v>736</v>
      </c>
      <c r="B81" s="205" t="s">
        <v>737</v>
      </c>
      <c r="C81" s="21">
        <f>Vcstmax_min*mV/Rcs</f>
        <v>13.178571428571429</v>
      </c>
      <c r="D81" s="273" t="s">
        <v>12</v>
      </c>
      <c r="E81" s="266"/>
    </row>
    <row r="82" spans="1:10" ht="18.7" customHeight="1">
      <c r="A82" s="77" t="s">
        <v>226</v>
      </c>
      <c r="B82" s="78" t="s">
        <v>498</v>
      </c>
      <c r="C82" s="79">
        <f>Vcstmax_nom*mV/Rcs</f>
        <v>13.803571428571429</v>
      </c>
      <c r="D82" s="406" t="s">
        <v>12</v>
      </c>
      <c r="E82" s="407"/>
    </row>
    <row r="83" spans="1:10" ht="18.7" customHeight="1">
      <c r="A83" s="4" t="s">
        <v>738</v>
      </c>
      <c r="B83" s="205" t="s">
        <v>739</v>
      </c>
      <c r="C83" s="21">
        <f>Vcstmax_max*mV/Rcs</f>
        <v>14.464285714285715</v>
      </c>
      <c r="D83" s="273" t="s">
        <v>12</v>
      </c>
      <c r="E83" s="266"/>
    </row>
    <row r="84" spans="1:10" ht="18.7" customHeight="1">
      <c r="A84" s="77" t="s">
        <v>286</v>
      </c>
      <c r="B84" s="78" t="s">
        <v>497</v>
      </c>
      <c r="C84" s="79">
        <f>Ipp_nom*Nps*Ddemag_cc/2</f>
        <v>4.6932142857142862</v>
      </c>
      <c r="D84" s="206" t="s">
        <v>12</v>
      </c>
      <c r="E84" s="210"/>
      <c r="H84" s="112"/>
      <c r="I84" s="112"/>
      <c r="J84" s="112"/>
    </row>
    <row r="85" spans="1:10" ht="18.7" customHeight="1">
      <c r="A85" s="4" t="s">
        <v>174</v>
      </c>
      <c r="B85" s="205" t="s">
        <v>183</v>
      </c>
      <c r="C85" s="21">
        <f>Ipp_nom/Kam_nom</f>
        <v>3.4508928571428572</v>
      </c>
      <c r="D85" s="273" t="s">
        <v>12</v>
      </c>
      <c r="E85" s="266"/>
      <c r="H85" s="112"/>
      <c r="I85" s="112"/>
      <c r="J85" s="112"/>
    </row>
    <row r="86" spans="1:10" ht="18.7" customHeight="1">
      <c r="A86" s="475" t="s">
        <v>184</v>
      </c>
      <c r="B86" s="270" t="s">
        <v>185</v>
      </c>
      <c r="C86" s="456">
        <f>(Vcstmax_max*mV)/(0.99*Rcs)</f>
        <v>14.61038961038961</v>
      </c>
      <c r="D86" s="273" t="s">
        <v>12</v>
      </c>
      <c r="E86" s="357" t="s">
        <v>265</v>
      </c>
      <c r="H86" s="112"/>
      <c r="I86" s="112"/>
      <c r="J86" s="112"/>
    </row>
    <row r="87" spans="1:10" ht="18.7" customHeight="1">
      <c r="A87" s="475"/>
      <c r="B87" s="270"/>
      <c r="C87" s="456"/>
      <c r="D87" s="273"/>
      <c r="E87" s="357"/>
      <c r="H87" s="112"/>
      <c r="I87" s="112"/>
      <c r="J87" s="112"/>
    </row>
    <row r="88" spans="1:10" ht="18.7" customHeight="1" thickBot="1">
      <c r="A88" s="5" t="s">
        <v>266</v>
      </c>
      <c r="B88" s="24" t="s">
        <v>267</v>
      </c>
      <c r="C88" s="26">
        <f>Ipp_wc*Nps*Ddemag_cc/2</f>
        <v>4.9675324675324681</v>
      </c>
      <c r="D88" s="6" t="s">
        <v>12</v>
      </c>
      <c r="E88" s="204" t="s">
        <v>716</v>
      </c>
      <c r="H88" s="112"/>
      <c r="I88" s="112"/>
      <c r="J88" s="112"/>
    </row>
    <row r="89" spans="1:10" ht="18.7" customHeight="1" thickBot="1">
      <c r="A89" s="112"/>
      <c r="B89" s="112"/>
      <c r="C89" s="112"/>
      <c r="D89" s="112"/>
      <c r="E89" s="112"/>
      <c r="F89" s="112"/>
      <c r="H89" s="112"/>
      <c r="I89" s="112"/>
      <c r="J89" s="112"/>
    </row>
    <row r="90" spans="1:10" ht="18.7" customHeight="1">
      <c r="A90" s="428" t="s">
        <v>742</v>
      </c>
      <c r="B90" s="429"/>
      <c r="C90" s="429"/>
      <c r="D90" s="429"/>
      <c r="E90" s="430"/>
      <c r="H90" s="112"/>
      <c r="I90" s="112"/>
      <c r="J90" s="112"/>
    </row>
    <row r="91" spans="1:10" ht="18.7" customHeight="1">
      <c r="A91" s="230" t="s">
        <v>751</v>
      </c>
      <c r="B91" s="228" t="s">
        <v>744</v>
      </c>
      <c r="C91" s="21">
        <f>((2*(Vout_cv+Vf+(DCR_Lout*mOhms*Iocc))*Iocc/(eff_xfmr*Ipp_nom^2*fmax_target*kHz))/uH)</f>
        <v>18.853592704390469</v>
      </c>
      <c r="D91" s="273" t="s">
        <v>50</v>
      </c>
      <c r="E91" s="266"/>
      <c r="H91" s="112"/>
      <c r="I91" s="112"/>
      <c r="J91" s="112"/>
    </row>
    <row r="92" spans="1:10" ht="18.7" customHeight="1">
      <c r="A92" s="4" t="s">
        <v>753</v>
      </c>
      <c r="B92" s="178" t="s">
        <v>190</v>
      </c>
      <c r="C92" s="21">
        <f>IF(((((2*(Vout_cv+Vf+(DCR_Lout*mOhms*Iocc))*Iocc/(eff_xfmr*Ipp_nom^2*fmax_target*kHz))/uH)*uH*Ipp_nom)/(Vbulk_max*Kam_nom))/ns&lt;tonmin_limit,(tonmin_limit*1.01*Vbulk_max*Kam_nom/Ipp_nom*ns),(2*(Vout_cv+Vf+(DCR_Lout*mOhms*Iocc))*Iocc/(eff_xfmr*Ipp_nom^2*fmax_target*kHz)))/uH</f>
        <v>18.853592704390469</v>
      </c>
      <c r="D92" s="183" t="s">
        <v>50</v>
      </c>
      <c r="E92" s="184" t="s">
        <v>222</v>
      </c>
      <c r="H92" s="112"/>
      <c r="I92" s="112"/>
      <c r="J92" s="112"/>
    </row>
    <row r="93" spans="1:10" ht="18.7" customHeight="1">
      <c r="A93" s="16" t="s">
        <v>191</v>
      </c>
      <c r="B93" s="30" t="s">
        <v>192</v>
      </c>
      <c r="C93" s="17">
        <f>IF('START HERE'!C55="","",'START HERE'!C55)</f>
        <v>20</v>
      </c>
      <c r="D93" s="87" t="s">
        <v>50</v>
      </c>
      <c r="E93" s="61" t="s">
        <v>98</v>
      </c>
    </row>
    <row r="94" spans="1:10" ht="18.7" customHeight="1">
      <c r="A94" s="4" t="s">
        <v>193</v>
      </c>
      <c r="B94" s="178" t="s">
        <v>194</v>
      </c>
      <c r="C94" s="21">
        <f>IF(Lp_actual="",Lp_rcmd,Lp_actual)</f>
        <v>20</v>
      </c>
      <c r="D94" s="273" t="s">
        <v>50</v>
      </c>
      <c r="E94" s="266"/>
    </row>
    <row r="95" spans="1:10" ht="18.7" customHeight="1">
      <c r="A95" s="77" t="s">
        <v>195</v>
      </c>
      <c r="B95" s="78" t="s">
        <v>624</v>
      </c>
      <c r="C95" s="79">
        <f>(Nps*Ddemag_cc*(Vout_cv+Vf+(DCR_Lout*mOhms*Iocc))/(Lp*uH*Ipp_nom)/kHz)</f>
        <v>38.178525226390697</v>
      </c>
      <c r="D95" s="197" t="s">
        <v>15</v>
      </c>
      <c r="E95" s="232" t="str">
        <f>IF(fmax&gt;100,"Design exceeds capability of part",IF(fmax&lt;32,"Design will operate only in the AM range, not all features may be available",""))</f>
        <v/>
      </c>
    </row>
    <row r="96" spans="1:10" ht="18.7" customHeight="1">
      <c r="A96" s="4" t="s">
        <v>196</v>
      </c>
      <c r="B96" s="178" t="s">
        <v>197</v>
      </c>
      <c r="C96" s="21">
        <f>(1/fmax*kHz)</f>
        <v>26.192735158579556</v>
      </c>
      <c r="D96" s="273" t="s">
        <v>37</v>
      </c>
      <c r="E96" s="266"/>
    </row>
    <row r="97" spans="1:5" ht="18.7" customHeight="1">
      <c r="A97" s="4" t="s">
        <v>198</v>
      </c>
      <c r="B97" s="178" t="s">
        <v>199</v>
      </c>
      <c r="C97" s="21">
        <f>Ipp_nom*Lp/Vbulk_valley</f>
        <v>13.803571428571427</v>
      </c>
      <c r="D97" s="273" t="s">
        <v>37</v>
      </c>
      <c r="E97" s="266"/>
    </row>
    <row r="98" spans="1:5" ht="18.7" customHeight="1">
      <c r="A98" s="4" t="s">
        <v>212</v>
      </c>
      <c r="B98" s="178" t="s">
        <v>213</v>
      </c>
      <c r="C98" s="21">
        <f>(ton_max*us)*(fmax*kHz)</f>
        <v>0.52700000000000002</v>
      </c>
      <c r="D98" s="273"/>
      <c r="E98" s="266"/>
    </row>
    <row r="99" spans="1:5" ht="18.7" customHeight="1">
      <c r="A99" s="4" t="s">
        <v>214</v>
      </c>
      <c r="B99" s="178" t="s">
        <v>215</v>
      </c>
      <c r="C99" s="21">
        <f>(Lp*uH)*Ipp_nom/(Nps*(Vout_cv+Vf+(DCR_Lout*mOhms*Iocc)))/us</f>
        <v>11.131912442396311</v>
      </c>
      <c r="D99" s="273" t="s">
        <v>37</v>
      </c>
      <c r="E99" s="266"/>
    </row>
    <row r="100" spans="1:5" ht="18.7" customHeight="1">
      <c r="A100" s="4" t="s">
        <v>200</v>
      </c>
      <c r="B100" s="178" t="s">
        <v>114</v>
      </c>
      <c r="C100" s="21">
        <f>(Ipp_nom/SQRT(3))*(SQRT(ton_max/tsw))</f>
        <v>5.7854367125509194</v>
      </c>
      <c r="D100" s="273" t="s">
        <v>12</v>
      </c>
      <c r="E100" s="266"/>
    </row>
    <row r="101" spans="1:5" ht="18.7" customHeight="1">
      <c r="A101" s="4" t="s">
        <v>208</v>
      </c>
      <c r="B101" s="178" t="s">
        <v>209</v>
      </c>
      <c r="C101" s="21">
        <f>Ipp_nom*Nps</f>
        <v>22.085714285714289</v>
      </c>
      <c r="D101" s="273" t="s">
        <v>12</v>
      </c>
      <c r="E101" s="266"/>
    </row>
    <row r="102" spans="1:5" ht="18.7" customHeight="1">
      <c r="A102" s="4" t="s">
        <v>210</v>
      </c>
      <c r="B102" s="178" t="s">
        <v>211</v>
      </c>
      <c r="C102" s="21">
        <f>Isp_max*SQRT(Ddemag_cc/3)</f>
        <v>8.3127608649159956</v>
      </c>
      <c r="D102" s="273" t="s">
        <v>12</v>
      </c>
      <c r="E102" s="266"/>
    </row>
    <row r="103" spans="1:5" ht="18.7" customHeight="1">
      <c r="A103" s="4" t="s">
        <v>290</v>
      </c>
      <c r="B103" s="178" t="s">
        <v>291</v>
      </c>
      <c r="C103" s="21">
        <v>8.15</v>
      </c>
      <c r="D103" s="183" t="s">
        <v>10</v>
      </c>
      <c r="E103" s="184" t="s">
        <v>373</v>
      </c>
    </row>
    <row r="104" spans="1:5" ht="18.7" customHeight="1">
      <c r="A104" s="4" t="s">
        <v>292</v>
      </c>
      <c r="B104" s="178" t="s">
        <v>293</v>
      </c>
      <c r="C104" s="21">
        <v>7.35</v>
      </c>
      <c r="D104" s="183" t="s">
        <v>10</v>
      </c>
      <c r="E104" s="184" t="s">
        <v>373</v>
      </c>
    </row>
    <row r="105" spans="1:5" ht="18.7" customHeight="1">
      <c r="A105" s="7" t="s">
        <v>287</v>
      </c>
      <c r="B105" s="178" t="s">
        <v>288</v>
      </c>
      <c r="C105" s="21">
        <f>(VDDoff_max+Vfa)/(Vout_cc+Vf+(DCR_Lout*mOhms*Iocc))</f>
        <v>0.59655172413793101</v>
      </c>
      <c r="D105" s="273"/>
      <c r="E105" s="266"/>
    </row>
    <row r="106" spans="1:5" ht="18.7" customHeight="1">
      <c r="A106" s="4" t="s">
        <v>278</v>
      </c>
      <c r="B106" s="178" t="s">
        <v>270</v>
      </c>
      <c r="C106" s="21">
        <f>Nps/Nas_rcmd</f>
        <v>2.6820809248554918</v>
      </c>
      <c r="D106" s="273"/>
      <c r="E106" s="266"/>
    </row>
    <row r="107" spans="1:5" ht="18.7" customHeight="1">
      <c r="A107" s="25" t="s">
        <v>279</v>
      </c>
      <c r="B107" s="181" t="s">
        <v>277</v>
      </c>
      <c r="C107" s="33">
        <f>IF('START HERE'!C57="","",'START HERE'!C57)</f>
        <v>2.6</v>
      </c>
      <c r="D107" s="484" t="s">
        <v>98</v>
      </c>
      <c r="E107" s="485"/>
    </row>
    <row r="108" spans="1:5" ht="18.7" customHeight="1">
      <c r="A108" s="7" t="s">
        <v>282</v>
      </c>
      <c r="B108" s="178" t="s">
        <v>283</v>
      </c>
      <c r="C108" s="21">
        <f>IF('START HERE'!C57="",Npa_rcmd,Npa_actual)</f>
        <v>2.6</v>
      </c>
      <c r="D108" s="273"/>
      <c r="E108" s="266"/>
    </row>
    <row r="109" spans="1:5" ht="55.55" customHeight="1">
      <c r="A109" s="77" t="s">
        <v>284</v>
      </c>
      <c r="B109" s="78" t="s">
        <v>285</v>
      </c>
      <c r="C109" s="79">
        <f>((Vout_cv+Vf+(DCR_Lout*mOhms*Iocc))*Nps-Vfa*Npa)/Npa</f>
        <v>9.0384615384615383</v>
      </c>
      <c r="D109" s="197" t="s">
        <v>10</v>
      </c>
      <c r="E109" s="198" t="str">
        <f>IF(VDD &gt; 25,"A zener clamp is needed to protect VDD from Exceeding ABS MAX over entire operating range","")</f>
        <v/>
      </c>
    </row>
    <row r="110" spans="1:5" ht="18.7" customHeight="1">
      <c r="A110" s="50" t="s">
        <v>294</v>
      </c>
      <c r="B110" s="182" t="s">
        <v>295</v>
      </c>
      <c r="C110" s="51">
        <f>Nps/Npa</f>
        <v>0.61538461538461542</v>
      </c>
      <c r="D110" s="464"/>
      <c r="E110" s="465"/>
    </row>
    <row r="111" spans="1:5" ht="18.7" customHeight="1">
      <c r="A111" s="50" t="s">
        <v>743</v>
      </c>
      <c r="B111" s="178" t="s">
        <v>705</v>
      </c>
      <c r="C111" s="51">
        <v>280</v>
      </c>
      <c r="D111" s="179" t="s">
        <v>52</v>
      </c>
      <c r="E111" s="185"/>
    </row>
    <row r="112" spans="1:5" ht="18.7" customHeight="1">
      <c r="A112" s="4" t="s">
        <v>703</v>
      </c>
      <c r="B112" s="178" t="s">
        <v>704</v>
      </c>
      <c r="C112" s="21">
        <f>(Lp*uH*Ipp_nom)/(Vbulk_max*Kam_nom)/ns</f>
        <v>1380.3571428571424</v>
      </c>
      <c r="D112" s="52" t="s">
        <v>52</v>
      </c>
      <c r="E112" s="53" t="str">
        <f>IF(ton_min&lt;tonmin_limit,"Increase Primary Inductance","")</f>
        <v/>
      </c>
    </row>
    <row r="113" spans="1:5" ht="18.7" customHeight="1">
      <c r="A113" s="4" t="s">
        <v>324</v>
      </c>
      <c r="B113" s="178" t="s">
        <v>325</v>
      </c>
      <c r="C113" s="21">
        <f>((ton_min*ns)*Vbulk_max)/(Nps*(Vout_cv+Vf+(DCR_Lout*mOhms)))/us</f>
        <v>2.7829781105990778</v>
      </c>
      <c r="D113" s="273" t="s">
        <v>37</v>
      </c>
      <c r="E113" s="266"/>
    </row>
    <row r="114" spans="1:5" ht="18.7" customHeight="1" thickBot="1">
      <c r="A114" s="80" t="s">
        <v>289</v>
      </c>
      <c r="B114" s="81" t="s">
        <v>499</v>
      </c>
      <c r="C114" s="82">
        <f>((VDDoff_min+Vfa)/Nas)-Vf-(DCR_Lout*mOhms*Iocc)</f>
        <v>12.256249999999998</v>
      </c>
      <c r="D114" s="492" t="s">
        <v>10</v>
      </c>
      <c r="E114" s="493"/>
    </row>
    <row r="115" spans="1:5" ht="18.7" customHeight="1" thickBot="1"/>
    <row r="116" spans="1:5" ht="18.7" customHeight="1">
      <c r="A116" s="412" t="s">
        <v>101</v>
      </c>
      <c r="B116" s="413"/>
      <c r="C116" s="413"/>
      <c r="D116" s="413"/>
      <c r="E116" s="414"/>
    </row>
    <row r="117" spans="1:5" ht="18.7" customHeight="1">
      <c r="A117" s="180" t="s">
        <v>713</v>
      </c>
      <c r="B117" s="195" t="s">
        <v>714</v>
      </c>
      <c r="C117" s="21">
        <f>(Vbulk_max+(Nps*(Vout_cv+Vf+((DCR_Lout*mOhms)*Iocc_target))))*1.3</f>
        <v>97.24</v>
      </c>
      <c r="D117" s="473" t="s">
        <v>10</v>
      </c>
      <c r="E117" s="474"/>
    </row>
    <row r="118" spans="1:5" ht="18.7" customHeight="1">
      <c r="A118" s="25" t="s">
        <v>173</v>
      </c>
      <c r="B118" s="92" t="s">
        <v>227</v>
      </c>
      <c r="C118" s="33">
        <f>'START HERE'!C60</f>
        <v>150</v>
      </c>
      <c r="D118" s="32" t="s">
        <v>10</v>
      </c>
      <c r="E118" s="452" t="s">
        <v>97</v>
      </c>
    </row>
    <row r="119" spans="1:5" ht="17.7">
      <c r="A119" s="25" t="s">
        <v>172</v>
      </c>
      <c r="B119" s="92" t="s">
        <v>229</v>
      </c>
      <c r="C119" s="32">
        <f>'START HERE'!C61</f>
        <v>24.6</v>
      </c>
      <c r="D119" s="32" t="s">
        <v>28</v>
      </c>
      <c r="E119" s="453"/>
    </row>
    <row r="120" spans="1:5" ht="18.7" customHeight="1">
      <c r="A120" s="25" t="s">
        <v>171</v>
      </c>
      <c r="B120" s="92" t="s">
        <v>230</v>
      </c>
      <c r="C120" s="33">
        <f>'START HERE'!C62</f>
        <v>0.84</v>
      </c>
      <c r="D120" s="32" t="s">
        <v>48</v>
      </c>
      <c r="E120" s="453"/>
    </row>
    <row r="121" spans="1:5" ht="18.7" customHeight="1">
      <c r="A121" s="25" t="s">
        <v>239</v>
      </c>
      <c r="B121" s="92" t="s">
        <v>241</v>
      </c>
      <c r="C121" s="33">
        <f>'START HERE'!C63</f>
        <v>12</v>
      </c>
      <c r="D121" s="32" t="s">
        <v>52</v>
      </c>
      <c r="E121" s="453"/>
    </row>
    <row r="122" spans="1:5" ht="18.7" customHeight="1">
      <c r="A122" s="64" t="s">
        <v>410</v>
      </c>
      <c r="B122" s="92" t="s">
        <v>411</v>
      </c>
      <c r="C122" s="32">
        <f>'START HERE'!C64</f>
        <v>39</v>
      </c>
      <c r="D122" s="32" t="s">
        <v>52</v>
      </c>
      <c r="E122" s="453"/>
    </row>
    <row r="123" spans="1:5" ht="18.7" customHeight="1">
      <c r="A123" s="25" t="s">
        <v>452</v>
      </c>
      <c r="B123" s="92" t="s">
        <v>453</v>
      </c>
      <c r="C123" s="33">
        <f>'START HERE'!C65</f>
        <v>14</v>
      </c>
      <c r="D123" s="32" t="s">
        <v>419</v>
      </c>
      <c r="E123" s="454"/>
    </row>
    <row r="124" spans="1:5" ht="19.55" customHeight="1">
      <c r="A124" s="4" t="s">
        <v>745</v>
      </c>
      <c r="B124" s="1" t="s">
        <v>747</v>
      </c>
      <c r="C124" s="21">
        <f>1/(2*PI()*SQRT(Lp*uH*Coss*2*pF))/MHz</f>
        <v>5.073674274215664</v>
      </c>
      <c r="D124" s="273" t="s">
        <v>263</v>
      </c>
      <c r="E124" s="266"/>
    </row>
    <row r="125" spans="1:5" ht="18.7" customHeight="1">
      <c r="A125" s="4" t="s">
        <v>752</v>
      </c>
      <c r="B125" s="216" t="s">
        <v>746</v>
      </c>
      <c r="C125" s="21">
        <f>1/(2*fres_actual*MHz)/us</f>
        <v>9.8547910838697794E-2</v>
      </c>
      <c r="D125" s="415" t="s">
        <v>748</v>
      </c>
      <c r="E125" s="416"/>
    </row>
    <row r="126" spans="1:5" ht="18.7" customHeight="1">
      <c r="A126" s="4" t="s">
        <v>749</v>
      </c>
      <c r="B126" s="216" t="s">
        <v>750</v>
      </c>
      <c r="C126" s="231" t="str">
        <f>IF((1-((tres_actual*us)*(fmax*kHz))-Ddemag_cc)&lt;(1-((2.1*us)*(fmax*kHz))-Ddemag_cc),"NO","YES")</f>
        <v>YES</v>
      </c>
      <c r="D126" s="476" t="str">
        <f>IF(C126="NO", "Efficiency will be impacted","")</f>
        <v/>
      </c>
      <c r="E126" s="477"/>
    </row>
    <row r="127" spans="1:5" ht="18.7" customHeight="1">
      <c r="A127" s="4" t="s">
        <v>300</v>
      </c>
      <c r="B127" s="94" t="s">
        <v>228</v>
      </c>
      <c r="C127" s="21">
        <f>Vds_min_rating/Vds</f>
        <v>0.64826666666666666</v>
      </c>
      <c r="D127" s="273"/>
      <c r="E127" s="266"/>
    </row>
    <row r="128" spans="1:5" ht="18.7" customHeight="1">
      <c r="A128" s="4" t="s">
        <v>301</v>
      </c>
      <c r="B128" s="94" t="s">
        <v>302</v>
      </c>
      <c r="C128" s="21">
        <f>((Ipp_wc/SQRT(3))*(SQRT(ton_max/tsw)))*10</f>
        <v>61.235952502597051</v>
      </c>
      <c r="D128" s="273" t="s">
        <v>12</v>
      </c>
      <c r="E128" s="266"/>
    </row>
    <row r="129" spans="1:5" ht="18.7" customHeight="1">
      <c r="A129" s="4" t="s">
        <v>303</v>
      </c>
      <c r="B129" s="94" t="s">
        <v>304</v>
      </c>
      <c r="C129" s="21">
        <f>Ipp_wc*10</f>
        <v>146.10389610389609</v>
      </c>
      <c r="D129" s="273" t="s">
        <v>12</v>
      </c>
      <c r="E129" s="266"/>
    </row>
    <row r="130" spans="1:5" ht="18.7" customHeight="1">
      <c r="A130" s="4" t="s">
        <v>236</v>
      </c>
      <c r="B130" s="94" t="s">
        <v>235</v>
      </c>
      <c r="C130" s="21">
        <f>(Ipri_RMS^2)*Rdson</f>
        <v>28.115873482142874</v>
      </c>
      <c r="D130" s="263" t="s">
        <v>13</v>
      </c>
      <c r="E130" s="298"/>
    </row>
    <row r="131" spans="1:5" ht="18.7" customHeight="1">
      <c r="A131" s="4" t="s">
        <v>237</v>
      </c>
      <c r="B131" s="94" t="s">
        <v>238</v>
      </c>
      <c r="C131" s="21">
        <f>fmax*kHz*((((Coss*pF)*(Vbulk_max-Vflyback)^2)/2)+(((Vbulk_max+Vflyback)*Ipp_nom*tf*ns)/2))</f>
        <v>0.23681581215511521</v>
      </c>
      <c r="D131" s="263" t="s">
        <v>13</v>
      </c>
      <c r="E131" s="298"/>
    </row>
    <row r="132" spans="1:5" ht="17.7">
      <c r="A132" s="4" t="s">
        <v>243</v>
      </c>
      <c r="B132" s="94" t="s">
        <v>244</v>
      </c>
      <c r="C132" s="21">
        <f>Pfet_cond+Pfet_switch</f>
        <v>28.352689294297988</v>
      </c>
      <c r="D132" s="263" t="s">
        <v>13</v>
      </c>
      <c r="E132" s="298"/>
    </row>
    <row r="133" spans="1:5" ht="18.350000000000001" thickBot="1">
      <c r="A133" s="5" t="s">
        <v>268</v>
      </c>
      <c r="B133" s="24" t="s">
        <v>269</v>
      </c>
      <c r="C133" s="26">
        <f>(0.95*Vds)-(Vbulk_max+Nps*(Vout_cv+Vf+(DCR_Lout*mOhms)))</f>
        <v>67.7</v>
      </c>
      <c r="D133" s="310" t="s">
        <v>10</v>
      </c>
      <c r="E133" s="311"/>
    </row>
    <row r="134" spans="1:5" ht="14.3" thickBot="1">
      <c r="B134" s="1"/>
      <c r="C134" s="19"/>
    </row>
    <row r="135" spans="1:5" ht="18.350000000000001">
      <c r="A135" s="412" t="s">
        <v>309</v>
      </c>
      <c r="B135" s="413"/>
      <c r="C135" s="413"/>
      <c r="D135" s="413"/>
      <c r="E135" s="414"/>
    </row>
    <row r="136" spans="1:5" ht="17.7">
      <c r="A136" s="25" t="s">
        <v>99</v>
      </c>
      <c r="B136" s="92" t="s">
        <v>248</v>
      </c>
      <c r="C136" s="33">
        <f>IF('START HERE'!C43="",0.7,'START HERE'!C43)</f>
        <v>0.5</v>
      </c>
      <c r="D136" s="87" t="s">
        <v>10</v>
      </c>
      <c r="E136" s="42" t="s">
        <v>98</v>
      </c>
    </row>
    <row r="137" spans="1:5" ht="17.7">
      <c r="A137" s="4" t="s">
        <v>297</v>
      </c>
      <c r="B137" s="94" t="s">
        <v>298</v>
      </c>
      <c r="C137" s="21">
        <f>((Vbulk_max+Vdrain_clamp)/Nps)+Vout_ovp+(DCR_Lout*mOhms*Iocc)</f>
        <v>98.5625</v>
      </c>
      <c r="D137" s="263" t="s">
        <v>10</v>
      </c>
      <c r="E137" s="298"/>
    </row>
    <row r="138" spans="1:5" ht="17.7">
      <c r="A138" s="4" t="s">
        <v>305</v>
      </c>
      <c r="B138" s="94" t="s">
        <v>306</v>
      </c>
      <c r="C138" s="21">
        <f>Isec_rms</f>
        <v>8.3127608649159956</v>
      </c>
      <c r="D138" s="263" t="s">
        <v>12</v>
      </c>
      <c r="E138" s="298"/>
    </row>
    <row r="139" spans="1:5" ht="18.350000000000001" thickBot="1">
      <c r="A139" s="5" t="s">
        <v>307</v>
      </c>
      <c r="B139" s="24" t="s">
        <v>308</v>
      </c>
      <c r="C139" s="26">
        <f>Vf*Iocc</f>
        <v>2.3466071428571431</v>
      </c>
      <c r="D139" s="310" t="s">
        <v>13</v>
      </c>
      <c r="E139" s="311"/>
    </row>
    <row r="140" spans="1:5" ht="14.3" customHeight="1" thickBot="1">
      <c r="E140" s="12"/>
    </row>
    <row r="141" spans="1:5" ht="18.350000000000001">
      <c r="A141" s="412" t="s">
        <v>310</v>
      </c>
      <c r="B141" s="413"/>
      <c r="C141" s="413"/>
      <c r="D141" s="413"/>
      <c r="E141" s="414"/>
    </row>
    <row r="142" spans="1:5" ht="18.7" customHeight="1">
      <c r="A142" s="25" t="s">
        <v>273</v>
      </c>
      <c r="B142" s="92" t="s">
        <v>274</v>
      </c>
      <c r="C142" s="33">
        <f>IF('START HERE'!C75="",0.7,'START HERE'!C75)</f>
        <v>0.5</v>
      </c>
      <c r="D142" s="87" t="s">
        <v>10</v>
      </c>
      <c r="E142" s="42" t="s">
        <v>98</v>
      </c>
    </row>
    <row r="143" spans="1:5" ht="18.350000000000001" thickBot="1">
      <c r="A143" s="5" t="s">
        <v>297</v>
      </c>
      <c r="B143" s="24" t="s">
        <v>296</v>
      </c>
      <c r="C143" s="26">
        <f>(Vout_cv*Nps/Npa)+(Vbulk_max/Npa)+VDD</f>
        <v>37.5</v>
      </c>
      <c r="D143" s="310" t="s">
        <v>10</v>
      </c>
      <c r="E143" s="311"/>
    </row>
    <row r="144" spans="1:5" ht="14.3" thickBot="1"/>
    <row r="145" spans="1:5" ht="18.350000000000001">
      <c r="A145" s="412" t="s">
        <v>311</v>
      </c>
      <c r="B145" s="413"/>
      <c r="C145" s="413"/>
      <c r="D145" s="413"/>
      <c r="E145" s="414"/>
    </row>
    <row r="146" spans="1:5" ht="18.350000000000001" thickBot="1">
      <c r="A146" s="46" t="s">
        <v>247</v>
      </c>
      <c r="B146" s="47" t="s">
        <v>246</v>
      </c>
      <c r="C146" s="196">
        <f>IF('START HERE'!C45="",0,'START HERE'!C45)</f>
        <v>0</v>
      </c>
      <c r="D146" s="89" t="s">
        <v>58</v>
      </c>
      <c r="E146" s="88" t="s">
        <v>98</v>
      </c>
    </row>
    <row r="147" spans="1:5" ht="14.3" customHeight="1" thickBot="1">
      <c r="E147" s="10"/>
    </row>
    <row r="148" spans="1:5" ht="18.350000000000001">
      <c r="A148" s="412" t="s">
        <v>312</v>
      </c>
      <c r="B148" s="413"/>
      <c r="C148" s="413"/>
      <c r="D148" s="413"/>
      <c r="E148" s="414"/>
    </row>
    <row r="149" spans="1:5" ht="18.7" customHeight="1">
      <c r="A149" s="491" t="s">
        <v>318</v>
      </c>
      <c r="B149" s="459" t="s">
        <v>319</v>
      </c>
      <c r="C149" s="460">
        <f>(Itran*tresp*ms)/Vout_delta/uF</f>
        <v>1600000</v>
      </c>
      <c r="D149" s="488" t="s">
        <v>23</v>
      </c>
      <c r="E149" s="486" t="s">
        <v>758</v>
      </c>
    </row>
    <row r="150" spans="1:5">
      <c r="A150" s="491"/>
      <c r="B150" s="459"/>
      <c r="C150" s="460"/>
      <c r="D150" s="489"/>
      <c r="E150" s="487"/>
    </row>
    <row r="151" spans="1:5" ht="18.7" customHeight="1">
      <c r="A151" s="491" t="s">
        <v>421</v>
      </c>
      <c r="B151" s="459" t="s">
        <v>425</v>
      </c>
      <c r="C151" s="460">
        <f>'LOOKUP TABLES AND DROPDOWN LIST'!T23</f>
        <v>680</v>
      </c>
      <c r="D151" s="415" t="s">
        <v>23</v>
      </c>
      <c r="E151" s="416"/>
    </row>
    <row r="152" spans="1:5" ht="18.7" customHeight="1">
      <c r="A152" s="491"/>
      <c r="B152" s="459"/>
      <c r="C152" s="460"/>
      <c r="D152" s="415"/>
      <c r="E152" s="416"/>
    </row>
    <row r="153" spans="1:5" ht="18.7" customHeight="1">
      <c r="A153" s="103" t="s">
        <v>426</v>
      </c>
      <c r="B153" s="107" t="s">
        <v>427</v>
      </c>
      <c r="C153" s="66">
        <f>IF('START HERE'!C69="","",'START HERE'!C69)</f>
        <v>820</v>
      </c>
      <c r="D153" s="91" t="s">
        <v>428</v>
      </c>
      <c r="E153" s="90" t="s">
        <v>98</v>
      </c>
    </row>
    <row r="154" spans="1:5" ht="18.7" customHeight="1">
      <c r="A154" s="97" t="s">
        <v>429</v>
      </c>
      <c r="B154" s="99" t="s">
        <v>320</v>
      </c>
      <c r="C154" s="100">
        <f>IF(Cout_actual="",Cout_rcmd,Cout_actual)</f>
        <v>820</v>
      </c>
      <c r="D154" s="415" t="s">
        <v>428</v>
      </c>
      <c r="E154" s="416"/>
    </row>
    <row r="155" spans="1:5" ht="17.7">
      <c r="A155" s="97" t="s">
        <v>321</v>
      </c>
      <c r="B155" s="99" t="s">
        <v>322</v>
      </c>
      <c r="C155" s="100">
        <f>SQRT((Iocc^2)+((Lp*uH*Ipp_nom*fmax*kHz/Vbulk_valley)*((Isp_max^2/3)-Isp_max*Iocc)))</f>
        <v>7.286124228546309</v>
      </c>
      <c r="D155" s="415" t="s">
        <v>12</v>
      </c>
      <c r="E155" s="416"/>
    </row>
    <row r="156" spans="1:5" ht="17.7">
      <c r="A156" s="54" t="s">
        <v>432</v>
      </c>
      <c r="B156" s="99" t="s">
        <v>431</v>
      </c>
      <c r="C156" s="100">
        <f>Vripple_target*mV/Isp_max/mOhms</f>
        <v>18.111254851228978</v>
      </c>
      <c r="D156" s="415" t="s">
        <v>58</v>
      </c>
      <c r="E156" s="416"/>
    </row>
    <row r="157" spans="1:5" ht="17.7">
      <c r="A157" s="67" t="s">
        <v>433</v>
      </c>
      <c r="B157" s="107" t="s">
        <v>434</v>
      </c>
      <c r="C157" s="66">
        <f>IF('START HERE'!C71="","",'START HERE'!C71)</f>
        <v>23</v>
      </c>
      <c r="D157" s="91" t="s">
        <v>58</v>
      </c>
      <c r="E157" s="90" t="s">
        <v>98</v>
      </c>
    </row>
    <row r="158" spans="1:5" ht="17.7">
      <c r="A158" s="54" t="s">
        <v>439</v>
      </c>
      <c r="B158" s="99" t="s">
        <v>323</v>
      </c>
      <c r="C158" s="100">
        <f>IF(ESRactual="",ESRrcmd,ESRactual)</f>
        <v>23</v>
      </c>
      <c r="D158" s="415" t="s">
        <v>58</v>
      </c>
      <c r="E158" s="416"/>
    </row>
    <row r="159" spans="1:5" ht="17.7" thickBot="1">
      <c r="A159" s="95" t="s">
        <v>440</v>
      </c>
      <c r="B159" s="83" t="s">
        <v>500</v>
      </c>
      <c r="C159" s="84">
        <f>(SQRT(((Isp_max*ESR*mOhms)^2)+((Iocc*ton_max*us)/(Cout*uF))^2))/mV</f>
        <v>514.07837258988388</v>
      </c>
      <c r="D159" s="457" t="s">
        <v>14</v>
      </c>
      <c r="E159" s="458"/>
    </row>
    <row r="160" spans="1:5" ht="14.3" thickBot="1">
      <c r="A160" s="49"/>
      <c r="B160" s="49"/>
      <c r="C160" s="49"/>
      <c r="D160" s="49"/>
      <c r="E160" s="49"/>
    </row>
    <row r="161" spans="1:5" s="12" customFormat="1" ht="18.350000000000001">
      <c r="A161" s="461" t="s">
        <v>365</v>
      </c>
      <c r="B161" s="462"/>
      <c r="C161" s="462"/>
      <c r="D161" s="462"/>
      <c r="E161" s="463"/>
    </row>
    <row r="162" spans="1:5" ht="17.7">
      <c r="A162" s="4" t="s">
        <v>332</v>
      </c>
      <c r="B162" s="94" t="s">
        <v>333</v>
      </c>
      <c r="C162" s="111">
        <v>190</v>
      </c>
      <c r="D162" s="101" t="s">
        <v>334</v>
      </c>
      <c r="E162" s="102" t="s">
        <v>373</v>
      </c>
    </row>
    <row r="163" spans="1:5" ht="17.7">
      <c r="A163" s="4" t="s">
        <v>348</v>
      </c>
      <c r="B163" s="94" t="s">
        <v>349</v>
      </c>
      <c r="C163" s="111">
        <v>225</v>
      </c>
      <c r="D163" s="101" t="s">
        <v>334</v>
      </c>
      <c r="E163" s="102" t="s">
        <v>373</v>
      </c>
    </row>
    <row r="164" spans="1:5" ht="17.7">
      <c r="A164" s="4" t="s">
        <v>335</v>
      </c>
      <c r="B164" s="94" t="s">
        <v>336</v>
      </c>
      <c r="C164" s="111">
        <v>275</v>
      </c>
      <c r="D164" s="101" t="s">
        <v>334</v>
      </c>
      <c r="E164" s="102" t="s">
        <v>373</v>
      </c>
    </row>
    <row r="165" spans="1:5" ht="17.7">
      <c r="A165" s="4" t="s">
        <v>358</v>
      </c>
      <c r="B165" s="94" t="s">
        <v>360</v>
      </c>
      <c r="C165" s="111">
        <v>70</v>
      </c>
      <c r="D165" s="101" t="s">
        <v>334</v>
      </c>
      <c r="E165" s="102" t="s">
        <v>373</v>
      </c>
    </row>
    <row r="166" spans="1:5" ht="17.7">
      <c r="A166" s="4" t="s">
        <v>357</v>
      </c>
      <c r="B166" s="94" t="s">
        <v>361</v>
      </c>
      <c r="C166" s="111">
        <v>80</v>
      </c>
      <c r="D166" s="101" t="s">
        <v>334</v>
      </c>
      <c r="E166" s="102" t="s">
        <v>373</v>
      </c>
    </row>
    <row r="167" spans="1:5" ht="17.7">
      <c r="A167" s="4" t="s">
        <v>359</v>
      </c>
      <c r="B167" s="94" t="s">
        <v>362</v>
      </c>
      <c r="C167" s="111">
        <v>100</v>
      </c>
      <c r="D167" s="101" t="s">
        <v>334</v>
      </c>
      <c r="E167" s="102" t="s">
        <v>373</v>
      </c>
    </row>
    <row r="168" spans="1:5" ht="18.7" customHeight="1">
      <c r="A168" s="410" t="s">
        <v>344</v>
      </c>
      <c r="B168" s="270" t="s">
        <v>342</v>
      </c>
      <c r="C168" s="456">
        <f>'LOOKUP TABLES AND DROPDOWN LIST'!H57</f>
        <v>27.4</v>
      </c>
      <c r="D168" s="263" t="s">
        <v>340</v>
      </c>
      <c r="E168" s="298"/>
    </row>
    <row r="169" spans="1:5">
      <c r="A169" s="410"/>
      <c r="B169" s="270"/>
      <c r="C169" s="456"/>
      <c r="D169" s="263"/>
      <c r="E169" s="298"/>
    </row>
    <row r="170" spans="1:5" ht="14.95" customHeight="1">
      <c r="A170" s="472" t="s">
        <v>345</v>
      </c>
      <c r="B170" s="418" t="s">
        <v>346</v>
      </c>
      <c r="C170" s="490">
        <f>IF('START HERE'!C78="","",'START HERE'!C78)</f>
        <v>27</v>
      </c>
      <c r="D170" s="420" t="s">
        <v>340</v>
      </c>
      <c r="E170" s="421" t="s">
        <v>98</v>
      </c>
    </row>
    <row r="171" spans="1:5">
      <c r="A171" s="472"/>
      <c r="B171" s="418"/>
      <c r="C171" s="490"/>
      <c r="D171" s="420"/>
      <c r="E171" s="421"/>
    </row>
    <row r="172" spans="1:5" ht="17.7">
      <c r="A172" s="98" t="s">
        <v>347</v>
      </c>
      <c r="B172" s="94" t="s">
        <v>337</v>
      </c>
      <c r="C172" s="58">
        <f>IF(Rvs1_actual="",Rvs1_rcmd,Rvs1_actual)</f>
        <v>27</v>
      </c>
      <c r="D172" s="263" t="s">
        <v>340</v>
      </c>
      <c r="E172" s="298"/>
    </row>
    <row r="173" spans="1:5" ht="17.7">
      <c r="A173" s="98" t="s">
        <v>353</v>
      </c>
      <c r="B173" s="94" t="s">
        <v>350</v>
      </c>
      <c r="C173" s="59">
        <f>IF(Vin_type="AC",(R_vs1*kOhms*Npa*Ivslrun_min*uA)/SQRT(2),R_vs1*kOhms*Npa*Ivslrun_min*uA)</f>
        <v>13.337999999999999</v>
      </c>
      <c r="D173" s="263" t="str">
        <f t="shared" ref="D173:D178" si="0">IF(Vin_type="AC","VAC","VDC")</f>
        <v>VDC</v>
      </c>
      <c r="E173" s="298"/>
    </row>
    <row r="174" spans="1:5" ht="17">
      <c r="A174" s="77" t="s">
        <v>352</v>
      </c>
      <c r="B174" s="78" t="s">
        <v>501</v>
      </c>
      <c r="C174" s="79">
        <f>IF(Vin_type="AC",(R_vs1*kOhms*Npa*Ivslrun_nom*uA)/SQRT(2),R_vs1*kOhms*Npa*Ivslrun_nom*uA)</f>
        <v>15.795</v>
      </c>
      <c r="D174" s="468" t="str">
        <f t="shared" si="0"/>
        <v>VDC</v>
      </c>
      <c r="E174" s="469"/>
    </row>
    <row r="175" spans="1:5" ht="17.7">
      <c r="A175" s="98" t="s">
        <v>354</v>
      </c>
      <c r="B175" s="94" t="s">
        <v>351</v>
      </c>
      <c r="C175" s="59">
        <f>IF(Vin_type="AC",(R_vs1*kOhms*Npa*Ivslrun_max*uA)/SQRT(2),R_vs1*kOhms*Npa*Ivslrun_max*uA)</f>
        <v>19.305</v>
      </c>
      <c r="D175" s="263" t="str">
        <f t="shared" si="0"/>
        <v>VDC</v>
      </c>
      <c r="E175" s="298"/>
    </row>
    <row r="176" spans="1:5" ht="17.7">
      <c r="A176" s="98" t="s">
        <v>355</v>
      </c>
      <c r="B176" s="94" t="s">
        <v>363</v>
      </c>
      <c r="C176" s="21">
        <f>IF(Vin_type="AC",((R_vs1*kOhms*Npa*Ivslstop_min*uA)+(Vbulk_min-Vbulk_valley))/SQRT(2),((R_vs1*kOhms*Npa*Ivslstop_min*uA)+(Vbulk_min-Vbulk_valley)))</f>
        <v>6.9139999999999997</v>
      </c>
      <c r="D176" s="263" t="str">
        <f t="shared" si="0"/>
        <v>VDC</v>
      </c>
      <c r="E176" s="298"/>
    </row>
    <row r="177" spans="1:5" ht="17">
      <c r="A177" s="85" t="s">
        <v>387</v>
      </c>
      <c r="B177" s="78" t="s">
        <v>502</v>
      </c>
      <c r="C177" s="79">
        <f>IF(Vin_type="AC",((R_vs1*kOhms*Npa*Ivslstop_nom*uA)+(Vbulk_min-Vbulk_valley))/SQRT(2),((R_vs1*kOhms*Npa*Ivslstop_nom*uA)+(Vbulk_min-Vbulk_valley)))</f>
        <v>7.6159999999999997</v>
      </c>
      <c r="D177" s="468" t="str">
        <f t="shared" si="0"/>
        <v>VDC</v>
      </c>
      <c r="E177" s="469"/>
    </row>
    <row r="178" spans="1:5" ht="17.7">
      <c r="A178" s="98" t="s">
        <v>356</v>
      </c>
      <c r="B178" s="94" t="s">
        <v>364</v>
      </c>
      <c r="C178" s="21">
        <f>IF(Vin_type="AC",((R_vs1*kOhms*Npa*Ivslstop_max*uA)+(Vbulk_min-Vbulk_valley))/SQRT(2),((R_vs1*kOhms*Npa*Ivslstop_max*uA)+(Vbulk_min-Vbulk_valley)))</f>
        <v>9.02</v>
      </c>
      <c r="D178" s="263" t="str">
        <f t="shared" si="0"/>
        <v>VDC</v>
      </c>
      <c r="E178" s="298"/>
    </row>
    <row r="179" spans="1:5" ht="17.7">
      <c r="A179" s="4" t="s">
        <v>368</v>
      </c>
      <c r="B179" s="94" t="s">
        <v>367</v>
      </c>
      <c r="C179" s="111">
        <v>4.5199999999999996</v>
      </c>
      <c r="D179" s="101" t="s">
        <v>10</v>
      </c>
      <c r="E179" s="102" t="s">
        <v>373</v>
      </c>
    </row>
    <row r="180" spans="1:5" ht="17.7">
      <c r="A180" s="98" t="s">
        <v>369</v>
      </c>
      <c r="B180" s="94" t="s">
        <v>370</v>
      </c>
      <c r="C180" s="21">
        <v>4.5999999999999996</v>
      </c>
      <c r="D180" s="101" t="s">
        <v>10</v>
      </c>
      <c r="E180" s="102" t="s">
        <v>373</v>
      </c>
    </row>
    <row r="181" spans="1:5" ht="17.7">
      <c r="A181" s="98" t="s">
        <v>371</v>
      </c>
      <c r="B181" s="94" t="s">
        <v>372</v>
      </c>
      <c r="C181" s="21">
        <v>4.71</v>
      </c>
      <c r="D181" s="101" t="s">
        <v>10</v>
      </c>
      <c r="E181" s="102" t="s">
        <v>373</v>
      </c>
    </row>
    <row r="182" spans="1:5" ht="18.7" customHeight="1">
      <c r="A182" s="410" t="s">
        <v>414</v>
      </c>
      <c r="B182" s="270" t="s">
        <v>366</v>
      </c>
      <c r="C182" s="456">
        <f>'LOOKUP TABLES AND DROPDOWN LIST'!H60</f>
        <v>12.1</v>
      </c>
      <c r="D182" s="263" t="s">
        <v>374</v>
      </c>
      <c r="E182" s="298"/>
    </row>
    <row r="183" spans="1:5">
      <c r="A183" s="410"/>
      <c r="B183" s="270"/>
      <c r="C183" s="456"/>
      <c r="D183" s="263"/>
      <c r="E183" s="298"/>
    </row>
    <row r="184" spans="1:5" ht="18.7" customHeight="1">
      <c r="A184" s="472" t="s">
        <v>380</v>
      </c>
      <c r="B184" s="496" t="s">
        <v>379</v>
      </c>
      <c r="C184" s="498">
        <f>IF('START HERE'!C81="","",'START HERE'!C81)</f>
        <v>12.7</v>
      </c>
      <c r="D184" s="500" t="s">
        <v>374</v>
      </c>
      <c r="E184" s="421" t="s">
        <v>98</v>
      </c>
    </row>
    <row r="185" spans="1:5" ht="14.3" customHeight="1">
      <c r="A185" s="472"/>
      <c r="B185" s="497"/>
      <c r="C185" s="499"/>
      <c r="D185" s="501"/>
      <c r="E185" s="421"/>
    </row>
    <row r="186" spans="1:5" ht="17.7">
      <c r="A186" s="98" t="s">
        <v>386</v>
      </c>
      <c r="B186" s="94" t="s">
        <v>381</v>
      </c>
      <c r="C186" s="21">
        <f>IF(Rvs2_actual="",Rvs2_rcmd,Rvs2_actual)</f>
        <v>12.7</v>
      </c>
      <c r="D186" s="263" t="s">
        <v>374</v>
      </c>
      <c r="E186" s="298"/>
    </row>
    <row r="187" spans="1:5" ht="17.7">
      <c r="A187" s="98" t="s">
        <v>388</v>
      </c>
      <c r="B187" s="94" t="s">
        <v>389</v>
      </c>
      <c r="C187" s="21">
        <f>(((R_vs1*kOhms*Vovp_min)/(R_vs2*kOhms)+Vovp_min)/Nas)+Vf+(DCR_Lout*mOhms*Iocc)</f>
        <v>23.460354330708657</v>
      </c>
      <c r="D187" s="263" t="s">
        <v>10</v>
      </c>
      <c r="E187" s="298"/>
    </row>
    <row r="188" spans="1:5" ht="17">
      <c r="A188" s="85" t="s">
        <v>390</v>
      </c>
      <c r="B188" s="78" t="s">
        <v>503</v>
      </c>
      <c r="C188" s="79">
        <f>(((R_vs1*kOhms*Vovp_nom)/(R_vs2*kOhms)+Vovp_nom)/Nas)+Vf+(DCR_Lout*mOhms*Iocc)</f>
        <v>23.866732283464565</v>
      </c>
      <c r="D188" s="197" t="s">
        <v>10</v>
      </c>
      <c r="E188" s="232" t="s">
        <v>759</v>
      </c>
    </row>
    <row r="189" spans="1:5" ht="18.350000000000001" thickBot="1">
      <c r="A189" s="62" t="s">
        <v>392</v>
      </c>
      <c r="B189" s="24" t="s">
        <v>391</v>
      </c>
      <c r="C189" s="26">
        <f>(((R_vs1*kOhms*Vovp_max)/(R_vs2*kOhms)+Vovp_max)/Nas)+Vf+(DCR_Lout*mOhms*Iocc)</f>
        <v>24.425501968503937</v>
      </c>
      <c r="D189" s="310" t="s">
        <v>10</v>
      </c>
      <c r="E189" s="311"/>
    </row>
    <row r="190" spans="1:5" ht="14.3" thickBot="1">
      <c r="C190" s="57"/>
    </row>
    <row r="191" spans="1:5" ht="18.350000000000001">
      <c r="A191" s="412" t="s">
        <v>330</v>
      </c>
      <c r="B191" s="413"/>
      <c r="C191" s="413"/>
      <c r="D191" s="413"/>
      <c r="E191" s="414"/>
    </row>
    <row r="192" spans="1:5" ht="17.7">
      <c r="A192" s="69" t="s">
        <v>408</v>
      </c>
      <c r="B192" s="94" t="s">
        <v>407</v>
      </c>
      <c r="C192" s="111">
        <v>25</v>
      </c>
      <c r="D192" s="101" t="s">
        <v>406</v>
      </c>
      <c r="E192" s="102" t="s">
        <v>373</v>
      </c>
    </row>
    <row r="193" spans="1:5" ht="17.7">
      <c r="A193" s="69" t="s">
        <v>413</v>
      </c>
      <c r="B193" s="94" t="s">
        <v>412</v>
      </c>
      <c r="C193" s="111">
        <f>tdoff+50</f>
        <v>89</v>
      </c>
      <c r="D193" s="263" t="s">
        <v>52</v>
      </c>
      <c r="E193" s="298"/>
    </row>
    <row r="194" spans="1:5" ht="18.7" customHeight="1">
      <c r="A194" s="69" t="s">
        <v>416</v>
      </c>
      <c r="B194" s="94" t="s">
        <v>462</v>
      </c>
      <c r="C194" s="21">
        <f>'LOOKUP TABLES AND DROPDOWN LIST'!H63</f>
        <v>0.442</v>
      </c>
      <c r="D194" s="263" t="s">
        <v>340</v>
      </c>
      <c r="E194" s="298"/>
    </row>
    <row r="195" spans="1:5" ht="18.7" customHeight="1">
      <c r="A195" s="63" t="s">
        <v>461</v>
      </c>
      <c r="B195" s="92" t="s">
        <v>463</v>
      </c>
      <c r="C195" s="33">
        <f>IF('START HERE'!C84="","",'START HERE'!C84)</f>
        <v>0.47</v>
      </c>
      <c r="D195" s="93" t="s">
        <v>374</v>
      </c>
      <c r="E195" s="96" t="s">
        <v>98</v>
      </c>
    </row>
    <row r="196" spans="1:5" ht="18.7" customHeight="1">
      <c r="A196" s="69" t="s">
        <v>464</v>
      </c>
      <c r="B196" s="94" t="s">
        <v>415</v>
      </c>
      <c r="C196" s="21">
        <f>IF(Rlc_actual="",Rlc_rcmd,Rlc_actual)</f>
        <v>0.47</v>
      </c>
      <c r="D196" s="263" t="s">
        <v>374</v>
      </c>
      <c r="E196" s="298"/>
    </row>
    <row r="197" spans="1:5" ht="18.7" customHeight="1">
      <c r="A197" s="470" t="s">
        <v>504</v>
      </c>
      <c r="B197" s="478" t="str">
        <f>IF(Rlc&lt;0.95*Rlc_rcmd,"Using a resistor value that is significantly less than that recommended will result in a higher constant current output at higher input line voltage.",IF(Rlc&gt;1.05*Rlc_rcmd,"Using a resistor value that is significantly higher than that recommended will result in lower constant current output at higher input line voltage.","Output Constant Current will have minimal deviation over input line voltage range."))</f>
        <v>Using a resistor value that is significantly higher than that recommended will result in lower constant current output at higher input line voltage.</v>
      </c>
      <c r="C197" s="479"/>
      <c r="D197" s="479"/>
      <c r="E197" s="480"/>
    </row>
    <row r="198" spans="1:5" ht="18.7" customHeight="1" thickBot="1">
      <c r="A198" s="471"/>
      <c r="B198" s="481"/>
      <c r="C198" s="482"/>
      <c r="D198" s="482"/>
      <c r="E198" s="483"/>
    </row>
    <row r="199" spans="1:5" ht="14.3" thickBot="1">
      <c r="A199" s="49"/>
      <c r="B199" s="68"/>
      <c r="C199" s="68"/>
      <c r="D199" s="68"/>
      <c r="E199" s="68"/>
    </row>
    <row r="200" spans="1:5" ht="18.350000000000001">
      <c r="A200" s="412" t="s">
        <v>331</v>
      </c>
      <c r="B200" s="413"/>
      <c r="C200" s="413"/>
      <c r="D200" s="413"/>
      <c r="E200" s="414"/>
    </row>
    <row r="201" spans="1:5" ht="17.7">
      <c r="A201" s="4" t="s">
        <v>441</v>
      </c>
      <c r="B201" s="94" t="s">
        <v>417</v>
      </c>
      <c r="C201" s="111">
        <v>2.65</v>
      </c>
      <c r="D201" s="101" t="s">
        <v>36</v>
      </c>
      <c r="E201" s="102" t="s">
        <v>373</v>
      </c>
    </row>
    <row r="202" spans="1:5" ht="17.7">
      <c r="A202" s="4" t="s">
        <v>442</v>
      </c>
      <c r="B202" s="94" t="s">
        <v>443</v>
      </c>
      <c r="C202" s="111">
        <v>23</v>
      </c>
      <c r="D202" s="101" t="s">
        <v>10</v>
      </c>
      <c r="E202" s="102" t="s">
        <v>373</v>
      </c>
    </row>
    <row r="203" spans="1:5" ht="17.7">
      <c r="A203" s="4" t="s">
        <v>445</v>
      </c>
      <c r="B203" s="94" t="s">
        <v>444</v>
      </c>
      <c r="C203" s="111">
        <v>8.15</v>
      </c>
      <c r="D203" s="101" t="s">
        <v>10</v>
      </c>
      <c r="E203" s="102" t="s">
        <v>373</v>
      </c>
    </row>
    <row r="204" spans="1:5" ht="17.7">
      <c r="A204" s="4" t="s">
        <v>448</v>
      </c>
      <c r="B204" s="94" t="s">
        <v>449</v>
      </c>
      <c r="C204" s="21">
        <f>0.8*Psb_target*mW/(0.5*Lp*uH*(Ipp_fm^2))/kHz</f>
        <v>0.13435598941641327</v>
      </c>
      <c r="D204" s="273" t="s">
        <v>15</v>
      </c>
      <c r="E204" s="266"/>
    </row>
    <row r="205" spans="1:5" ht="17.7">
      <c r="A205" s="4" t="s">
        <v>456</v>
      </c>
      <c r="B205" s="94" t="s">
        <v>457</v>
      </c>
      <c r="C205" s="21">
        <v>20</v>
      </c>
      <c r="D205" s="273" t="s">
        <v>24</v>
      </c>
      <c r="E205" s="266"/>
    </row>
    <row r="206" spans="1:5" ht="17.7">
      <c r="A206" s="4" t="s">
        <v>450</v>
      </c>
      <c r="B206" s="94" t="s">
        <v>451</v>
      </c>
      <c r="C206" s="21">
        <f>Cvdd1</f>
        <v>0.47</v>
      </c>
      <c r="D206" s="273" t="s">
        <v>454</v>
      </c>
      <c r="E206" s="266"/>
    </row>
    <row r="207" spans="1:5" ht="17.7">
      <c r="A207" s="4" t="s">
        <v>467</v>
      </c>
      <c r="B207" s="94" t="s">
        <v>455</v>
      </c>
      <c r="C207" s="21">
        <f>'LOOKUP TABLES AND DROPDOWN LIST'!Q27</f>
        <v>22</v>
      </c>
      <c r="D207" s="273" t="s">
        <v>454</v>
      </c>
      <c r="E207" s="266"/>
    </row>
    <row r="208" spans="1:5" ht="17.7">
      <c r="A208" s="4" t="s">
        <v>465</v>
      </c>
      <c r="B208" s="94" t="s">
        <v>466</v>
      </c>
      <c r="C208" s="21">
        <f>'LOOKUP TABLES AND DROPDOWN LIST'!Q31</f>
        <v>22</v>
      </c>
      <c r="D208" s="273" t="s">
        <v>454</v>
      </c>
      <c r="E208" s="266"/>
    </row>
    <row r="209" spans="1:5" ht="18.350000000000001" thickBot="1">
      <c r="A209" s="5" t="s">
        <v>473</v>
      </c>
      <c r="B209" s="24" t="s">
        <v>468</v>
      </c>
      <c r="C209" s="26">
        <f>MAX(C206:C208)</f>
        <v>22</v>
      </c>
      <c r="D209" s="293" t="s">
        <v>454</v>
      </c>
      <c r="E209" s="295"/>
    </row>
    <row r="210" spans="1:5" ht="14.3" thickBot="1"/>
    <row r="211" spans="1:5" ht="15.65">
      <c r="A211" s="412" t="s">
        <v>329</v>
      </c>
      <c r="B211" s="413"/>
      <c r="C211" s="413"/>
      <c r="D211" s="413"/>
      <c r="E211" s="414"/>
    </row>
    <row r="212" spans="1:5" ht="17.7">
      <c r="A212" s="63" t="s">
        <v>479</v>
      </c>
      <c r="B212" s="221" t="s">
        <v>480</v>
      </c>
      <c r="C212" s="32">
        <f>'START HERE'!C86</f>
        <v>2.4950000000000001</v>
      </c>
      <c r="D212" s="87" t="s">
        <v>10</v>
      </c>
      <c r="E212" s="234" t="s">
        <v>98</v>
      </c>
    </row>
    <row r="213" spans="1:5" ht="17.7">
      <c r="A213" s="63" t="s">
        <v>600</v>
      </c>
      <c r="B213" s="221" t="s">
        <v>482</v>
      </c>
      <c r="C213" s="32">
        <f>'START HERE'!C87</f>
        <v>4</v>
      </c>
      <c r="D213" s="87" t="s">
        <v>334</v>
      </c>
      <c r="E213" s="234" t="s">
        <v>98</v>
      </c>
    </row>
    <row r="214" spans="1:5" ht="18.7" customHeight="1">
      <c r="A214" s="491" t="s">
        <v>495</v>
      </c>
      <c r="B214" s="270" t="s">
        <v>486</v>
      </c>
      <c r="C214" s="494">
        <f>'LOOKUP TABLES AND DROPDOWN LIST'!H66</f>
        <v>44.2</v>
      </c>
      <c r="D214" s="263" t="s">
        <v>340</v>
      </c>
      <c r="E214" s="298"/>
    </row>
    <row r="215" spans="1:5">
      <c r="A215" s="491"/>
      <c r="B215" s="270"/>
      <c r="C215" s="494"/>
      <c r="D215" s="263"/>
      <c r="E215" s="298"/>
    </row>
    <row r="216" spans="1:5" ht="14.95" customHeight="1">
      <c r="A216" s="495" t="s">
        <v>496</v>
      </c>
      <c r="B216" s="418" t="s">
        <v>490</v>
      </c>
      <c r="C216" s="419">
        <f>IF('START HERE'!C89="","",'START HERE'!C89)</f>
        <v>44.2</v>
      </c>
      <c r="D216" s="420" t="s">
        <v>374</v>
      </c>
      <c r="E216" s="421" t="s">
        <v>98</v>
      </c>
    </row>
    <row r="217" spans="1:5" ht="14.95" customHeight="1">
      <c r="A217" s="495"/>
      <c r="B217" s="418"/>
      <c r="C217" s="419"/>
      <c r="D217" s="420"/>
      <c r="E217" s="421"/>
    </row>
    <row r="218" spans="1:5" ht="15.8" customHeight="1">
      <c r="A218" s="235" t="s">
        <v>494</v>
      </c>
      <c r="B218" s="216" t="s">
        <v>481</v>
      </c>
      <c r="C218" s="220">
        <f>IF(Rfb2_actual="",Rfb2_rcmd,Rfb2_actual)</f>
        <v>44.2</v>
      </c>
      <c r="D218" s="273" t="s">
        <v>374</v>
      </c>
      <c r="E218" s="266"/>
    </row>
    <row r="219" spans="1:5" ht="18.7" customHeight="1">
      <c r="A219" s="491" t="s">
        <v>506</v>
      </c>
      <c r="B219" s="270" t="s">
        <v>505</v>
      </c>
      <c r="C219" s="494">
        <f>'LOOKUP TABLES AND DROPDOWN LIST'!H69</f>
        <v>226</v>
      </c>
      <c r="D219" s="299" t="s">
        <v>374</v>
      </c>
      <c r="E219" s="301"/>
    </row>
    <row r="220" spans="1:5">
      <c r="A220" s="491"/>
      <c r="B220" s="270"/>
      <c r="C220" s="494"/>
      <c r="D220" s="422"/>
      <c r="E220" s="423"/>
    </row>
    <row r="221" spans="1:5" ht="18.7" customHeight="1">
      <c r="A221" s="417" t="s">
        <v>509</v>
      </c>
      <c r="B221" s="418" t="s">
        <v>508</v>
      </c>
      <c r="C221" s="419">
        <f>IF('START HERE'!C91="","",'START HERE'!C91)</f>
        <v>226</v>
      </c>
      <c r="D221" s="420" t="s">
        <v>374</v>
      </c>
      <c r="E221" s="421" t="s">
        <v>98</v>
      </c>
    </row>
    <row r="222" spans="1:5" ht="14.3" customHeight="1">
      <c r="A222" s="417"/>
      <c r="B222" s="418"/>
      <c r="C222" s="419"/>
      <c r="D222" s="420"/>
      <c r="E222" s="421"/>
    </row>
    <row r="223" spans="1:5" ht="17.7">
      <c r="A223" s="69" t="s">
        <v>514</v>
      </c>
      <c r="B223" s="216" t="s">
        <v>515</v>
      </c>
      <c r="C223" s="220">
        <f>((IF(Rfb1_actual="",Rfb1_rcmd,Rfb1_actual))+(Rinj/kOhms))</f>
        <v>226.02</v>
      </c>
      <c r="D223" s="273" t="s">
        <v>374</v>
      </c>
      <c r="E223" s="266"/>
    </row>
    <row r="224" spans="1:5" ht="17.7">
      <c r="A224" s="225" t="s">
        <v>717</v>
      </c>
      <c r="B224" s="221" t="s">
        <v>718</v>
      </c>
      <c r="C224" s="222">
        <v>20</v>
      </c>
      <c r="D224" s="110" t="s">
        <v>719</v>
      </c>
      <c r="E224" s="236" t="s">
        <v>720</v>
      </c>
    </row>
    <row r="225" spans="1:5" ht="17">
      <c r="A225" s="237" t="s">
        <v>516</v>
      </c>
      <c r="B225" s="78" t="s">
        <v>520</v>
      </c>
      <c r="C225" s="79">
        <f>(R_fb1*kOhms*(Vref431/(R_fb2*kOhms)))+Vref431</f>
        <v>15.253368778280542</v>
      </c>
      <c r="D225" s="406" t="s">
        <v>10</v>
      </c>
      <c r="E225" s="407"/>
    </row>
    <row r="226" spans="1:5" ht="18.7" customHeight="1">
      <c r="A226" s="238" t="s">
        <v>533</v>
      </c>
      <c r="B226" s="221" t="s">
        <v>538</v>
      </c>
      <c r="C226" s="109">
        <v>50</v>
      </c>
      <c r="D226" s="233" t="s">
        <v>524</v>
      </c>
      <c r="E226" s="234" t="s">
        <v>98</v>
      </c>
    </row>
    <row r="227" spans="1:5" ht="14.3" customHeight="1">
      <c r="A227" s="25" t="s">
        <v>534</v>
      </c>
      <c r="B227" s="224" t="s">
        <v>539</v>
      </c>
      <c r="C227" s="222">
        <v>3</v>
      </c>
      <c r="D227" s="87" t="s">
        <v>523</v>
      </c>
      <c r="E227" s="234" t="s">
        <v>98</v>
      </c>
    </row>
    <row r="228" spans="1:5" ht="17.7">
      <c r="A228" s="25" t="s">
        <v>535</v>
      </c>
      <c r="B228" s="224" t="s">
        <v>540</v>
      </c>
      <c r="C228" s="222">
        <v>100</v>
      </c>
      <c r="D228" s="110" t="s">
        <v>48</v>
      </c>
      <c r="E228" s="234" t="s">
        <v>98</v>
      </c>
    </row>
    <row r="229" spans="1:5" ht="18.7" customHeight="1">
      <c r="A229" s="25" t="s">
        <v>536</v>
      </c>
      <c r="B229" s="221" t="s">
        <v>541</v>
      </c>
      <c r="C229" s="222">
        <v>80</v>
      </c>
      <c r="D229" s="87" t="s">
        <v>15</v>
      </c>
      <c r="E229" s="234" t="s">
        <v>98</v>
      </c>
    </row>
    <row r="230" spans="1:5" ht="18.7" customHeight="1">
      <c r="A230" s="25" t="s">
        <v>537</v>
      </c>
      <c r="B230" s="221" t="s">
        <v>542</v>
      </c>
      <c r="C230" s="222">
        <v>1.4</v>
      </c>
      <c r="D230" s="87" t="s">
        <v>10</v>
      </c>
      <c r="E230" s="234" t="s">
        <v>98</v>
      </c>
    </row>
    <row r="231" spans="1:5" ht="17.7">
      <c r="A231" s="4" t="s">
        <v>544</v>
      </c>
      <c r="B231" s="216" t="s">
        <v>545</v>
      </c>
      <c r="C231" s="21">
        <f>(tf_opto*us)/(2*PI()*Rl_opto)/nF</f>
        <v>4.7746482927568596</v>
      </c>
      <c r="D231" s="263" t="s">
        <v>547</v>
      </c>
      <c r="E231" s="298"/>
    </row>
    <row r="232" spans="1:5" ht="17.7">
      <c r="A232" s="4" t="s">
        <v>548</v>
      </c>
      <c r="B232" s="216" t="s">
        <v>549</v>
      </c>
      <c r="C232" s="220">
        <v>40</v>
      </c>
      <c r="D232" s="263" t="s">
        <v>340</v>
      </c>
      <c r="E232" s="298"/>
    </row>
    <row r="233" spans="1:5" ht="18.7" customHeight="1">
      <c r="A233" s="410" t="s">
        <v>555</v>
      </c>
      <c r="B233" s="270" t="s">
        <v>554</v>
      </c>
      <c r="C233" s="411">
        <v>0</v>
      </c>
      <c r="D233" s="263" t="s">
        <v>454</v>
      </c>
      <c r="E233" s="298"/>
    </row>
    <row r="234" spans="1:5" ht="18.7" customHeight="1">
      <c r="A234" s="410"/>
      <c r="B234" s="270"/>
      <c r="C234" s="411"/>
      <c r="D234" s="263"/>
      <c r="E234" s="298"/>
    </row>
    <row r="235" spans="1:5" ht="17.7">
      <c r="A235" s="25" t="s">
        <v>557</v>
      </c>
      <c r="B235" s="221" t="s">
        <v>556</v>
      </c>
      <c r="C235" s="32">
        <f>IF('START HERE'!C100="","",'START HERE'!C100)</f>
        <v>0</v>
      </c>
      <c r="D235" s="87" t="s">
        <v>454</v>
      </c>
      <c r="E235" s="234" t="s">
        <v>98</v>
      </c>
    </row>
    <row r="236" spans="1:5" ht="17.7">
      <c r="A236" s="4" t="s">
        <v>558</v>
      </c>
      <c r="B236" s="216" t="s">
        <v>559</v>
      </c>
      <c r="C236" s="220">
        <f>IF(Cext_actual="",Cext_rcmd,Cext_actual)</f>
        <v>0</v>
      </c>
      <c r="D236" s="263" t="s">
        <v>454</v>
      </c>
      <c r="E236" s="298"/>
    </row>
    <row r="237" spans="1:5" ht="17.7">
      <c r="A237" s="4" t="s">
        <v>561</v>
      </c>
      <c r="B237" s="216" t="s">
        <v>562</v>
      </c>
      <c r="C237" s="220">
        <f>'LOOKUP TABLES AND DROPDOWN LIST'!W23</f>
        <v>4.7E-2</v>
      </c>
      <c r="D237" s="273" t="s">
        <v>454</v>
      </c>
      <c r="E237" s="266"/>
    </row>
    <row r="238" spans="1:5" ht="17.7">
      <c r="A238" s="25" t="s">
        <v>565</v>
      </c>
      <c r="B238" s="221" t="s">
        <v>566</v>
      </c>
      <c r="C238" s="32">
        <f>IF('START HERE'!C102="","",'START HERE'!C102)</f>
        <v>4.7E-2</v>
      </c>
      <c r="D238" s="87" t="s">
        <v>454</v>
      </c>
      <c r="E238" s="234" t="s">
        <v>98</v>
      </c>
    </row>
    <row r="239" spans="1:5" ht="17.7">
      <c r="A239" s="4" t="s">
        <v>754</v>
      </c>
      <c r="B239" s="216" t="s">
        <v>755</v>
      </c>
      <c r="C239" s="220">
        <f>IF(Cfb_actual="",Cfb_rcmd,Cfb_actual)</f>
        <v>4.7E-2</v>
      </c>
      <c r="D239" s="218"/>
      <c r="E239" s="215"/>
    </row>
    <row r="240" spans="1:5" ht="17.7">
      <c r="A240" s="4" t="s">
        <v>571</v>
      </c>
      <c r="B240" s="216" t="s">
        <v>570</v>
      </c>
      <c r="C240" s="220">
        <v>22</v>
      </c>
      <c r="D240" s="273" t="s">
        <v>340</v>
      </c>
      <c r="E240" s="266"/>
    </row>
    <row r="241" spans="1:5" ht="17.7">
      <c r="A241" s="25" t="s">
        <v>572</v>
      </c>
      <c r="B241" s="221" t="s">
        <v>573</v>
      </c>
      <c r="C241" s="32">
        <f>IF('START HERE'!C104="","",'START HERE'!C104)</f>
        <v>22</v>
      </c>
      <c r="D241" s="87" t="s">
        <v>340</v>
      </c>
      <c r="E241" s="234" t="s">
        <v>98</v>
      </c>
    </row>
    <row r="242" spans="1:5" ht="17.7">
      <c r="A242" s="4" t="s">
        <v>578</v>
      </c>
      <c r="B242" s="216" t="s">
        <v>577</v>
      </c>
      <c r="C242" s="220">
        <f>IF(R_fb4_actual="",R_fb4_rcmd,R_fb4_actual)</f>
        <v>22</v>
      </c>
      <c r="D242" s="263" t="s">
        <v>340</v>
      </c>
      <c r="E242" s="298"/>
    </row>
    <row r="243" spans="1:5" ht="17.7">
      <c r="A243" s="4" t="s">
        <v>579</v>
      </c>
      <c r="B243" s="216" t="s">
        <v>580</v>
      </c>
      <c r="C243" s="21">
        <f>(R_fb4*kOhms)/((R_fb4*kOhms)+(Requ*kOhms))</f>
        <v>0.35483870967741937</v>
      </c>
      <c r="D243" s="263"/>
      <c r="E243" s="298"/>
    </row>
    <row r="244" spans="1:5" ht="17.7">
      <c r="A244" s="4" t="s">
        <v>581</v>
      </c>
      <c r="B244" s="216" t="s">
        <v>582</v>
      </c>
      <c r="C244" s="220">
        <f>480*kOhms/(-2.5)/kOhms</f>
        <v>-192</v>
      </c>
      <c r="D244" s="273" t="s">
        <v>340</v>
      </c>
      <c r="E244" s="266"/>
    </row>
    <row r="245" spans="1:5" ht="17.7">
      <c r="A245" s="4" t="s">
        <v>583</v>
      </c>
      <c r="B245" s="216" t="s">
        <v>584</v>
      </c>
      <c r="C245" s="220">
        <v>50.4</v>
      </c>
      <c r="D245" s="273" t="s">
        <v>585</v>
      </c>
      <c r="E245" s="266"/>
    </row>
    <row r="246" spans="1:5" ht="17.7">
      <c r="A246" s="4" t="s">
        <v>586</v>
      </c>
      <c r="B246" s="216" t="s">
        <v>587</v>
      </c>
      <c r="C246" s="21">
        <f>((Pout/(fmax*kHz))*((Ipp_nom/Ipp_nom)^2)*(1/Vout_cv))/uC</f>
        <v>110.00948766603415</v>
      </c>
      <c r="D246" s="263" t="s">
        <v>589</v>
      </c>
      <c r="E246" s="298"/>
    </row>
    <row r="247" spans="1:5" ht="17.7">
      <c r="A247" s="4" t="s">
        <v>603</v>
      </c>
      <c r="B247" s="216" t="s">
        <v>604</v>
      </c>
      <c r="C247" s="220">
        <v>1.5</v>
      </c>
      <c r="D247" s="263" t="s">
        <v>340</v>
      </c>
      <c r="E247" s="298"/>
    </row>
    <row r="248" spans="1:5" ht="17.7">
      <c r="A248" s="25" t="s">
        <v>606</v>
      </c>
      <c r="B248" s="221" t="s">
        <v>605</v>
      </c>
      <c r="C248" s="32">
        <f>IF('START HERE'!C106="","",'START HERE'!C106)</f>
        <v>1.5</v>
      </c>
      <c r="D248" s="87" t="s">
        <v>340</v>
      </c>
      <c r="E248" s="234" t="s">
        <v>98</v>
      </c>
    </row>
    <row r="249" spans="1:5" ht="17.7">
      <c r="A249" s="4" t="s">
        <v>607</v>
      </c>
      <c r="B249" s="216" t="s">
        <v>608</v>
      </c>
      <c r="C249" s="220">
        <f>IF(Rtl_actual="",Rtl_rcmd,Rtl_actual)</f>
        <v>1.5</v>
      </c>
      <c r="D249" s="273" t="s">
        <v>340</v>
      </c>
      <c r="E249" s="266"/>
    </row>
    <row r="250" spans="1:5" ht="17.7">
      <c r="A250" s="4" t="s">
        <v>615</v>
      </c>
      <c r="B250" s="216" t="s">
        <v>616</v>
      </c>
      <c r="C250" s="220">
        <f>'LOOKUP TABLES AND DROPDOWN LIST'!W82</f>
        <v>680</v>
      </c>
      <c r="D250" s="263" t="s">
        <v>28</v>
      </c>
      <c r="E250" s="298"/>
    </row>
    <row r="251" spans="1:5" ht="17.7">
      <c r="A251" s="25" t="s">
        <v>618</v>
      </c>
      <c r="B251" s="221" t="s">
        <v>617</v>
      </c>
      <c r="C251" s="32">
        <f>IF('START HERE'!C108="","",'START HERE'!C108)</f>
        <v>680</v>
      </c>
      <c r="D251" s="223" t="s">
        <v>28</v>
      </c>
      <c r="E251" s="227" t="s">
        <v>98</v>
      </c>
    </row>
    <row r="252" spans="1:5" ht="18.350000000000001" thickBot="1">
      <c r="A252" s="5" t="s">
        <v>756</v>
      </c>
      <c r="B252" s="24" t="s">
        <v>757</v>
      </c>
      <c r="C252" s="14">
        <f>IF(Cz_actual="",Cz_rcmd,Cz_actual)</f>
        <v>680</v>
      </c>
      <c r="D252" s="293" t="s">
        <v>28</v>
      </c>
      <c r="E252" s="295"/>
    </row>
    <row r="253" spans="1:5" ht="14.3">
      <c r="A253" s="112"/>
      <c r="B253" s="1"/>
    </row>
    <row r="254" spans="1:5" ht="14.3">
      <c r="A254" s="112"/>
    </row>
    <row r="255" spans="1:5" ht="14.3">
      <c r="A255" s="112"/>
    </row>
    <row r="256" spans="1:5" ht="14.3">
      <c r="A256" s="112"/>
    </row>
    <row r="257" spans="1:1" ht="14.3">
      <c r="A257" s="112"/>
    </row>
  </sheetData>
  <sheetProtection password="EFDD" sheet="1" objects="1" scenarios="1"/>
  <mergeCells count="203">
    <mergeCell ref="A211:E211"/>
    <mergeCell ref="D218:E218"/>
    <mergeCell ref="A182:A183"/>
    <mergeCell ref="B182:B183"/>
    <mergeCell ref="C182:C183"/>
    <mergeCell ref="D182:E183"/>
    <mergeCell ref="A184:A185"/>
    <mergeCell ref="E184:E185"/>
    <mergeCell ref="D186:E186"/>
    <mergeCell ref="B184:B185"/>
    <mergeCell ref="C184:C185"/>
    <mergeCell ref="D184:D185"/>
    <mergeCell ref="D204:E204"/>
    <mergeCell ref="D205:E205"/>
    <mergeCell ref="D206:E206"/>
    <mergeCell ref="D207:E207"/>
    <mergeCell ref="A219:A220"/>
    <mergeCell ref="B219:B220"/>
    <mergeCell ref="C219:C220"/>
    <mergeCell ref="A214:A215"/>
    <mergeCell ref="B214:B215"/>
    <mergeCell ref="C214:C215"/>
    <mergeCell ref="D214:E215"/>
    <mergeCell ref="A216:A217"/>
    <mergeCell ref="B216:B217"/>
    <mergeCell ref="C216:C217"/>
    <mergeCell ref="D216:D217"/>
    <mergeCell ref="E216:E217"/>
    <mergeCell ref="D94:E94"/>
    <mergeCell ref="D96:E96"/>
    <mergeCell ref="D97:E97"/>
    <mergeCell ref="D173:E173"/>
    <mergeCell ref="E149:E150"/>
    <mergeCell ref="D149:D150"/>
    <mergeCell ref="C170:C171"/>
    <mergeCell ref="A149:A150"/>
    <mergeCell ref="A151:A152"/>
    <mergeCell ref="A145:E145"/>
    <mergeCell ref="A148:E148"/>
    <mergeCell ref="D110:E110"/>
    <mergeCell ref="D114:E114"/>
    <mergeCell ref="D128:E128"/>
    <mergeCell ref="D127:E127"/>
    <mergeCell ref="A116:E116"/>
    <mergeCell ref="D130:E130"/>
    <mergeCell ref="D125:E125"/>
    <mergeCell ref="D124:E124"/>
    <mergeCell ref="D126:E126"/>
    <mergeCell ref="B197:E198"/>
    <mergeCell ref="D172:E172"/>
    <mergeCell ref="D170:D171"/>
    <mergeCell ref="E170:E171"/>
    <mergeCell ref="D106:E106"/>
    <mergeCell ref="D107:E107"/>
    <mergeCell ref="D108:E108"/>
    <mergeCell ref="D139:E139"/>
    <mergeCell ref="D196:E196"/>
    <mergeCell ref="D143:E143"/>
    <mergeCell ref="D137:E137"/>
    <mergeCell ref="D132:E132"/>
    <mergeCell ref="D133:E133"/>
    <mergeCell ref="A135:E135"/>
    <mergeCell ref="A141:E141"/>
    <mergeCell ref="D138:E138"/>
    <mergeCell ref="D174:E174"/>
    <mergeCell ref="D175:E175"/>
    <mergeCell ref="D176:E176"/>
    <mergeCell ref="D178:E178"/>
    <mergeCell ref="A197:A198"/>
    <mergeCell ref="A170:A171"/>
    <mergeCell ref="B170:B171"/>
    <mergeCell ref="D74:E74"/>
    <mergeCell ref="D76:E76"/>
    <mergeCell ref="D129:E129"/>
    <mergeCell ref="E118:E123"/>
    <mergeCell ref="D77:E77"/>
    <mergeCell ref="D98:E98"/>
    <mergeCell ref="D99:E99"/>
    <mergeCell ref="D100:E100"/>
    <mergeCell ref="D101:E101"/>
    <mergeCell ref="D102:E102"/>
    <mergeCell ref="A90:E90"/>
    <mergeCell ref="D117:E117"/>
    <mergeCell ref="D82:E82"/>
    <mergeCell ref="D85:E85"/>
    <mergeCell ref="D91:E91"/>
    <mergeCell ref="A86:A87"/>
    <mergeCell ref="B86:B87"/>
    <mergeCell ref="C86:C87"/>
    <mergeCell ref="D131:E131"/>
    <mergeCell ref="D86:D87"/>
    <mergeCell ref="A33:E33"/>
    <mergeCell ref="D36:E36"/>
    <mergeCell ref="D55:E55"/>
    <mergeCell ref="A168:A169"/>
    <mergeCell ref="B168:B169"/>
    <mergeCell ref="C168:C169"/>
    <mergeCell ref="D168:E169"/>
    <mergeCell ref="D151:E152"/>
    <mergeCell ref="D155:E155"/>
    <mergeCell ref="D158:E158"/>
    <mergeCell ref="D159:E159"/>
    <mergeCell ref="D156:E156"/>
    <mergeCell ref="B151:B152"/>
    <mergeCell ref="C151:C152"/>
    <mergeCell ref="B149:B150"/>
    <mergeCell ref="C149:C150"/>
    <mergeCell ref="A161:E161"/>
    <mergeCell ref="D57:E57"/>
    <mergeCell ref="D59:E59"/>
    <mergeCell ref="D60:E60"/>
    <mergeCell ref="D61:E61"/>
    <mergeCell ref="D63:E63"/>
    <mergeCell ref="D64:E64"/>
    <mergeCell ref="E86:E87"/>
    <mergeCell ref="A15:E15"/>
    <mergeCell ref="D29:E29"/>
    <mergeCell ref="D30:E30"/>
    <mergeCell ref="D31:E31"/>
    <mergeCell ref="A19:A20"/>
    <mergeCell ref="C19:C20"/>
    <mergeCell ref="D19:D20"/>
    <mergeCell ref="A21:A22"/>
    <mergeCell ref="C21:C22"/>
    <mergeCell ref="D21:D22"/>
    <mergeCell ref="B19:B20"/>
    <mergeCell ref="B21:B22"/>
    <mergeCell ref="A25:A26"/>
    <mergeCell ref="B25:B26"/>
    <mergeCell ref="C25:C26"/>
    <mergeCell ref="D25:D26"/>
    <mergeCell ref="E16:E28"/>
    <mergeCell ref="A3:E3"/>
    <mergeCell ref="D10:E10"/>
    <mergeCell ref="D11:E11"/>
    <mergeCell ref="A1:E1"/>
    <mergeCell ref="A2:E2"/>
    <mergeCell ref="D12:E12"/>
    <mergeCell ref="D13:E13"/>
    <mergeCell ref="D14:E14"/>
    <mergeCell ref="E4:E9"/>
    <mergeCell ref="C4:D4"/>
    <mergeCell ref="E221:E222"/>
    <mergeCell ref="D219:E220"/>
    <mergeCell ref="A35:E35"/>
    <mergeCell ref="D38:E38"/>
    <mergeCell ref="A34:E34"/>
    <mergeCell ref="D39:E39"/>
    <mergeCell ref="D40:E40"/>
    <mergeCell ref="A53:E53"/>
    <mergeCell ref="A42:E42"/>
    <mergeCell ref="A43:E43"/>
    <mergeCell ref="D45:E45"/>
    <mergeCell ref="A47:E47"/>
    <mergeCell ref="D48:E48"/>
    <mergeCell ref="D49:E49"/>
    <mergeCell ref="D51:E51"/>
    <mergeCell ref="D44:E44"/>
    <mergeCell ref="D113:E113"/>
    <mergeCell ref="D66:E66"/>
    <mergeCell ref="D67:E67"/>
    <mergeCell ref="D41:E41"/>
    <mergeCell ref="D65:E65"/>
    <mergeCell ref="D105:E105"/>
    <mergeCell ref="A69:E69"/>
    <mergeCell ref="D177:E177"/>
    <mergeCell ref="A32:E32"/>
    <mergeCell ref="D54:E54"/>
    <mergeCell ref="D231:E231"/>
    <mergeCell ref="A233:A234"/>
    <mergeCell ref="B233:B234"/>
    <mergeCell ref="C233:C234"/>
    <mergeCell ref="D232:E232"/>
    <mergeCell ref="D233:E234"/>
    <mergeCell ref="A200:E200"/>
    <mergeCell ref="D193:E193"/>
    <mergeCell ref="D154:E154"/>
    <mergeCell ref="D187:E187"/>
    <mergeCell ref="D189:E189"/>
    <mergeCell ref="A191:E191"/>
    <mergeCell ref="D194:E194"/>
    <mergeCell ref="D208:E208"/>
    <mergeCell ref="D209:E209"/>
    <mergeCell ref="A221:A222"/>
    <mergeCell ref="B221:B222"/>
    <mergeCell ref="C221:C222"/>
    <mergeCell ref="D81:E81"/>
    <mergeCell ref="D83:E83"/>
    <mergeCell ref="D223:E223"/>
    <mergeCell ref="D221:D222"/>
    <mergeCell ref="D252:E252"/>
    <mergeCell ref="D225:E225"/>
    <mergeCell ref="D249:E249"/>
    <mergeCell ref="D250:E250"/>
    <mergeCell ref="D236:E236"/>
    <mergeCell ref="D237:E237"/>
    <mergeCell ref="D242:E242"/>
    <mergeCell ref="D243:E243"/>
    <mergeCell ref="D244:E244"/>
    <mergeCell ref="D245:E245"/>
    <mergeCell ref="D246:E246"/>
    <mergeCell ref="D240:E240"/>
    <mergeCell ref="D247:E247"/>
  </mergeCells>
  <phoneticPr fontId="39" type="noConversion"/>
  <pageMargins left="0.7" right="0.7" top="0.75" bottom="0.75" header="0.3" footer="0.3"/>
  <pageSetup scale="60" fitToHeight="0" orientation="portrait" r:id="rId1"/>
  <colBreaks count="1" manualBreakCount="1">
    <brk id="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29"/>
  <sheetViews>
    <sheetView workbookViewId="0">
      <selection activeCell="G63" sqref="G63"/>
    </sheetView>
  </sheetViews>
  <sheetFormatPr defaultColWidth="9.125" defaultRowHeight="13.6"/>
  <cols>
    <col min="1" max="1" width="11.875" style="124" customWidth="1"/>
    <col min="2" max="2" width="10.75" style="124" customWidth="1"/>
    <col min="3" max="3" width="9.125" style="124"/>
    <col min="4" max="4" width="46.25" style="124" customWidth="1"/>
    <col min="5" max="6" width="9.25" style="124" bestFit="1" customWidth="1"/>
    <col min="7" max="7" width="45.75" style="124" customWidth="1"/>
    <col min="8" max="8" width="9.125" style="124"/>
    <col min="9" max="9" width="18.875" style="124" customWidth="1"/>
    <col min="10" max="10" width="43.875" style="124" customWidth="1"/>
    <col min="11" max="12" width="9.125" style="124"/>
    <col min="13" max="13" width="10.125" style="124" bestFit="1" customWidth="1"/>
    <col min="14" max="15" width="9.125" style="124"/>
    <col min="16" max="16" width="13.75" style="124" bestFit="1" customWidth="1"/>
    <col min="17" max="17" width="9.125" style="124"/>
    <col min="18" max="18" width="9.25" style="124" bestFit="1" customWidth="1"/>
    <col min="19" max="19" width="9.125" style="124"/>
    <col min="20" max="20" width="11.25" style="124" bestFit="1" customWidth="1"/>
    <col min="21" max="22" width="9.125" style="124"/>
    <col min="23" max="23" width="9.25" style="124" bestFit="1" customWidth="1"/>
    <col min="24" max="16384" width="9.125" style="124"/>
  </cols>
  <sheetData>
    <row r="1" spans="1:5" ht="18.7" customHeight="1">
      <c r="A1" s="505" t="s">
        <v>6</v>
      </c>
      <c r="B1" s="123" t="s">
        <v>7</v>
      </c>
      <c r="D1" s="123" t="s">
        <v>217</v>
      </c>
      <c r="E1" s="123">
        <f>100*kHz</f>
        <v>100000</v>
      </c>
    </row>
    <row r="2" spans="1:5" ht="17.7">
      <c r="A2" s="506"/>
      <c r="B2" s="123" t="s">
        <v>8</v>
      </c>
      <c r="D2" s="123" t="s">
        <v>218</v>
      </c>
      <c r="E2" s="123">
        <v>170</v>
      </c>
    </row>
    <row r="3" spans="1:5">
      <c r="A3" s="129"/>
    </row>
    <row r="4" spans="1:5">
      <c r="A4" s="123" t="s">
        <v>42</v>
      </c>
      <c r="B4" s="125">
        <f>10^-3</f>
        <v>1E-3</v>
      </c>
    </row>
    <row r="5" spans="1:5">
      <c r="A5" s="123" t="s">
        <v>43</v>
      </c>
      <c r="B5" s="125">
        <f>(10^-6)</f>
        <v>9.9999999999999995E-7</v>
      </c>
    </row>
    <row r="6" spans="1:5">
      <c r="A6" s="123" t="s">
        <v>44</v>
      </c>
      <c r="B6" s="125">
        <f>10^3</f>
        <v>1000</v>
      </c>
    </row>
    <row r="7" spans="1:5">
      <c r="A7" s="123" t="s">
        <v>59</v>
      </c>
      <c r="B7" s="125">
        <f>10^-3</f>
        <v>1E-3</v>
      </c>
    </row>
    <row r="8" spans="1:5">
      <c r="A8" s="123" t="s">
        <v>45</v>
      </c>
      <c r="B8" s="125">
        <f>10^-3</f>
        <v>1E-3</v>
      </c>
    </row>
    <row r="9" spans="1:5">
      <c r="A9" s="123" t="s">
        <v>46</v>
      </c>
      <c r="B9" s="125">
        <f>10^-3</f>
        <v>1E-3</v>
      </c>
    </row>
    <row r="10" spans="1:5">
      <c r="A10" s="123" t="s">
        <v>47</v>
      </c>
      <c r="B10" s="125">
        <f>10^-6</f>
        <v>9.9999999999999995E-7</v>
      </c>
    </row>
    <row r="11" spans="1:5">
      <c r="A11" s="123" t="s">
        <v>49</v>
      </c>
      <c r="B11" s="125">
        <f>10^-6</f>
        <v>9.9999999999999995E-7</v>
      </c>
    </row>
    <row r="12" spans="1:5">
      <c r="A12" s="123" t="s">
        <v>51</v>
      </c>
      <c r="B12" s="125">
        <f>10^-9</f>
        <v>1.0000000000000001E-9</v>
      </c>
    </row>
    <row r="13" spans="1:5">
      <c r="A13" s="123" t="s">
        <v>112</v>
      </c>
      <c r="B13" s="125">
        <f>10^-3</f>
        <v>1E-3</v>
      </c>
    </row>
    <row r="14" spans="1:5">
      <c r="A14" s="123" t="s">
        <v>242</v>
      </c>
      <c r="B14" s="125">
        <f>10^-12</f>
        <v>9.9999999999999998E-13</v>
      </c>
    </row>
    <row r="15" spans="1:5">
      <c r="A15" s="123" t="s">
        <v>264</v>
      </c>
      <c r="B15" s="125">
        <f>10^6</f>
        <v>1000000</v>
      </c>
    </row>
    <row r="16" spans="1:5">
      <c r="A16" s="123" t="s">
        <v>338</v>
      </c>
      <c r="B16" s="125">
        <f>10^-6</f>
        <v>9.9999999999999995E-7</v>
      </c>
    </row>
    <row r="17" spans="1:25" ht="14.3">
      <c r="A17" s="123" t="s">
        <v>339</v>
      </c>
      <c r="B17" s="125">
        <f>10^3</f>
        <v>1000</v>
      </c>
    </row>
    <row r="18" spans="1:25">
      <c r="A18" s="123" t="s">
        <v>420</v>
      </c>
      <c r="B18" s="125">
        <f>10^-9</f>
        <v>1.0000000000000001E-9</v>
      </c>
    </row>
    <row r="19" spans="1:25">
      <c r="A19" s="123" t="s">
        <v>546</v>
      </c>
      <c r="B19" s="125">
        <f>10^-9</f>
        <v>1.0000000000000001E-9</v>
      </c>
    </row>
    <row r="20" spans="1:25">
      <c r="A20" s="123" t="s">
        <v>588</v>
      </c>
      <c r="B20" s="125">
        <f>10^-6</f>
        <v>9.9999999999999995E-7</v>
      </c>
    </row>
    <row r="21" spans="1:25" ht="17.7">
      <c r="I21" s="124" t="s">
        <v>60</v>
      </c>
      <c r="P21" s="502" t="s">
        <v>469</v>
      </c>
      <c r="Q21" s="502"/>
      <c r="S21" s="502" t="s">
        <v>474</v>
      </c>
      <c r="T21" s="502"/>
      <c r="V21" s="502" t="s">
        <v>563</v>
      </c>
      <c r="W21" s="502"/>
      <c r="X21" s="502"/>
      <c r="Y21" s="502"/>
    </row>
    <row r="22" spans="1:25" ht="17.7">
      <c r="A22" s="507" t="s">
        <v>19</v>
      </c>
      <c r="B22" s="507"/>
      <c r="C22" s="507"/>
      <c r="E22" s="502" t="s">
        <v>20</v>
      </c>
      <c r="F22" s="502"/>
      <c r="G22" s="502"/>
      <c r="I22" s="124" t="s">
        <v>61</v>
      </c>
      <c r="J22" s="201">
        <f>Cbulk_rcmd</f>
        <v>31.5</v>
      </c>
      <c r="K22" s="124" t="s">
        <v>23</v>
      </c>
      <c r="L22" s="124" t="s">
        <v>29</v>
      </c>
      <c r="P22" s="124" t="s">
        <v>470</v>
      </c>
      <c r="Q22" s="124">
        <f>((Irun*mA+(Qg*nC*fmax*kHz))*(Cout*uF*Vout_cc/Iocc))/(VDDon-(VDDoff_max+1))*10^12</f>
        <v>562422.77089770546</v>
      </c>
      <c r="R22" s="124" t="s">
        <v>28</v>
      </c>
      <c r="S22" s="124" t="s">
        <v>475</v>
      </c>
      <c r="T22" s="124">
        <f>(ton_max*us*Iocc)/(0.2*Vripple_target*mV)*10^12</f>
        <v>809788982.78061223</v>
      </c>
      <c r="U22" s="124" t="s">
        <v>28</v>
      </c>
      <c r="V22" s="124" t="s">
        <v>564</v>
      </c>
      <c r="W22" s="124">
        <f>(10*Copto*nF)*10^12</f>
        <v>47746.482927568592</v>
      </c>
      <c r="X22" s="124" t="s">
        <v>28</v>
      </c>
    </row>
    <row r="23" spans="1:25" ht="14.3">
      <c r="A23" s="126">
        <v>100</v>
      </c>
      <c r="B23" s="126">
        <v>105</v>
      </c>
      <c r="E23" s="502" t="s">
        <v>21</v>
      </c>
      <c r="F23" s="502"/>
      <c r="G23" s="502"/>
      <c r="Q23" s="124">
        <f>(IF(Q22&lt;10000,Q24*10^INT(LOG(Q22)),Q25*10^INT(LOG(Q22))))*10^-6</f>
        <v>0.47</v>
      </c>
      <c r="R23" s="124" t="s">
        <v>23</v>
      </c>
      <c r="T23" s="124">
        <f>(IF(T22&lt;10000,T24*10^INT(LOG(T22)),T25*10^INT(LOG(T22))))*10^-6</f>
        <v>680</v>
      </c>
      <c r="U23" s="124" t="s">
        <v>23</v>
      </c>
      <c r="W23" s="124">
        <f>(IF(W22&lt;10000,W24*10^INT(LOG(W22)),W25*10^INT(LOG(W22))))*10^-6</f>
        <v>4.7E-2</v>
      </c>
      <c r="X23" s="124" t="s">
        <v>23</v>
      </c>
    </row>
    <row r="24" spans="1:25" ht="14.3">
      <c r="A24" s="126">
        <v>105</v>
      </c>
      <c r="B24" s="126">
        <v>110</v>
      </c>
      <c r="E24" s="124">
        <v>1</v>
      </c>
      <c r="F24" s="124">
        <v>1.2</v>
      </c>
      <c r="Q24" s="124">
        <f>IF((10^(LOG(Q22)-INT(LOG(Q22))))-VLOOKUP((10^(LOG(Q22)-INT(LOG(Q22)))),C_s1:C_f1,1)&lt;VLOOKUP((10^(LOG(Q22)-INT(LOG(Q22)))),C_s1:C_f1,2)-(10^(LOG(Q22)-INT(LOG(Q22)))),VLOOKUP((10^(LOG(Q22)-INT(LOG(Q22)))),C_s1:C_f1,1),VLOOKUP((10^(LOG(Q22)-INT(LOG(Q22)))),C_s1:C_f1,2))</f>
        <v>5.6</v>
      </c>
      <c r="T24" s="124">
        <f>IF((10^(LOG(T22)-INT(LOG(T22))))-VLOOKUP((10^(LOG(T22)-INT(LOG(T22)))),C_s1:C_f1,1)&lt;VLOOKUP((10^(LOG(T22)-INT(LOG(T22)))),C_s1:C_f1,2)-(10^(LOG(T22)-INT(LOG(T22)))),VLOOKUP((10^(LOG(T22)-INT(LOG(T22)))),C_s1:C_f1,1),VLOOKUP((10^(LOG(T22)-INT(LOG(T22)))),C_s1:C_f1,2))</f>
        <v>8.1999999999999993</v>
      </c>
      <c r="W24" s="124">
        <f>IF((10^(LOG(W22)-INT(LOG(W22))))-VLOOKUP((10^(LOG(W22)-INT(LOG(W22)))),C_s1:C_f1,1)&lt;VLOOKUP((10^(LOG(W22)-INT(LOG(W22)))),C_s1:C_f1,2)-(10^(LOG(W22)-INT(LOG(W22)))),VLOOKUP((10^(LOG(W22)-INT(LOG(W22)))),C_s1:C_f1,1),VLOOKUP((10^(LOG(W22)-INT(LOG(W22)))),C_s1:C_f1,2))</f>
        <v>4.7</v>
      </c>
    </row>
    <row r="25" spans="1:25" ht="14.3">
      <c r="A25" s="126">
        <v>110</v>
      </c>
      <c r="B25" s="126">
        <v>115</v>
      </c>
      <c r="E25" s="124">
        <v>1.2</v>
      </c>
      <c r="F25" s="124">
        <v>1.5</v>
      </c>
      <c r="Q25" s="124">
        <f>IF((10^(LOG(Q22)-INT(LOG(Q22))))-VLOOKUP((10^(LOG(Q22)-INT(LOG(Q22)))),C_s2:C_f2,1)&lt;VLOOKUP((10^(LOG(Q22)-INT(LOG(Q22)))),C_s2:C_f2,2)-(10^(LOG(Q22)-INT(LOG(Q22)))),VLOOKUP((10^(LOG(Q22)-INT(LOG(Q22)))),C_s2:C_f2,1),VLOOKUP((10^(LOG(Q22)-INT(LOG(Q22)))),C_s2:C_f2,2))</f>
        <v>4.7</v>
      </c>
      <c r="T25" s="124">
        <f>IF((10^(LOG(T22)-INT(LOG(T22))))-VLOOKUP((10^(LOG(T22)-INT(LOG(T22)))),C_s2:C_f2,1)&lt;VLOOKUP((10^(LOG(T22)-INT(LOG(T22)))),C_s2:C_f2,2)-(10^(LOG(T22)-INT(LOG(T22)))),VLOOKUP((10^(LOG(T22)-INT(LOG(T22)))),C_s2:C_f2,1),VLOOKUP((10^(LOG(T22)-INT(LOG(T22)))),C_s2:C_f2,2))</f>
        <v>6.8</v>
      </c>
      <c r="W25" s="124">
        <f>IF((10^(LOG(W22)-INT(LOG(W22))))-VLOOKUP((10^(LOG(W22)-INT(LOG(W22)))),C_s2:C_f2,1)&lt;VLOOKUP((10^(LOG(W22)-INT(LOG(W22)))),C_s2:C_f2,2)-(10^(LOG(W22)-INT(LOG(W22)))),VLOOKUP((10^(LOG(W22)-INT(LOG(W22)))),C_s2:C_f2,1),VLOOKUP((10^(LOG(W22)-INT(LOG(W22)))),C_s2:C_f2,2))</f>
        <v>4.7</v>
      </c>
    </row>
    <row r="26" spans="1:25" ht="17.7">
      <c r="A26" s="126">
        <v>115</v>
      </c>
      <c r="B26" s="126">
        <v>121</v>
      </c>
      <c r="E26" s="124">
        <v>1.5</v>
      </c>
      <c r="F26" s="124">
        <v>1.8</v>
      </c>
      <c r="P26" s="124" t="s">
        <v>471</v>
      </c>
      <c r="Q26" s="124">
        <f>((2*(Irun*mA+Qg*nC)*(tov*ms))/((VDD*1.5)-(VDDoff+1)))*10^12</f>
        <v>24048992.670157075</v>
      </c>
      <c r="R26" s="124" t="s">
        <v>28</v>
      </c>
    </row>
    <row r="27" spans="1:25" ht="14.3">
      <c r="A27" s="126">
        <v>121</v>
      </c>
      <c r="B27" s="126">
        <v>127</v>
      </c>
      <c r="E27" s="124">
        <v>1.8</v>
      </c>
      <c r="F27" s="124">
        <v>2.2000000000000002</v>
      </c>
      <c r="I27" s="504" t="s">
        <v>30</v>
      </c>
      <c r="J27" s="504"/>
      <c r="K27" s="504"/>
      <c r="Q27" s="124">
        <f>(IF(Q26&lt;10000,Q28*10^INT(LOG(Q26)),Q29*10^INT(LOG(Q26))))*10^-6</f>
        <v>22</v>
      </c>
      <c r="R27" s="124" t="s">
        <v>23</v>
      </c>
    </row>
    <row r="28" spans="1:25" ht="14.3">
      <c r="A28" s="126">
        <v>127</v>
      </c>
      <c r="B28" s="126">
        <v>133</v>
      </c>
      <c r="E28" s="124">
        <v>2.2000000000000002</v>
      </c>
      <c r="F28" s="124">
        <v>2.7</v>
      </c>
      <c r="I28" s="504" t="s">
        <v>34</v>
      </c>
      <c r="J28" s="504"/>
      <c r="K28" s="504"/>
      <c r="Q28" s="124">
        <f>IF((10^(LOG(Q26)-INT(LOG(Q26))))-VLOOKUP((10^(LOG(Q26)-INT(LOG(Q26)))),C_s1:C_f1,1)&lt;VLOOKUP((10^(LOG(Q26)-INT(LOG(Q26)))),C_s1:C_f1,2)-(10^(LOG(Q26)-INT(LOG(Q26)))),VLOOKUP((10^(LOG(Q26)-INT(LOG(Q26)))),C_s1:C_f1,1),VLOOKUP((10^(LOG(Q26)-INT(LOG(Q26)))),C_s1:C_f1,2))</f>
        <v>2.2000000000000002</v>
      </c>
    </row>
    <row r="29" spans="1:25" ht="17.7">
      <c r="A29" s="126">
        <v>133</v>
      </c>
      <c r="B29" s="126">
        <v>140</v>
      </c>
      <c r="E29" s="124">
        <v>2.7</v>
      </c>
      <c r="F29" s="124">
        <v>3.3</v>
      </c>
      <c r="I29" s="124" t="s">
        <v>62</v>
      </c>
      <c r="J29" s="124" t="e">
        <f>(1/fline_min)/(2*PI())*ASIN((Vbulkvalley_desired)/Vbulk_min)</f>
        <v>#DIV/0!</v>
      </c>
      <c r="K29" s="124" t="s">
        <v>31</v>
      </c>
      <c r="Q29" s="124">
        <f>IF((10^(LOG(Q26)-INT(LOG(Q26))))-VLOOKUP((10^(LOG(Q26)-INT(LOG(Q26)))),C_s2:C_f2,1)&lt;VLOOKUP((10^(LOG(Q26)-INT(LOG(Q26)))),C_s2:C_f2,2)-(10^(LOG(Q26)-INT(LOG(Q26)))),VLOOKUP((10^(LOG(Q26)-INT(LOG(Q26)))),C_s2:C_f2,1),VLOOKUP((10^(LOG(Q26)-INT(LOG(Q26)))),C_s2:C_f2,2))</f>
        <v>2.2000000000000002</v>
      </c>
    </row>
    <row r="30" spans="1:25" ht="17.7">
      <c r="A30" s="126">
        <v>140</v>
      </c>
      <c r="B30" s="126">
        <v>147</v>
      </c>
      <c r="E30" s="124">
        <v>3.3</v>
      </c>
      <c r="F30" s="124">
        <v>3.9</v>
      </c>
      <c r="I30" s="124" t="s">
        <v>63</v>
      </c>
      <c r="J30" s="124" t="e">
        <f>((1/fline_min)/2)+t_1</f>
        <v>#DIV/0!</v>
      </c>
      <c r="K30" s="124" t="s">
        <v>31</v>
      </c>
      <c r="P30" s="124" t="s">
        <v>472</v>
      </c>
      <c r="Q30" s="124">
        <f>(Irun*mA+(Qg*nC*fmin*kHz))/(1*fmin*kHz)*10^12</f>
        <v>19737720.628388073</v>
      </c>
      <c r="R30" s="124" t="s">
        <v>28</v>
      </c>
    </row>
    <row r="31" spans="1:25" ht="17.7">
      <c r="A31" s="126">
        <v>147</v>
      </c>
      <c r="B31" s="126">
        <v>154</v>
      </c>
      <c r="E31" s="124">
        <v>3.9</v>
      </c>
      <c r="F31" s="124">
        <v>4.7</v>
      </c>
      <c r="I31" s="124" t="s">
        <v>64</v>
      </c>
      <c r="J31" s="124" t="e">
        <f>((t_line*10^-3)/2)+t_1-((t_line*10^-3)/4)</f>
        <v>#VALUE!</v>
      </c>
      <c r="K31" s="124" t="s">
        <v>31</v>
      </c>
      <c r="Q31" s="124">
        <f>(IF(Q30&lt;10000,Q32*10^INT(LOG(Q30)),Q33*10^INT(LOG(Q30))))*10^-6</f>
        <v>22</v>
      </c>
      <c r="R31" s="124" t="s">
        <v>23</v>
      </c>
    </row>
    <row r="32" spans="1:25" ht="17.7">
      <c r="A32" s="126">
        <v>154</v>
      </c>
      <c r="B32" s="126">
        <v>162</v>
      </c>
      <c r="E32" s="124">
        <v>4.7</v>
      </c>
      <c r="F32" s="124">
        <v>5.6</v>
      </c>
      <c r="I32" s="124" t="s">
        <v>65</v>
      </c>
      <c r="J32" s="124" t="e">
        <f>((t_line*10^-3)/4)-t_1</f>
        <v>#VALUE!</v>
      </c>
      <c r="K32" s="124" t="s">
        <v>31</v>
      </c>
      <c r="Q32" s="124">
        <f>IF((10^(LOG(Q30)-INT(LOG(Q30))))-VLOOKUP((10^(LOG(Q30)-INT(LOG(Q30)))),C_s1:C_f1,1)&lt;VLOOKUP((10^(LOG(Q30)-INT(LOG(Q30)))),C_s1:C_f1,2)-(10^(LOG(Q30)-INT(LOG(Q30)))),VLOOKUP((10^(LOG(Q30)-INT(LOG(Q30)))),C_s1:C_f1,1),VLOOKUP((10^(LOG(Q30)-INT(LOG(Q30)))),C_s1:C_f1,2))</f>
        <v>1.8</v>
      </c>
    </row>
    <row r="33" spans="1:17" ht="17.7">
      <c r="A33" s="126">
        <v>162</v>
      </c>
      <c r="B33" s="126">
        <v>169</v>
      </c>
      <c r="E33" s="124">
        <v>5.6</v>
      </c>
      <c r="F33" s="124">
        <v>6.8</v>
      </c>
      <c r="I33" s="124" t="s">
        <v>66</v>
      </c>
      <c r="J33" s="124" t="e">
        <f>(SQRT((2*Cbulk*uF)*(((Cbulk*uF)*(Vinput_min^2))-(Pin*t_discharge))))/(Cbulk*uF)</f>
        <v>#VALUE!</v>
      </c>
      <c r="K33" s="124" t="s">
        <v>10</v>
      </c>
      <c r="Q33" s="124">
        <f>IF((10^(LOG(Q30)-INT(LOG(Q30))))-VLOOKUP((10^(LOG(Q30)-INT(LOG(Q30)))),C_s2:C_f2,1)&lt;VLOOKUP((10^(LOG(Q30)-INT(LOG(Q30)))),C_s2:C_f2,2)-(10^(LOG(Q30)-INT(LOG(Q30)))),VLOOKUP((10^(LOG(Q30)-INT(LOG(Q30)))),C_s2:C_f2,1),VLOOKUP((10^(LOG(Q30)-INT(LOG(Q30)))),C_s2:C_f2,2))</f>
        <v>2.2000000000000002</v>
      </c>
    </row>
    <row r="34" spans="1:17" ht="14.3">
      <c r="A34" s="126">
        <v>169</v>
      </c>
      <c r="B34" s="126">
        <v>178</v>
      </c>
      <c r="E34" s="124">
        <v>6.8</v>
      </c>
      <c r="F34" s="124">
        <v>8.1999999999999993</v>
      </c>
      <c r="I34" s="504" t="s">
        <v>32</v>
      </c>
      <c r="J34" s="504"/>
      <c r="K34" s="504"/>
    </row>
    <row r="35" spans="1:17" ht="17.7">
      <c r="A35" s="126">
        <v>178</v>
      </c>
      <c r="B35" s="126">
        <v>187</v>
      </c>
      <c r="E35" s="124">
        <v>8.1999999999999993</v>
      </c>
      <c r="F35" s="124">
        <v>10</v>
      </c>
      <c r="I35" s="124" t="s">
        <v>67</v>
      </c>
      <c r="J35" s="124" t="e">
        <f>(1/fline_min)/(2*PI())*ASIN((Vbulkvalley_1)/Vbulk_min)</f>
        <v>#DIV/0!</v>
      </c>
      <c r="K35" s="124" t="s">
        <v>31</v>
      </c>
    </row>
    <row r="36" spans="1:17" ht="17.7">
      <c r="A36" s="126">
        <v>187</v>
      </c>
      <c r="B36" s="126">
        <v>196</v>
      </c>
      <c r="E36" s="502" t="s">
        <v>22</v>
      </c>
      <c r="F36" s="502"/>
      <c r="G36" s="502"/>
      <c r="I36" s="124" t="s">
        <v>68</v>
      </c>
      <c r="J36" s="124" t="e">
        <f>((t_line*10^-3)/2)+t1_1</f>
        <v>#VALUE!</v>
      </c>
      <c r="K36" s="124" t="s">
        <v>31</v>
      </c>
    </row>
    <row r="37" spans="1:17" ht="17.7">
      <c r="A37" s="126">
        <v>196</v>
      </c>
      <c r="B37" s="126">
        <v>205</v>
      </c>
      <c r="E37" s="124">
        <v>1</v>
      </c>
      <c r="F37" s="124">
        <v>1.5</v>
      </c>
      <c r="I37" s="124" t="s">
        <v>69</v>
      </c>
      <c r="J37" s="124" t="e">
        <f>t2_1-((t_line*10^-3)/4)</f>
        <v>#VALUE!</v>
      </c>
      <c r="K37" s="124" t="s">
        <v>31</v>
      </c>
    </row>
    <row r="38" spans="1:17" ht="17.7">
      <c r="A38" s="126">
        <v>205</v>
      </c>
      <c r="B38" s="126">
        <v>215</v>
      </c>
      <c r="E38" s="124">
        <v>1.5</v>
      </c>
      <c r="F38" s="124">
        <v>2.2000000000000002</v>
      </c>
      <c r="I38" s="124" t="s">
        <v>70</v>
      </c>
      <c r="J38" s="124" t="e">
        <f>((t_line*10^-3)/4)-t1_1</f>
        <v>#VALUE!</v>
      </c>
      <c r="K38" s="124" t="s">
        <v>31</v>
      </c>
    </row>
    <row r="39" spans="1:17" ht="17.7">
      <c r="A39" s="126">
        <v>215</v>
      </c>
      <c r="B39" s="126">
        <v>226</v>
      </c>
      <c r="E39" s="124">
        <v>2.2000000000000002</v>
      </c>
      <c r="F39" s="124">
        <v>3.3</v>
      </c>
      <c r="I39" s="124" t="s">
        <v>71</v>
      </c>
      <c r="J39" s="124" t="e">
        <f>SQRT((2*Cbulk*uF)*(((Cbulk*uF)*(Vinput_min^2))-(Pin*tdischarge_1)))/(Cbulk*uF)</f>
        <v>#VALUE!</v>
      </c>
      <c r="K39" s="124" t="s">
        <v>10</v>
      </c>
    </row>
    <row r="40" spans="1:17" ht="14.3">
      <c r="A40" s="126">
        <v>226</v>
      </c>
      <c r="B40" s="126">
        <v>237</v>
      </c>
      <c r="E40" s="124">
        <v>3.3</v>
      </c>
      <c r="F40" s="124">
        <v>4.7</v>
      </c>
      <c r="I40" s="127" t="s">
        <v>33</v>
      </c>
    </row>
    <row r="41" spans="1:17" ht="17.7">
      <c r="A41" s="126">
        <v>237</v>
      </c>
      <c r="B41" s="126">
        <v>249</v>
      </c>
      <c r="E41" s="124">
        <v>4.7</v>
      </c>
      <c r="F41" s="124">
        <v>6.8</v>
      </c>
      <c r="I41" s="124" t="s">
        <v>72</v>
      </c>
      <c r="J41" s="124" t="e">
        <f>(1/fline_min)/(2*PI())*ASIN(Vbulkvalley_2/Vbulk_min)</f>
        <v>#DIV/0!</v>
      </c>
      <c r="K41" s="124" t="s">
        <v>31</v>
      </c>
    </row>
    <row r="42" spans="1:17" ht="17.7">
      <c r="A42" s="126">
        <v>249</v>
      </c>
      <c r="B42" s="126">
        <v>261</v>
      </c>
      <c r="E42" s="124">
        <v>6.8</v>
      </c>
      <c r="F42" s="124">
        <v>10</v>
      </c>
      <c r="I42" s="124" t="s">
        <v>73</v>
      </c>
      <c r="J42" s="124" t="e">
        <f>((t_line*10^-3)/2)+t1_2</f>
        <v>#VALUE!</v>
      </c>
      <c r="K42" s="124" t="s">
        <v>31</v>
      </c>
    </row>
    <row r="43" spans="1:17" ht="17.7">
      <c r="A43" s="126">
        <v>261</v>
      </c>
      <c r="B43" s="126">
        <v>274</v>
      </c>
      <c r="I43" s="124" t="s">
        <v>74</v>
      </c>
      <c r="J43" s="124" t="e">
        <f>t2_2-((t_line*10^-3)/4)</f>
        <v>#VALUE!</v>
      </c>
      <c r="K43" s="124" t="s">
        <v>31</v>
      </c>
    </row>
    <row r="44" spans="1:17" ht="17.7">
      <c r="A44" s="126">
        <v>274</v>
      </c>
      <c r="B44" s="126">
        <v>287</v>
      </c>
      <c r="I44" s="124" t="s">
        <v>75</v>
      </c>
      <c r="J44" s="124" t="e">
        <f>((t_line*10^-3)/4)-t1_2</f>
        <v>#VALUE!</v>
      </c>
      <c r="K44" s="124" t="s">
        <v>31</v>
      </c>
    </row>
    <row r="45" spans="1:17" ht="17.7">
      <c r="A45" s="126">
        <v>287</v>
      </c>
      <c r="B45" s="126">
        <v>301</v>
      </c>
      <c r="I45" s="124" t="s">
        <v>76</v>
      </c>
      <c r="J45" s="124" t="e">
        <f>SQRT((2*Cbulk*uF)*(((Cbulk*uF)*(Vinput_min^2))-(Pin*tdischarge_2)))/(Cbulk*uF)</f>
        <v>#VALUE!</v>
      </c>
      <c r="K45" s="124" t="s">
        <v>10</v>
      </c>
    </row>
    <row r="46" spans="1:17" ht="14.3">
      <c r="A46" s="126">
        <v>301</v>
      </c>
      <c r="B46" s="126">
        <v>316</v>
      </c>
      <c r="I46" s="127" t="s">
        <v>35</v>
      </c>
    </row>
    <row r="47" spans="1:17" ht="17.7">
      <c r="A47" s="126">
        <v>316</v>
      </c>
      <c r="B47" s="126">
        <v>332</v>
      </c>
      <c r="I47" s="124" t="s">
        <v>77</v>
      </c>
      <c r="J47" s="124" t="e">
        <f>(1/fline_min)/(2*PI())*ASIN(Vbulkvalley_3/Vbulk_min)</f>
        <v>#DIV/0!</v>
      </c>
      <c r="K47" s="124" t="s">
        <v>31</v>
      </c>
    </row>
    <row r="48" spans="1:17" ht="17.7">
      <c r="A48" s="126">
        <v>332</v>
      </c>
      <c r="B48" s="126">
        <v>348</v>
      </c>
      <c r="I48" s="124" t="s">
        <v>78</v>
      </c>
      <c r="J48" s="124" t="e">
        <f>((t_line*10^-3)/2)+t1_3</f>
        <v>#VALUE!</v>
      </c>
      <c r="K48" s="124" t="s">
        <v>31</v>
      </c>
    </row>
    <row r="49" spans="1:11" ht="17.7">
      <c r="A49" s="126">
        <v>348</v>
      </c>
      <c r="B49" s="126">
        <v>365</v>
      </c>
      <c r="I49" s="124" t="s">
        <v>79</v>
      </c>
      <c r="J49" s="124" t="e">
        <f>t2_3-((t_line*10^-3)/4)</f>
        <v>#VALUE!</v>
      </c>
      <c r="K49" s="124" t="s">
        <v>31</v>
      </c>
    </row>
    <row r="50" spans="1:11" ht="17.7">
      <c r="A50" s="126">
        <v>365</v>
      </c>
      <c r="B50" s="126">
        <v>383</v>
      </c>
      <c r="I50" s="124" t="s">
        <v>80</v>
      </c>
      <c r="J50" s="124" t="e">
        <f>((t_line*10^-3)/4)-t1_3</f>
        <v>#VALUE!</v>
      </c>
      <c r="K50" s="124" t="s">
        <v>31</v>
      </c>
    </row>
    <row r="51" spans="1:11" ht="17.7">
      <c r="A51" s="126">
        <v>383</v>
      </c>
      <c r="B51" s="126">
        <v>402</v>
      </c>
      <c r="I51" s="124" t="s">
        <v>81</v>
      </c>
      <c r="J51" s="124" t="e">
        <f>(SQRT((2*Cbulk*uF)*(((Cbulk*uF)*(Vinput_min^2))-(Pin*tdischarge_3))))/(Cbulk*uF)</f>
        <v>#VALUE!</v>
      </c>
      <c r="K51" s="124" t="s">
        <v>10</v>
      </c>
    </row>
    <row r="52" spans="1:11" ht="14.3">
      <c r="A52" s="126">
        <v>402</v>
      </c>
      <c r="B52" s="126">
        <v>422</v>
      </c>
    </row>
    <row r="53" spans="1:11" ht="14.3">
      <c r="A53" s="126">
        <v>422</v>
      </c>
      <c r="B53" s="126">
        <v>442</v>
      </c>
    </row>
    <row r="54" spans="1:11" ht="14.3">
      <c r="A54" s="126">
        <v>442</v>
      </c>
      <c r="B54" s="126">
        <v>464</v>
      </c>
    </row>
    <row r="55" spans="1:11" ht="14.3">
      <c r="A55" s="126">
        <v>464</v>
      </c>
      <c r="B55" s="126">
        <v>487</v>
      </c>
    </row>
    <row r="56" spans="1:11" ht="17.7">
      <c r="A56" s="126">
        <v>487</v>
      </c>
      <c r="B56" s="126">
        <v>511</v>
      </c>
      <c r="G56" s="128" t="s">
        <v>476</v>
      </c>
      <c r="H56" s="124">
        <f>Vbulk_run/(Npa*Ivslrun_max*uA)/kOhms</f>
        <v>27.972027972027977</v>
      </c>
      <c r="I56" s="124" t="s">
        <v>340</v>
      </c>
    </row>
    <row r="57" spans="1:11" ht="14.3">
      <c r="A57" s="126">
        <v>511</v>
      </c>
      <c r="B57" s="126">
        <v>536</v>
      </c>
      <c r="H57" s="124">
        <f>(IF((10^(LOG(H56)-INT(LOG(H56)))*100)-VLOOKUP((10^(LOG(H56)-INT(LOG(H56)))*100),E_48s:E_48f,1)&lt;VLOOKUP((10^(LOG(H56)-INT(LOG(H56)))*100),E_48s:E_48f,2)-(10^(LOG(H56)-INT(LOG(H56)))*100),VLOOKUP((10^(LOG(H56)-INT(LOG(H56)))*100),E_48s:E_48f,1),VLOOKUP((10^(LOG(H56)-INT(LOG(H56)))*100),E_48s:E_48f,2)))*10^INT(LOG(H56))/100</f>
        <v>27.4</v>
      </c>
      <c r="I57" s="124" t="s">
        <v>340</v>
      </c>
    </row>
    <row r="58" spans="1:11" ht="14.3">
      <c r="A58" s="126">
        <v>536</v>
      </c>
      <c r="B58" s="126">
        <v>562</v>
      </c>
    </row>
    <row r="59" spans="1:11" ht="17.7">
      <c r="A59" s="126">
        <v>562</v>
      </c>
      <c r="B59" s="126">
        <v>590</v>
      </c>
      <c r="G59" s="128" t="s">
        <v>477</v>
      </c>
      <c r="H59" s="124">
        <f>R_vs1*kOhms*Vovp_nom/(Nas*(Vout_ovp-Vf-(DCR_Lout*mOhms*Iocc))-Vovp_nom)/kOhms</f>
        <v>11.854625550660788</v>
      </c>
      <c r="I59" s="124" t="s">
        <v>340</v>
      </c>
    </row>
    <row r="60" spans="1:11" ht="14.3">
      <c r="A60" s="126">
        <v>590</v>
      </c>
      <c r="B60" s="126">
        <v>619</v>
      </c>
      <c r="H60" s="124">
        <f>(IF((10^(LOG(H59)-INT(LOG(H59)))*100)-VLOOKUP((10^(LOG(H59)-INT(LOG(H59)))*100),E_48s:E_48f,1)&lt;VLOOKUP((10^(LOG(H59)-INT(LOG(H59)))*100),E_48s:E_48f,2)-(10^(LOG(H59)-INT(LOG(H59)))*100),VLOOKUP((10^(LOG(H59)-INT(LOG(H59)))*100),E_48s:E_48f,1),VLOOKUP((10^(LOG(H59)-INT(LOG(H59)))*100),E_48s:E_48f,2)))*10^INT(LOG(H59))/100</f>
        <v>12.1</v>
      </c>
      <c r="I60" s="124" t="s">
        <v>340</v>
      </c>
    </row>
    <row r="61" spans="1:11" ht="14.3">
      <c r="A61" s="126">
        <v>619</v>
      </c>
      <c r="B61" s="126">
        <v>649</v>
      </c>
    </row>
    <row r="62" spans="1:11" ht="17.7">
      <c r="A62" s="126">
        <v>649</v>
      </c>
      <c r="B62" s="126">
        <v>681</v>
      </c>
      <c r="G62" s="128" t="s">
        <v>478</v>
      </c>
      <c r="H62" s="124">
        <f>((Klc*R_vs1*kOhms*Rcs*tdelay*ns*Npa)/(Lp*uH))/kOhms</f>
        <v>0.43734600000000012</v>
      </c>
      <c r="I62" s="124" t="s">
        <v>340</v>
      </c>
    </row>
    <row r="63" spans="1:11" ht="14.3">
      <c r="A63" s="126">
        <v>681</v>
      </c>
      <c r="B63" s="126">
        <v>715</v>
      </c>
      <c r="H63" s="124">
        <f>(IF((10^(LOG(H62)-INT(LOG(H62)))*100)-VLOOKUP((10^(LOG(H62)-INT(LOG(H62)))*100),E_48s:E_48f,1)&lt;VLOOKUP((10^(LOG(H62)-INT(LOG(H62)))*100),E_48s:E_48f,2)-(10^(LOG(H62)-INT(LOG(H62)))*100),VLOOKUP((10^(LOG(H62)-INT(LOG(H62)))*100),E_48s:E_48f,1),VLOOKUP((10^(LOG(H62)-INT(LOG(H62)))*100),E_48s:E_48f,2)))*10^INT(LOG(H62))/100</f>
        <v>0.442</v>
      </c>
      <c r="I63" s="124" t="s">
        <v>340</v>
      </c>
    </row>
    <row r="64" spans="1:11" ht="14.3">
      <c r="A64" s="126">
        <v>715</v>
      </c>
      <c r="B64" s="126">
        <v>750</v>
      </c>
    </row>
    <row r="65" spans="1:23" ht="17.7">
      <c r="A65" s="126">
        <v>750</v>
      </c>
      <c r="B65" s="126">
        <v>787</v>
      </c>
      <c r="G65" s="128" t="s">
        <v>483</v>
      </c>
      <c r="H65" s="124">
        <f>Vref431/((Iref431*uA*15)-Iref431*uA)/kOhms</f>
        <v>44.553571428571438</v>
      </c>
      <c r="I65" s="124" t="s">
        <v>340</v>
      </c>
    </row>
    <row r="66" spans="1:23" ht="14.3">
      <c r="A66" s="126">
        <v>787</v>
      </c>
      <c r="B66" s="126">
        <v>825</v>
      </c>
      <c r="H66" s="124">
        <f>(IF((10^(LOG(H65)-INT(LOG(H65)))*100)-VLOOKUP((10^(LOG(H65)-INT(LOG(H65)))*100),E_48s:E_48f,1)&lt;VLOOKUP((10^(LOG(H65)-INT(LOG(H65)))*100),E_48s:E_48f,2)-(10^(LOG(H65)-INT(LOG(H65)))*100),VLOOKUP((10^(LOG(H65)-INT(LOG(H65)))*100),E_48s:E_48f,1),VLOOKUP((10^(LOG(H65)-INT(LOG(H65)))*100),E_48s:E_48f,2)))*10^INT(LOG(H65))/100</f>
        <v>44.2</v>
      </c>
      <c r="I66" s="124" t="s">
        <v>340</v>
      </c>
    </row>
    <row r="67" spans="1:23" ht="14.3">
      <c r="A67" s="126">
        <v>825</v>
      </c>
      <c r="B67" s="126">
        <v>866</v>
      </c>
    </row>
    <row r="68" spans="1:23" ht="17.7">
      <c r="A68" s="126">
        <v>866</v>
      </c>
      <c r="B68" s="126">
        <v>909</v>
      </c>
      <c r="G68" s="128" t="s">
        <v>507</v>
      </c>
      <c r="H68" s="124">
        <f>(Vout_cv-Vref431)/(Vref431/(R_fb2*kOhms))/kOhms</f>
        <v>221.53146292585166</v>
      </c>
      <c r="I68" s="124" t="s">
        <v>340</v>
      </c>
    </row>
    <row r="69" spans="1:23" ht="14.3">
      <c r="A69" s="126">
        <v>909</v>
      </c>
      <c r="B69" s="126">
        <v>953</v>
      </c>
      <c r="H69" s="124">
        <f>(IF((10^(LOG(H68)-INT(LOG(H68)))*100)-VLOOKUP((10^(LOG(H68)-INT(LOG(H68)))*100),E_48s:E_48f,1)&lt;VLOOKUP((10^(LOG(H68)-INT(LOG(H68)))*100),E_48s:E_48f,2)-(10^(LOG(H68)-INT(LOG(H68)))*100),VLOOKUP((10^(LOG(H68)-INT(LOG(H68)))*100),E_48s:E_48f,1),VLOOKUP((10^(LOG(H68)-INT(LOG(H68)))*100),E_48s:E_48f,2)))*10^INT(LOG(H68))/100</f>
        <v>226</v>
      </c>
      <c r="I69" s="124" t="s">
        <v>340</v>
      </c>
    </row>
    <row r="70" spans="1:23" ht="14.3">
      <c r="A70" s="126">
        <v>953</v>
      </c>
      <c r="B70" s="126">
        <v>1000</v>
      </c>
    </row>
    <row r="75" spans="1:23">
      <c r="A75" s="124" t="s">
        <v>590</v>
      </c>
    </row>
    <row r="76" spans="1:23">
      <c r="D76" s="502" t="s">
        <v>596</v>
      </c>
      <c r="E76" s="502"/>
      <c r="F76" s="502"/>
      <c r="G76" s="124" t="s">
        <v>599</v>
      </c>
      <c r="J76" s="124" t="s">
        <v>613</v>
      </c>
    </row>
    <row r="77" spans="1:23" ht="14.3">
      <c r="A77" s="503" t="s">
        <v>591</v>
      </c>
      <c r="B77" s="124" t="s">
        <v>592</v>
      </c>
      <c r="C77" s="130" t="s">
        <v>593</v>
      </c>
      <c r="D77" s="124" t="s">
        <v>595</v>
      </c>
      <c r="G77" s="124" t="s">
        <v>595</v>
      </c>
      <c r="J77" s="124" t="s">
        <v>595</v>
      </c>
    </row>
    <row r="78" spans="1:23">
      <c r="A78" s="503"/>
      <c r="B78" s="124" t="s">
        <v>53</v>
      </c>
      <c r="C78" s="124" t="s">
        <v>594</v>
      </c>
      <c r="E78" s="124" t="s">
        <v>597</v>
      </c>
      <c r="F78" s="124" t="s">
        <v>598</v>
      </c>
      <c r="H78" s="124" t="s">
        <v>597</v>
      </c>
      <c r="I78" s="124" t="s">
        <v>598</v>
      </c>
      <c r="K78" s="124" t="s">
        <v>597</v>
      </c>
      <c r="L78" s="124" t="s">
        <v>598</v>
      </c>
      <c r="U78" s="124" t="s">
        <v>614</v>
      </c>
      <c r="W78" s="124">
        <f>VLOOKUP(75,R79:S109,2,FALSE)</f>
        <v>1000</v>
      </c>
    </row>
    <row r="79" spans="1:23">
      <c r="A79" s="131">
        <v>1</v>
      </c>
      <c r="B79" s="124">
        <f>10^A79</f>
        <v>10</v>
      </c>
      <c r="C79" s="124">
        <f>2*PI()*B79</f>
        <v>62.831853071795862</v>
      </c>
      <c r="D79" s="124" t="str">
        <f>IMDIV(((CTRmin/100)*0.1),COMPLEX(1,'LOOKUP TABLES AND DROPDOWN LIST'!C79*((Copto*nF)+(Cext*uF))*((R_fb4*kOhms*Requ*kOhms)/((R_fb4*kOhms)+(Requ*kOhms)))))</f>
        <v>0.0499990934607654-0.000212899365703904i</v>
      </c>
      <c r="E79" s="124">
        <f>20*LOG(IMABS(D79))</f>
        <v>-26.020678654990892</v>
      </c>
      <c r="F79" s="124">
        <f>180/PI()*IMARGUMENT(D79)</f>
        <v>-0.24396765120735198</v>
      </c>
      <c r="G79" s="124" t="str">
        <f>IMDIV((Vout_cv/(2*Iocc)),COMPLEX(1,'LOOKUP TABLES AND DROPDOWN LIST'!C79*(Cout*uF)*(Vout_cv/(2*Iocc))))</f>
        <v>1.58729156078321-0.130689683861607i</v>
      </c>
      <c r="H79" s="124">
        <f>20*LOG(IMABS(G79))</f>
        <v>4.0424758666426381</v>
      </c>
      <c r="I79" s="124">
        <f t="shared" ref="I79:I109" si="0">180/PI()*IMARGUMENT(G79)</f>
        <v>-4.7068324043076801</v>
      </c>
      <c r="J79" s="124" t="str">
        <f>IMPRODUCT((1/(R_tl*kOhms)),G_fb1,(G_fb2*kOhms),(K_fm4*kHz),(G_p4*uC),'LOOKUP TABLES AND DROPDOWN LIST'!D79,'LOOKUP TABLES AND DROPDOWN LIST'!G79)</f>
        <v>-19.9787444514097+1.73062786223565i</v>
      </c>
      <c r="K79" s="124">
        <f>20*LOG(IMABS(J79))</f>
        <v>26.04383000194824</v>
      </c>
      <c r="L79" s="124">
        <f>180/PI()*IMARGUMENT(J79)</f>
        <v>175.04919994448497</v>
      </c>
      <c r="R79" s="124">
        <f>MROUND(L109,5)</f>
        <v>15</v>
      </c>
      <c r="S79" s="124">
        <f>B109</f>
        <v>10000</v>
      </c>
    </row>
    <row r="80" spans="1:23">
      <c r="A80" s="131">
        <v>1.1000000000000001</v>
      </c>
      <c r="B80" s="124">
        <f t="shared" ref="B80:B109" si="1">10^A80</f>
        <v>12.58925411794168</v>
      </c>
      <c r="C80" s="124">
        <f>2*PI()*B80</f>
        <v>79.100616502201262</v>
      </c>
      <c r="D80" s="124" t="str">
        <f>IMDIV(((CTRmin/100)*0.1),COMPLEX(1,'LOOKUP TABLES AND DROPDOWN LIST'!C80*((Copto*nF)+(Cext*uF))*((R_fb4*kOhms*Requ*kOhms)/((R_fb4*kOhms)+(Requ*kOhms)))))</f>
        <v>0.0499985632473745-0.000268021579385224i</v>
      </c>
      <c r="E80" s="124">
        <f t="shared" ref="E80:E100" si="2">20*LOG(IMABS(D80))</f>
        <v>-26.020724709820072</v>
      </c>
      <c r="F80" s="124">
        <f t="shared" ref="F80:F109" si="3">180/PI()*IMARGUMENT(D80)</f>
        <v>-0.30713599007915565</v>
      </c>
      <c r="G80" s="124" t="str">
        <f>IMDIV((Vout_cv/(2*Iocc)),COMPLEX(1,'LOOKUP TABLES AND DROPDOWN LIST'!C80*(Cout*uF)*(Vout_cv/(2*Iocc))))</f>
        <v>1.58106481309367-0.163883138946354i</v>
      </c>
      <c r="H80" s="124">
        <f t="shared" ref="H80:H109" si="4">20*LOG(IMABS(G80))</f>
        <v>4.0254055290652317</v>
      </c>
      <c r="I80" s="124">
        <f t="shared" si="0"/>
        <v>-5.9177833542354863</v>
      </c>
      <c r="J80" s="124" t="str">
        <f>IMPRODUCT((1/(R_tl*kOhms)),G_fb1,(G_fb2*kOhms),(K_fm4*kHz),(G_p4*uC),'LOOKUP TABLES AND DROPDOWN LIST'!D80,'LOOKUP TABLES AND DROPDOWN LIST'!G80)</f>
        <v>-19.8960771982601+2.17016148777939i</v>
      </c>
      <c r="K80" s="124">
        <f t="shared" ref="K80:K109" si="5">20*LOG(IMABS(J80))</f>
        <v>26.026713609541623</v>
      </c>
      <c r="L80" s="124">
        <f t="shared" ref="L80:L109" si="6">180/PI()*IMARGUMENT(J80)</f>
        <v>173.77508065568537</v>
      </c>
      <c r="R80" s="124">
        <f>MROUND(L108,5)</f>
        <v>15</v>
      </c>
      <c r="S80" s="124">
        <f>B108</f>
        <v>7943.2823472428154</v>
      </c>
    </row>
    <row r="81" spans="1:24">
      <c r="A81" s="131">
        <v>1.2</v>
      </c>
      <c r="B81" s="124">
        <f t="shared" si="1"/>
        <v>15.848931924611136</v>
      </c>
      <c r="C81" s="124">
        <f t="shared" ref="C81:C88" si="7">2*PI()*B81</f>
        <v>99.581776203206175</v>
      </c>
      <c r="D81" s="124" t="str">
        <f>IMDIV(((CTRmin/100)*0.1),COMPLEX(1,'LOOKUP TABLES AND DROPDOWN LIST'!C81*((Copto*nF)+(Cext*uF))*((R_fb4*kOhms*Requ*kOhms)/((R_fb4*kOhms)+(Requ*kOhms)))))</f>
        <v>0.049997722938815-0.000337413506309858i</v>
      </c>
      <c r="E81" s="124">
        <f t="shared" si="2"/>
        <v>-26.020797700804927</v>
      </c>
      <c r="F81" s="124">
        <f t="shared" si="3"/>
        <v>-0.38665913660342099</v>
      </c>
      <c r="G81" s="124" t="str">
        <f>IMDIV((Vout_cv/(2*Iocc)),COMPLEX(1,'LOOKUP TABLES AND DROPDOWN LIST'!C81*(Cout*uF)*(Vout_cv/(2*Iocc))))</f>
        <v>1.57129553578245-0.205041833557118i</v>
      </c>
      <c r="H81" s="124">
        <f t="shared" si="4"/>
        <v>3.9984875606768631</v>
      </c>
      <c r="I81" s="124">
        <f t="shared" si="0"/>
        <v>-7.4346434856224786</v>
      </c>
      <c r="J81" s="124" t="str">
        <f>IMPRODUCT((1/(R_tl*kOhms)),G_fb1,(G_fb2*kOhms),(K_fm4*kHz),(G_p4*uC),'LOOKUP TABLES AND DROPDOWN LIST'!D81,'LOOKUP TABLES AND DROPDOWN LIST'!G81)</f>
        <v>-19.7663789662649+2.71514455305076i</v>
      </c>
      <c r="K81" s="124">
        <f t="shared" si="5"/>
        <v>25.999722650168422</v>
      </c>
      <c r="L81" s="124">
        <f t="shared" si="6"/>
        <v>172.17869737777411</v>
      </c>
      <c r="R81" s="124">
        <f>MROUND(L107,5)</f>
        <v>20</v>
      </c>
      <c r="S81" s="124">
        <f>B107</f>
        <v>6309.5734448019384</v>
      </c>
      <c r="W81" s="124">
        <f>(1/((2*PI()*'LOOKUP TABLES AND DROPDOWN LIST'!W78*R_fb1*kOhms)))/pF</f>
        <v>704.16309659275885</v>
      </c>
      <c r="X81" s="124" t="s">
        <v>28</v>
      </c>
    </row>
    <row r="82" spans="1:24">
      <c r="A82" s="131">
        <v>1.3</v>
      </c>
      <c r="B82" s="124">
        <f t="shared" si="1"/>
        <v>19.952623149688804</v>
      </c>
      <c r="C82" s="124">
        <f t="shared" si="7"/>
        <v>125.36602861381597</v>
      </c>
      <c r="D82" s="124" t="str">
        <f>IMDIV(((CTRmin/100)*0.1),COMPLEX(1,'LOOKUP TABLES AND DROPDOWN LIST'!C82*((Copto*nF)+(Cext*uF))*((R_fb4*kOhms*Requ*kOhms)/((R_fb4*kOhms)+(Requ*kOhms)))))</f>
        <v>0.0499963911973559-0.00042476712295966i</v>
      </c>
      <c r="E82" s="124">
        <f t="shared" si="2"/>
        <v>-26.020913381207119</v>
      </c>
      <c r="F82" s="124">
        <f t="shared" si="3"/>
        <v>-0.48677069078021634</v>
      </c>
      <c r="G82" s="124" t="str">
        <f>IMDIV((Vout_cv/(2*Iocc)),COMPLEX(1,'LOOKUP TABLES AND DROPDOWN LIST'!C82*(Cout*uF)*(Vout_cv/(2*Iocc))))</f>
        <v>1.55605717281168-0.255629017018938i</v>
      </c>
      <c r="H82" s="124">
        <f t="shared" si="4"/>
        <v>3.9561642927638294</v>
      </c>
      <c r="I82" s="124">
        <f t="shared" si="0"/>
        <v>-9.3292188585067954</v>
      </c>
      <c r="J82" s="124" t="str">
        <f>IMPRODUCT((1/(R_tl*kOhms)),G_fb1,(G_fb2*kOhms),(K_fm4*kHz),(G_p4*uC),'LOOKUP TABLES AND DROPDOWN LIST'!D82,'LOOKUP TABLES AND DROPDOWN LIST'!G82)</f>
        <v>-19.564072882743+3.38492508503946i</v>
      </c>
      <c r="K82" s="124">
        <f t="shared" si="5"/>
        <v>25.9572837018532</v>
      </c>
      <c r="L82" s="124">
        <f t="shared" si="6"/>
        <v>170.18401045071298</v>
      </c>
      <c r="R82" s="124">
        <f>MROUND(L106,5)</f>
        <v>25</v>
      </c>
      <c r="S82" s="124">
        <f>B106</f>
        <v>5011.8723362727324</v>
      </c>
      <c r="W82" s="124">
        <f>(IF(W81&lt;10000,W83*10^INT(LOG(W81)),W84*10^INT(LOG(W81))))</f>
        <v>680</v>
      </c>
      <c r="X82" s="124" t="s">
        <v>28</v>
      </c>
    </row>
    <row r="83" spans="1:24">
      <c r="A83" s="131">
        <v>1.4</v>
      </c>
      <c r="B83" s="124">
        <f t="shared" si="1"/>
        <v>25.118864315095799</v>
      </c>
      <c r="C83" s="124">
        <f t="shared" si="7"/>
        <v>157.82647919764753</v>
      </c>
      <c r="D83" s="124" t="str">
        <f>IMDIV(((CTRmin/100)*0.1),COMPLEX(1,'LOOKUP TABLES AND DROPDOWN LIST'!C83*((Copto*nF)+(Cext*uF))*((R_fb4*kOhms*Requ*kOhms)/((R_fb4*kOhms)+(Requ*kOhms)))))</f>
        <v>0.0499942806746994-0.000534727551514237i</v>
      </c>
      <c r="E83" s="124">
        <f t="shared" si="2"/>
        <v>-26.021096715977578</v>
      </c>
      <c r="F83" s="124">
        <f t="shared" si="3"/>
        <v>-0.61279936918783995</v>
      </c>
      <c r="G83" s="124" t="str">
        <f>IMDIV((Vout_cv/(2*Iocc)),COMPLEX(1,'LOOKUP TABLES AND DROPDOWN LIST'!C83*(Cout*uF)*(Vout_cv/(2*Iocc))))</f>
        <v>1.53250225679319-0.316946326779354i</v>
      </c>
      <c r="H83" s="124">
        <f t="shared" si="4"/>
        <v>3.8899200217890288</v>
      </c>
      <c r="I83" s="124">
        <f t="shared" si="0"/>
        <v>-11.684955474979501</v>
      </c>
      <c r="J83" s="124" t="str">
        <f>IMPRODUCT((1/(R_tl*kOhms)),G_fb1,(G_fb2*kOhms),(K_fm4*kHz),(G_p4*uC),'LOOKUP TABLES AND DROPDOWN LIST'!D83,'LOOKUP TABLES AND DROPDOWN LIST'!G83)</f>
        <v>-19.251356520921+4.19668430573304i</v>
      </c>
      <c r="K83" s="124">
        <f t="shared" si="5"/>
        <v>25.890856096107939</v>
      </c>
      <c r="L83" s="124">
        <f t="shared" si="6"/>
        <v>167.70224515583266</v>
      </c>
      <c r="R83" s="124">
        <f>MROUND(L105,5)</f>
        <v>30</v>
      </c>
      <c r="S83" s="124">
        <v>3981.0717055349769</v>
      </c>
      <c r="W83" s="124">
        <f>IF((10^(LOG(W81)-INT(LOG(W81))))-VLOOKUP((10^(LOG(W81)-INT(LOG(W81)))),C_s1:C_f1,1)&lt;VLOOKUP((10^(LOG(W81)-INT(LOG(W81)))),C_s1:C_f1,2)-(10^(LOG(W81)-INT(LOG(W81)))),VLOOKUP((10^(LOG(W81)-INT(LOG(W81)))),C_s1:C_f1,1),VLOOKUP((10^(LOG(W81)-INT(LOG(W81)))),C_s1:C_f1,2))</f>
        <v>6.8</v>
      </c>
    </row>
    <row r="84" spans="1:24">
      <c r="A84" s="131">
        <v>1.5</v>
      </c>
      <c r="B84" s="124">
        <f t="shared" si="1"/>
        <v>31.622776601683803</v>
      </c>
      <c r="C84" s="124">
        <f t="shared" si="7"/>
        <v>198.69176531592208</v>
      </c>
      <c r="D84" s="124" t="str">
        <f>IMDIV(((CTRmin/100)*0.1),COMPLEX(1,'LOOKUP TABLES AND DROPDOWN LIST'!C84*((Copto*nF)+(Cext*uF))*((R_fb4*kOhms*Requ*kOhms)/((R_fb4*kOhms)+(Requ*kOhms)))))</f>
        <v>0.0499909360866766-0.000673137067500321i</v>
      </c>
      <c r="E84" s="124">
        <f t="shared" si="2"/>
        <v>-26.021387266154928</v>
      </c>
      <c r="F84" s="124">
        <f t="shared" si="3"/>
        <v>-0.77145149387824985</v>
      </c>
      <c r="G84" s="124" t="str">
        <f>IMDIV((Vout_cv/(2*Iocc)),COMPLEX(1,'LOOKUP TABLES AND DROPDOWN LIST'!C84*(Cout*uF)*(Vout_cv/(2*Iocc))))</f>
        <v>1.49659677041973-0.389663210008025i</v>
      </c>
      <c r="H84" s="124">
        <f t="shared" si="4"/>
        <v>3.7869568313978226</v>
      </c>
      <c r="I84" s="124">
        <f t="shared" si="0"/>
        <v>-14.593867460688799</v>
      </c>
      <c r="J84" s="124" t="str">
        <f>IMPRODUCT((1/(R_tl*kOhms)),G_fb1,(G_fb2*kOhms),(K_fm4*kHz),(G_p4*uC),'LOOKUP TABLES AND DROPDOWN LIST'!D84,'LOOKUP TABLES AND DROPDOWN LIST'!G84)</f>
        <v>-18.7746761043916+5.15918292666343i</v>
      </c>
      <c r="K84" s="124">
        <f t="shared" si="5"/>
        <v>25.787602355539363</v>
      </c>
      <c r="L84" s="124">
        <f t="shared" si="6"/>
        <v>164.6346810454329</v>
      </c>
      <c r="R84" s="124">
        <f>MROUND(L104,5)</f>
        <v>40</v>
      </c>
      <c r="S84" s="124">
        <f>B104</f>
        <v>3162.2776601683804</v>
      </c>
      <c r="W84" s="124">
        <f>IF((10^(LOG(W81)-INT(LOG(W81))))-VLOOKUP((10^(LOG(W81)-INT(LOG(W81)))),C_s2:C_f2,1)&lt;VLOOKUP((10^(LOG(W81)-INT(LOG(W81)))),C_s2:C_f2,2)-(10^(LOG(W81)-INT(LOG(W81)))),VLOOKUP((10^(LOG(W81)-INT(LOG(W81)))),C_s2:C_f2,1),VLOOKUP((10^(LOG(W81)-INT(LOG(W81)))),C_s2:C_f2,2))</f>
        <v>6.8</v>
      </c>
    </row>
    <row r="85" spans="1:24">
      <c r="A85" s="131">
        <v>1.6</v>
      </c>
      <c r="B85" s="124">
        <f t="shared" si="1"/>
        <v>39.810717055349755</v>
      </c>
      <c r="C85" s="124">
        <f t="shared" si="7"/>
        <v>250.13811247045734</v>
      </c>
      <c r="D85" s="124" t="str">
        <f>IMDIV(((CTRmin/100)*0.1),COMPLEX(1,'LOOKUP TABLES AND DROPDOWN LIST'!C85*((Copto*nF)+(Cext*uF))*((R_fb4*kOhms*Requ*kOhms)/((R_fb4*kOhms)+(Requ*kOhms)))))</f>
        <v>0.0499856361884491-0.000847339517823097i</v>
      </c>
      <c r="E85" s="124">
        <f t="shared" si="2"/>
        <v>-26.021847717339558</v>
      </c>
      <c r="F85" s="124">
        <f t="shared" si="3"/>
        <v>-0.9711655660325168</v>
      </c>
      <c r="G85" s="124" t="str">
        <f>IMDIV((Vout_cv/(2*Iocc)),COMPLEX(1,'LOOKUP TABLES AND DROPDOWN LIST'!C85*(Cout*uF)*(Vout_cv/(2*Iocc))))</f>
        <v>1.44301339668705-0.472993271957744i</v>
      </c>
      <c r="H85" s="124">
        <f t="shared" si="4"/>
        <v>3.6286124246446199</v>
      </c>
      <c r="I85" s="124">
        <f t="shared" si="0"/>
        <v>-18.148192959869007</v>
      </c>
      <c r="J85" s="124" t="str">
        <f>IMPRODUCT((1/(R_tl*kOhms)),G_fb1,(G_fb2*kOhms),(K_fm4*kHz),(G_p4*uC),'LOOKUP TABLES AND DROPDOWN LIST'!D85,'LOOKUP TABLES AND DROPDOWN LIST'!G85)</f>
        <v>-18.0633112326472+6.26181800354019i</v>
      </c>
      <c r="K85" s="124">
        <f t="shared" si="5"/>
        <v>25.62879749760155</v>
      </c>
      <c r="L85" s="124">
        <f t="shared" si="6"/>
        <v>160.88064147409847</v>
      </c>
      <c r="R85" s="124">
        <f>MROUND(L103,5)</f>
        <v>45</v>
      </c>
      <c r="S85" s="124">
        <f>B103</f>
        <v>2511.8864315095811</v>
      </c>
    </row>
    <row r="86" spans="1:24">
      <c r="A86" s="131">
        <v>1.7</v>
      </c>
      <c r="B86" s="124">
        <f t="shared" si="1"/>
        <v>50.118723362727238</v>
      </c>
      <c r="C86" s="124">
        <f t="shared" si="7"/>
        <v>314.90522624728607</v>
      </c>
      <c r="D86" s="124" t="str">
        <f>IMDIV(((CTRmin/100)*0.1),COMPLEX(1,'LOOKUP TABLES AND DROPDOWN LIST'!C86*((Copto*nF)+(Cext*uF))*((R_fb4*kOhms*Requ*kOhms)/((R_fb4*kOhms)+(Requ*kOhms)))))</f>
        <v>0.0499772387173404-0.00106655804201733i</v>
      </c>
      <c r="E86" s="124">
        <f t="shared" si="2"/>
        <v>-26.022577383303339</v>
      </c>
      <c r="F86" s="124">
        <f t="shared" si="3"/>
        <v>-1.2225565368569253</v>
      </c>
      <c r="G86" s="124" t="str">
        <f>IMDIV((Vout_cv/(2*Iocc)),COMPLEX(1,'LOOKUP TABLES AND DROPDOWN LIST'!C86*(Cout*uF)*(Vout_cv/(2*Iocc))))</f>
        <v>1.36552698704603-0.563488280214528i</v>
      </c>
      <c r="H86" s="124">
        <f t="shared" si="4"/>
        <v>3.3889116700304598</v>
      </c>
      <c r="I86" s="124">
        <f t="shared" si="0"/>
        <v>-22.423619684537176</v>
      </c>
      <c r="J86" s="124" t="str">
        <f>IMPRODUCT((1/(R_tl*kOhms)),G_fb1,(G_fb2*kOhms),(K_fm4*kHz),(G_p4*uC),'LOOKUP TABLES AND DROPDOWN LIST'!D86,'LOOKUP TABLES AND DROPDOWN LIST'!G86)</f>
        <v>-17.0346293188124+7.45860140873399i</v>
      </c>
      <c r="K86" s="124">
        <f t="shared" si="5"/>
        <v>25.388367077023595</v>
      </c>
      <c r="L86" s="124">
        <f t="shared" si="6"/>
        <v>156.35382377860589</v>
      </c>
      <c r="R86" s="124">
        <f>MROUND(L102,5)</f>
        <v>55</v>
      </c>
      <c r="S86" s="124">
        <f>B102</f>
        <v>1995.2623149688804</v>
      </c>
    </row>
    <row r="87" spans="1:24">
      <c r="A87" s="131">
        <v>1.8</v>
      </c>
      <c r="B87" s="124">
        <f t="shared" si="1"/>
        <v>63.095734448019364</v>
      </c>
      <c r="C87" s="124">
        <f t="shared" si="7"/>
        <v>396.44219162950014</v>
      </c>
      <c r="D87" s="124" t="str">
        <f>IMDIV(((CTRmin/100)*0.1),COMPLEX(1,'LOOKUP TABLES AND DROPDOWN LIST'!C87*((Copto*nF)+(Cext*uF))*((R_fb4*kOhms*Requ*kOhms)/((R_fb4*kOhms)+(Requ*kOhms)))))</f>
        <v>0.0499639354005631-0.00134235960774701i</v>
      </c>
      <c r="E87" s="124">
        <f>20*LOG(IMABS(D87))</f>
        <v>-26.023733574863535</v>
      </c>
      <c r="F87" s="124">
        <f t="shared" si="3"/>
        <v>-1.5389709050395817</v>
      </c>
      <c r="G87" s="124" t="str">
        <f>IMDIV((Vout_cv/(2*Iocc)),COMPLEX(1,'LOOKUP TABLES AND DROPDOWN LIST'!C87*(Cout*uF)*(Vout_cv/(2*Iocc))))</f>
        <v>1.25842841255675-0.653752127687571i</v>
      </c>
      <c r="H87" s="124">
        <f t="shared" si="4"/>
        <v>3.0341939458124818</v>
      </c>
      <c r="I87" s="124">
        <f t="shared" si="0"/>
        <v>-27.451825355299007</v>
      </c>
      <c r="J87" s="124" t="str">
        <f>IMPRODUCT((1/(R_tl*kOhms)),G_fb1,(G_fb2*kOhms),(K_fm4*kHz),(G_p4*uC),'LOOKUP TABLES AND DROPDOWN LIST'!D87,'LOOKUP TABLES AND DROPDOWN LIST'!G87)</f>
        <v>-15.6128641126463+8.65107360884247i</v>
      </c>
      <c r="K87" s="124">
        <f t="shared" si="5"/>
        <v>25.032493161245441</v>
      </c>
      <c r="L87" s="124">
        <f t="shared" si="6"/>
        <v>151.00920373966142</v>
      </c>
      <c r="R87" s="124">
        <f>MROUND(L101,5)</f>
        <v>60</v>
      </c>
      <c r="S87" s="124">
        <f>B101</f>
        <v>1584.8931924611156</v>
      </c>
    </row>
    <row r="88" spans="1:24">
      <c r="A88" s="131">
        <v>1.9</v>
      </c>
      <c r="B88" s="124">
        <f t="shared" si="1"/>
        <v>79.432823472428197</v>
      </c>
      <c r="C88" s="124">
        <f t="shared" si="7"/>
        <v>499.09114934975059</v>
      </c>
      <c r="D88" s="124" t="str">
        <f>IMDIV(((CTRmin/100)*0.1),COMPLEX(1,'LOOKUP TABLES AND DROPDOWN LIST'!C88*((Copto*nF)+(Cext*uF))*((R_fb4*kOhms*Requ*kOhms)/((R_fb4*kOhms)+(Requ*kOhms)))))</f>
        <v>0.0499428655656688-0.00168921797674973i</v>
      </c>
      <c r="E88" s="124">
        <f t="shared" si="2"/>
        <v>-26.025565384725596</v>
      </c>
      <c r="F88" s="124">
        <f t="shared" si="3"/>
        <v>-1.9371771668247242</v>
      </c>
      <c r="G88" s="124" t="str">
        <f>IMDIV((Vout_cv/(2*Iocc)),COMPLEX(1,'LOOKUP TABLES AND DROPDOWN LIST'!C88*(Cout*uF)*(Vout_cv/(2*Iocc))))</f>
        <v>1.11929598900089-0.73203112595512i</v>
      </c>
      <c r="H88" s="124">
        <f t="shared" si="4"/>
        <v>2.5253582690557379</v>
      </c>
      <c r="I88" s="124">
        <f t="shared" si="0"/>
        <v>-33.185100185755921</v>
      </c>
      <c r="J88" s="124" t="str">
        <f>IMPRODUCT((1/(R_tl*kOhms)),G_fb1,(G_fb2*kOhms),(K_fm4*kHz),(G_p4*uC),'LOOKUP TABLES AND DROPDOWN LIST'!D88,'LOOKUP TABLES AND DROPDOWN LIST'!G88)</f>
        <v>-13.7659232230932+9.68285121530851i</v>
      </c>
      <c r="K88" s="124">
        <f t="shared" si="5"/>
        <v>24.521825674626633</v>
      </c>
      <c r="L88" s="124">
        <f t="shared" si="6"/>
        <v>144.87772264741935</v>
      </c>
      <c r="R88" s="124">
        <f>MROUND(L100,5)</f>
        <v>65</v>
      </c>
      <c r="S88" s="124">
        <f>B100</f>
        <v>1258.925411794168</v>
      </c>
    </row>
    <row r="89" spans="1:24">
      <c r="A89" s="131">
        <v>2</v>
      </c>
      <c r="B89" s="124">
        <f t="shared" si="1"/>
        <v>100</v>
      </c>
      <c r="C89" s="124">
        <f>2*PI()*B89</f>
        <v>628.31853071795865</v>
      </c>
      <c r="D89" s="124" t="str">
        <f>IMDIV(((CTRmin/100)*0.1),COMPLEX(1,'LOOKUP TABLES AND DROPDOWN LIST'!C89*((Copto*nF)+(Cext*uF))*((R_fb4*kOhms*Requ*kOhms)/((R_fb4*kOhms)+(Requ*kOhms)))))</f>
        <v>0.0499095085040401-0.00212517907178493i</v>
      </c>
      <c r="E89" s="124">
        <f t="shared" si="2"/>
        <v>-26.028467025967828</v>
      </c>
      <c r="F89" s="124">
        <f t="shared" si="3"/>
        <v>-2.4382183813501164</v>
      </c>
      <c r="G89" s="124" t="str">
        <f>IMDIV((Vout_cv/(2*Iocc)),COMPLEX(1,'LOOKUP TABLES AND DROPDOWN LIST'!C89*(Cout*uF)*(Vout_cv/(2*Iocc))))</f>
        <v>0.952408723168425-0.78416592145492i</v>
      </c>
      <c r="H89" s="124">
        <f t="shared" si="4"/>
        <v>1.8241424391749832</v>
      </c>
      <c r="I89" s="124">
        <f t="shared" si="0"/>
        <v>-39.466341119980449</v>
      </c>
      <c r="J89" s="124" t="str">
        <f>IMPRODUCT((1/(R_tl*kOhms)),G_fb1,(G_fb2*kOhms),(K_fm4*kHz),(G_p4*uC),'LOOKUP TABLES AND DROPDOWN LIST'!D89,'LOOKUP TABLES AND DROPDOWN LIST'!G89)</f>
        <v>-11.550722611991+10.3655299665997i</v>
      </c>
      <c r="K89" s="124">
        <f t="shared" si="5"/>
        <v>23.817708203503656</v>
      </c>
      <c r="L89" s="124">
        <f t="shared" si="6"/>
        <v>138.0954404986694</v>
      </c>
      <c r="R89" s="124">
        <f>MROUND(L99,5)</f>
        <v>75</v>
      </c>
      <c r="S89" s="124">
        <f>B99</f>
        <v>1000</v>
      </c>
    </row>
    <row r="90" spans="1:24">
      <c r="A90" s="131">
        <v>2.1</v>
      </c>
      <c r="B90" s="124">
        <f t="shared" si="1"/>
        <v>125.89254117941677</v>
      </c>
      <c r="C90" s="124">
        <f>2*PI()*B90</f>
        <v>791.0061650220124</v>
      </c>
      <c r="D90" s="124" t="str">
        <f>IMDIV(((CTRmin/100)*0.1),COMPLEX(1,'LOOKUP TABLES AND DROPDOWN LIST'!C90*((Copto*nF)+(Cext*uF))*((R_fb4*kOhms*Requ*kOhms)/((R_fb4*kOhms)+(Requ*kOhms)))))</f>
        <v>0.0498567323011316-0.00267261282453697i</v>
      </c>
      <c r="E90" s="124">
        <f t="shared" si="2"/>
        <v>-26.033061849958791</v>
      </c>
      <c r="F90" s="124">
        <f t="shared" si="3"/>
        <v>-3.0684524130058266</v>
      </c>
      <c r="G90" s="124" t="str">
        <f>IMDIV((Vout_cv/(2*Iocc)),COMPLEX(1,'LOOKUP TABLES AND DROPDOWN LIST'!C90*(Cout*uF)*(Vout_cv/(2*Iocc))))</f>
        <v>0.770365309829628-0.79851176286206i</v>
      </c>
      <c r="H90" s="124">
        <f t="shared" si="4"/>
        <v>0.90287597363799743</v>
      </c>
      <c r="I90" s="124">
        <f t="shared" si="0"/>
        <v>-46.027805179378582</v>
      </c>
      <c r="J90" s="124" t="str">
        <f>IMPRODUCT((1/(R_tl*kOhms)),G_fb1,(G_fb2*kOhms),(K_fm4*kHz),(G_p4*uC),'LOOKUP TABLES AND DROPDOWN LIST'!D90,'LOOKUP TABLES AND DROPDOWN LIST'!G90)</f>
        <v>-9.13470454637817+10.5439996433545i</v>
      </c>
      <c r="K90" s="124">
        <f t="shared" si="5"/>
        <v>22.891846913975677</v>
      </c>
      <c r="L90" s="124">
        <f t="shared" si="6"/>
        <v>130.90374240761571</v>
      </c>
      <c r="R90" s="124">
        <f>MROUND(L98,5)</f>
        <v>80</v>
      </c>
      <c r="S90" s="124">
        <f>B98</f>
        <v>794.32823472428208</v>
      </c>
    </row>
    <row r="91" spans="1:24">
      <c r="A91" s="131">
        <v>2.2000000000000002</v>
      </c>
      <c r="B91" s="124">
        <f t="shared" si="1"/>
        <v>158.48931924611153</v>
      </c>
      <c r="C91" s="124">
        <f t="shared" ref="C91:C94" si="8">2*PI()*B91</f>
        <v>995.81776203206277</v>
      </c>
      <c r="D91" s="124" t="str">
        <f>IMDIV(((CTRmin/100)*0.1),COMPLEX(1,'LOOKUP TABLES AND DROPDOWN LIST'!C91*((Copto*nF)+(Cext*uF))*((R_fb4*kOhms*Requ*kOhms)/((R_fb4*kOhms)+(Requ*kOhms)))))</f>
        <v>0.0497733159051403-0.00335899078059487i</v>
      </c>
      <c r="E91" s="124">
        <f t="shared" si="2"/>
        <v>-26.040334211981428</v>
      </c>
      <c r="F91" s="124">
        <f t="shared" si="3"/>
        <v>-3.8607960529358243</v>
      </c>
      <c r="G91" s="124" t="str">
        <f>IMDIV((Vout_cv/(2*Iocc)),COMPLEX(1,'LOOKUP TABLES AND DROPDOWN LIST'!C91*(Cout*uF)*(Vout_cv/(2*Iocc))))</f>
        <v>0.591253149313905-0.771539325804644i</v>
      </c>
      <c r="H91" s="124">
        <f t="shared" si="4"/>
        <v>-0.2463565353815052</v>
      </c>
      <c r="I91" s="124">
        <f t="shared" si="0"/>
        <v>-52.535998444126271</v>
      </c>
      <c r="J91" s="124" t="str">
        <f>IMPRODUCT((1/(R_tl*kOhms)),G_fb1,(G_fb2*kOhms),(K_fm4*kHz),(G_p4*uC),'LOOKUP TABLES AND DROPDOWN LIST'!D91,'LOOKUP TABLES AND DROPDOWN LIST'!G91)</f>
        <v>-6.75828018959728+10.1707948732178i</v>
      </c>
      <c r="K91" s="124">
        <f t="shared" si="5"/>
        <v>21.735342042933524</v>
      </c>
      <c r="L91" s="124">
        <f t="shared" si="6"/>
        <v>123.60320550293802</v>
      </c>
      <c r="R91" s="124">
        <f>MROUND(L97,5)</f>
        <v>85</v>
      </c>
      <c r="S91" s="124">
        <f>B97</f>
        <v>630.95734448019323</v>
      </c>
    </row>
    <row r="92" spans="1:24">
      <c r="A92" s="131">
        <v>2.2999999999999998</v>
      </c>
      <c r="B92" s="124">
        <f t="shared" si="1"/>
        <v>199.52623149688802</v>
      </c>
      <c r="C92" s="124">
        <f t="shared" si="8"/>
        <v>1253.6602861381596</v>
      </c>
      <c r="D92" s="124" t="str">
        <f>IMDIV(((CTRmin/100)*0.1),COMPLEX(1,'LOOKUP TABLES AND DROPDOWN LIST'!C92*((Copto*nF)+(Cext*uF))*((R_fb4*kOhms*Requ*kOhms)/((R_fb4*kOhms)+(Requ*kOhms)))))</f>
        <v>0.049641680085187-0.00421753513077237i</v>
      </c>
      <c r="E92" s="124">
        <f t="shared" si="2"/>
        <v>-26.051835242196731</v>
      </c>
      <c r="F92" s="124">
        <f t="shared" si="3"/>
        <v>-4.8561622991184343</v>
      </c>
      <c r="G92" s="124" t="str">
        <f>IMDIV((Vout_cv/(2*Iocc)),COMPLEX(1,'LOOKUP TABLES AND DROPDOWN LIST'!C92*(Cout*uF)*(Vout_cv/(2*Iocc))))</f>
        <v>0.432047131205504-0.709766873516288i</v>
      </c>
      <c r="H92" s="124">
        <f t="shared" si="4"/>
        <v>-1.6087799479873353</v>
      </c>
      <c r="I92" s="124">
        <f t="shared" si="0"/>
        <v>-58.67041648061673</v>
      </c>
      <c r="J92" s="124" t="str">
        <f>IMPRODUCT((1/(R_tl*kOhms)),G_fb1,(G_fb2*kOhms),(K_fm4*kHz),(G_p4*uC),'LOOKUP TABLES AND DROPDOWN LIST'!D92,'LOOKUP TABLES AND DROPDOWN LIST'!G92)</f>
        <v>-4.64722830847185+9.3317361570853i</v>
      </c>
      <c r="K92" s="124">
        <f t="shared" si="5"/>
        <v>20.361417600112421</v>
      </c>
      <c r="L92" s="124">
        <f t="shared" si="6"/>
        <v>116.47342122026485</v>
      </c>
      <c r="R92" s="124">
        <f>MROUND(L96,5)</f>
        <v>90</v>
      </c>
      <c r="S92" s="124">
        <f>B96</f>
        <v>501.18723362727269</v>
      </c>
    </row>
    <row r="93" spans="1:24">
      <c r="A93" s="131">
        <v>2.4</v>
      </c>
      <c r="B93" s="124">
        <f t="shared" si="1"/>
        <v>251.18864315095806</v>
      </c>
      <c r="C93" s="124">
        <f t="shared" si="8"/>
        <v>1578.2647919764759</v>
      </c>
      <c r="D93" s="124" t="str">
        <f>IMDIV(((CTRmin/100)*0.1),COMPLEX(1,'LOOKUP TABLES AND DROPDOWN LIST'!C93*((Copto*nF)+(Cext*uF))*((R_fb4*kOhms*Requ*kOhms)/((R_fb4*kOhms)+(Requ*kOhms)))))</f>
        <v>0.0494344716621901-0.00528739960563135i</v>
      </c>
      <c r="E93" s="124">
        <f>20*LOG(IMABS(D93))</f>
        <v>-26.070000987298577</v>
      </c>
      <c r="F93" s="124">
        <f t="shared" si="3"/>
        <v>-6.1050175787705596</v>
      </c>
      <c r="G93" s="124" t="str">
        <f>IMDIV((Vout_cv/(2*Iocc)),COMPLEX(1,'LOOKUP TABLES AND DROPDOWN LIST'!C93*(Cout*uF)*(Vout_cv/(2*Iocc))))</f>
        <v>0.302816482630609-0.626273608619991i</v>
      </c>
      <c r="H93" s="124">
        <f t="shared" si="4"/>
        <v>-3.1522960997011493</v>
      </c>
      <c r="I93" s="124">
        <f t="shared" si="0"/>
        <v>-64.195254810982888</v>
      </c>
      <c r="J93" s="124" t="str">
        <f>IMPRODUCT((1/(R_tl*kOhms)),G_fb1,(G_fb2*kOhms),(K_fm4*kHz),(G_p4*uC),'LOOKUP TABLES AND DROPDOWN LIST'!D93,'LOOKUP TABLES AND DROPDOWN LIST'!G93)</f>
        <v>-2.93584864714393+8.19963010884676i</v>
      </c>
      <c r="K93" s="124">
        <f t="shared" si="5"/>
        <v>18.799735703296754</v>
      </c>
      <c r="L93" s="124">
        <f t="shared" si="6"/>
        <v>109.69972761024657</v>
      </c>
      <c r="R93" s="124">
        <f>MROUND(L95,5)</f>
        <v>95</v>
      </c>
      <c r="S93" s="124">
        <f>B95</f>
        <v>398.10717055349761</v>
      </c>
    </row>
    <row r="94" spans="1:24">
      <c r="A94" s="131">
        <v>2.5</v>
      </c>
      <c r="B94" s="124">
        <f t="shared" si="1"/>
        <v>316.22776601683825</v>
      </c>
      <c r="C94" s="124">
        <f t="shared" si="8"/>
        <v>1986.917653159222</v>
      </c>
      <c r="D94" s="124" t="str">
        <f>IMDIV(((CTRmin/100)*0.1),COMPLEX(1,'LOOKUP TABLES AND DROPDOWN LIST'!C94*((Copto*nF)+(Cext*uF))*((R_fb4*kOhms*Requ*kOhms)/((R_fb4*kOhms)+(Requ*kOhms)))))</f>
        <v>0.0491095884810675-0.00661269561325611i</v>
      </c>
      <c r="E94" s="124">
        <f t="shared" si="2"/>
        <v>-26.09863700733159</v>
      </c>
      <c r="F94" s="124">
        <f t="shared" si="3"/>
        <v>-7.668854855070256</v>
      </c>
      <c r="G94" s="124" t="str">
        <f>IMDIV((Vout_cv/(2*Iocc)),COMPLEX(1,'LOOKUP TABLES AND DROPDOWN LIST'!C94*(Cout*uF)*(Vout_cv/(2*Iocc))))</f>
        <v>0.205430063298869-0.534870443925512i</v>
      </c>
      <c r="H94" s="124">
        <f t="shared" si="4"/>
        <v>-4.8374512059349586</v>
      </c>
      <c r="I94" s="124">
        <f t="shared" si="0"/>
        <v>-68.989493931442084</v>
      </c>
      <c r="J94" s="124" t="str">
        <f>IMPRODUCT((1/(R_tl*kOhms)),G_fb1,(G_fb2*kOhms),(K_fm4*kHz),(G_p4*uC),'LOOKUP TABLES AND DROPDOWN LIST'!D94,'LOOKUP TABLES AND DROPDOWN LIST'!G94)</f>
        <v>-1.64987999537628+6.95689019817869i</v>
      </c>
      <c r="K94" s="124">
        <f t="shared" si="5"/>
        <v>17.085944577029931</v>
      </c>
      <c r="L94" s="124">
        <f t="shared" si="6"/>
        <v>103.34165121348768</v>
      </c>
      <c r="R94" s="124">
        <f>MROUND(L94,5)</f>
        <v>105</v>
      </c>
      <c r="S94" s="124">
        <f>B94</f>
        <v>316.22776601683825</v>
      </c>
    </row>
    <row r="95" spans="1:24">
      <c r="A95" s="131">
        <v>2.6</v>
      </c>
      <c r="B95" s="124">
        <f>10^A95</f>
        <v>398.10717055349761</v>
      </c>
      <c r="C95" s="124">
        <f>2*PI()*B95</f>
        <v>2501.3811247045737</v>
      </c>
      <c r="D95" s="124" t="str">
        <f>IMDIV(((CTRmin/100)*0.1),COMPLEX(1,'LOOKUP TABLES AND DROPDOWN LIST'!C95*((Copto*nF)+(Cext*uF))*((R_fb4*kOhms*Requ*kOhms)/((R_fb4*kOhms)+(Requ*kOhms)))))</f>
        <v>0.0486033403303709-0.00823907308188773i</v>
      </c>
      <c r="E95" s="124">
        <f t="shared" si="2"/>
        <v>-26.14363877899703</v>
      </c>
      <c r="F95" s="124">
        <f t="shared" si="3"/>
        <v>-9.6211244343327671</v>
      </c>
      <c r="G95" s="124" t="str">
        <f>IMDIV((Vout_cv/(2*Iocc)),COMPLEX(1,'LOOKUP TABLES AND DROPDOWN LIST'!C95*(Cout*uF)*(Vout_cv/(2*Iocc))))</f>
        <v>0.136072983997813-0.446022234262994i</v>
      </c>
      <c r="H95" s="124">
        <f t="shared" si="4"/>
        <v>-6.6263721185695115</v>
      </c>
      <c r="I95" s="124">
        <f t="shared" si="0"/>
        <v>-73.034039448921661</v>
      </c>
      <c r="J95" s="124" t="str">
        <f>IMPRODUCT((1/(R_tl*kOhms)),G_fb1,(G_fb2*kOhms),(K_fm4*kHz),(G_p4*uC),'LOOKUP TABLES AND DROPDOWN LIST'!D95,'LOOKUP TABLES AND DROPDOWN LIST'!G95)</f>
        <v>-0.740066002738294+5.74146709841839i</v>
      </c>
      <c r="K95" s="124">
        <f t="shared" si="5"/>
        <v>15.252021892729942</v>
      </c>
      <c r="L95" s="124">
        <f t="shared" si="6"/>
        <v>97.344836116745569</v>
      </c>
      <c r="R95" s="124">
        <f>MROUND(L93,5)</f>
        <v>110</v>
      </c>
      <c r="S95" s="124">
        <f>B93</f>
        <v>251.18864315095806</v>
      </c>
    </row>
    <row r="96" spans="1:24">
      <c r="A96" s="131">
        <v>2.7</v>
      </c>
      <c r="B96" s="124">
        <f t="shared" si="1"/>
        <v>501.18723362727269</v>
      </c>
      <c r="C96" s="124">
        <f>2*PI()*B96</f>
        <v>3149.0522624728624</v>
      </c>
      <c r="D96" s="124" t="str">
        <f>IMDIV(((CTRmin/100)*0.1),COMPLEX(1,'LOOKUP TABLES AND DROPDOWN LIST'!C96*((Copto*nF)+(Cext*uF))*((R_fb4*kOhms*Requ*kOhms)/((R_fb4*kOhms)+(Requ*kOhms)))))</f>
        <v>0.0478220271751218-0.0102056394027028i</v>
      </c>
      <c r="E96" s="124">
        <f t="shared" si="2"/>
        <v>-26.214020137564734</v>
      </c>
      <c r="F96" s="124">
        <f>180/PI()*IMARGUMENT(D96)</f>
        <v>-12.046708453773208</v>
      </c>
      <c r="G96" s="124" t="str">
        <f>IMDIV((Vout_cv/(2*Iocc)),COMPLEX(1,'LOOKUP TABLES AND DROPDOWN LIST'!C96*(Cout*uF)*(Vout_cv/(2*Iocc))))</f>
        <v>0.0886417006165238-0.365782294378137i</v>
      </c>
      <c r="H96" s="124">
        <f>20*LOG(IMABS(G96))</f>
        <v>-8.4877104103383996</v>
      </c>
      <c r="I96" s="124">
        <f t="shared" si="0"/>
        <v>-76.37785707479911</v>
      </c>
      <c r="J96" s="124" t="str">
        <f>IMPRODUCT((1/(R_tl*kOhms)),G_fb1,(G_fb2*kOhms),(K_fm4*kHz),(G_p4*uC),'LOOKUP TABLES AND DROPDOWN LIST'!D96,'LOOKUP TABLES AND DROPDOWN LIST'!G96)</f>
        <v>-0.127420145552898+4.63287854993553i</v>
      </c>
      <c r="K96" s="124">
        <f t="shared" si="5"/>
        <v>13.320302242393344</v>
      </c>
      <c r="L96" s="124">
        <f t="shared" si="6"/>
        <v>91.57543447142767</v>
      </c>
      <c r="R96" s="124">
        <f>MROUND(L92,5)</f>
        <v>115</v>
      </c>
      <c r="S96" s="124">
        <f>B92</f>
        <v>199.52623149688802</v>
      </c>
    </row>
    <row r="97" spans="1:19">
      <c r="A97" s="131">
        <v>2.8</v>
      </c>
      <c r="B97" s="124">
        <f t="shared" si="1"/>
        <v>630.95734448019323</v>
      </c>
      <c r="C97" s="124">
        <f t="shared" ref="C97:C100" si="9">2*PI()*B97</f>
        <v>3964.4219162949989</v>
      </c>
      <c r="D97" s="124" t="str">
        <f>IMDIV(((CTRmin/100)*0.1),COMPLEX(1,'LOOKUP TABLES AND DROPDOWN LIST'!C97*((Copto*nF)+(Cext*uF))*((R_fb4*kOhms*Requ*kOhms)/((R_fb4*kOhms)+(Requ*kOhms)))))</f>
        <v>0.046633905797679-0.0125289313166428i</v>
      </c>
      <c r="E97" s="124">
        <f t="shared" si="2"/>
        <v>-26.323282045855876</v>
      </c>
      <c r="F97" s="124">
        <f t="shared" si="3"/>
        <v>-15.038296400016335</v>
      </c>
      <c r="G97" s="124" t="str">
        <f>IMDIV((Vout_cv/(2*Iocc)),COMPLEX(1,'LOOKUP TABLES AND DROPDOWN LIST'!C97*(Cout*uF)*(Vout_cv/(2*Iocc))))</f>
        <v>0.0570979428649778-0.296623163162085i</v>
      </c>
      <c r="H97" s="124">
        <f t="shared" si="4"/>
        <v>-10.397886588751915</v>
      </c>
      <c r="I97" s="124">
        <f t="shared" si="0"/>
        <v>-79.104223363882952</v>
      </c>
      <c r="J97" s="124" t="str">
        <f>IMPRODUCT((1/(R_tl*kOhms)),G_fb1,(G_fb2*kOhms),(K_fm4*kHz),(G_p4*uC),'LOOKUP TABLES AND DROPDOWN LIST'!D97,'LOOKUP TABLES AND DROPDOWN LIST'!G97)</f>
        <v>0.265342446013243+3.66359203990903i</v>
      </c>
      <c r="K97" s="124">
        <f t="shared" si="5"/>
        <v>11.3008641556887</v>
      </c>
      <c r="L97" s="124">
        <f t="shared" si="6"/>
        <v>85.857480236100727</v>
      </c>
      <c r="R97" s="124">
        <f>MROUND(L91,5)</f>
        <v>125</v>
      </c>
      <c r="S97" s="124">
        <f>B91</f>
        <v>158.48931924611153</v>
      </c>
    </row>
    <row r="98" spans="1:19">
      <c r="A98" s="131">
        <v>2.9</v>
      </c>
      <c r="B98" s="124">
        <f t="shared" si="1"/>
        <v>794.32823472428208</v>
      </c>
      <c r="C98" s="124">
        <f t="shared" si="9"/>
        <v>4990.9114934975069</v>
      </c>
      <c r="D98" s="124" t="str">
        <f>IMDIV(((CTRmin/100)*0.1),COMPLEX(1,'LOOKUP TABLES AND DROPDOWN LIST'!C98*((Copto*nF)+(Cext*uF))*((R_fb4*kOhms*Requ*kOhms)/((R_fb4*kOhms)+(Requ*kOhms)))))</f>
        <v>0.0448672095438041-0.0151754401894172i</v>
      </c>
      <c r="E98" s="124">
        <f t="shared" si="2"/>
        <v>-26.491009356564859</v>
      </c>
      <c r="F98" s="124">
        <f t="shared" si="3"/>
        <v>-18.687083788962223</v>
      </c>
      <c r="G98" s="124" t="str">
        <f>IMDIV((Vout_cv/(2*Iocc)),COMPLEX(1,'LOOKUP TABLES AND DROPDOWN LIST'!C98*(Cout*uF)*(Vout_cv/(2*Iocc))))</f>
        <v>0.0365077499227123-0.23876445144654i</v>
      </c>
      <c r="H98" s="124">
        <f t="shared" si="4"/>
        <v>-12.340240536020765</v>
      </c>
      <c r="I98" s="124">
        <f t="shared" si="0"/>
        <v>-81.30664644853826</v>
      </c>
      <c r="J98" s="124" t="str">
        <f>IMPRODUCT((1/(R_tl*kOhms)),G_fb1,(G_fb2*kOhms),(K_fm4*kHz),(G_p4*uC),'LOOKUP TABLES AND DROPDOWN LIST'!D98,'LOOKUP TABLES AND DROPDOWN LIST'!G98)</f>
        <v>0.499965188924402+2.83725899106352i</v>
      </c>
      <c r="K98" s="124">
        <f t="shared" si="5"/>
        <v>9.1907828977108572</v>
      </c>
      <c r="L98" s="124">
        <f t="shared" si="6"/>
        <v>80.006269762499514</v>
      </c>
      <c r="R98" s="124">
        <f>MROUND(L90,5)</f>
        <v>130</v>
      </c>
      <c r="S98" s="124">
        <f>B90</f>
        <v>125.89254117941677</v>
      </c>
    </row>
    <row r="99" spans="1:19">
      <c r="A99" s="131">
        <v>3</v>
      </c>
      <c r="B99" s="124">
        <f t="shared" si="1"/>
        <v>1000</v>
      </c>
      <c r="C99" s="124">
        <f t="shared" si="9"/>
        <v>6283.1853071795858</v>
      </c>
      <c r="D99" s="124" t="str">
        <f>IMDIV(((CTRmin/100)*0.1),COMPLEX(1,'LOOKUP TABLES AND DROPDOWN LIST'!C99*((Copto*nF)+(Cext*uF))*((R_fb4*kOhms*Requ*kOhms)/((R_fb4*kOhms)+(Requ*kOhms)))))</f>
        <v>0.0423258518022621-0.0180226207674148i</v>
      </c>
      <c r="E99" s="124">
        <f t="shared" si="2"/>
        <v>-26.744242886751014</v>
      </c>
      <c r="F99" s="124">
        <f t="shared" si="3"/>
        <v>-23.064617773760929</v>
      </c>
      <c r="G99" s="124" t="str">
        <f>IMDIV((Vout_cv/(2*Iocc)),COMPLEX(1,'LOOKUP TABLES AND DROPDOWN LIST'!C99*(Cout*uF)*(Vout_cv/(2*Iocc))))</f>
        <v>0.0232306871082614-0.191269910902099i</v>
      </c>
      <c r="H99" s="124">
        <f t="shared" si="4"/>
        <v>-14.303470651785775</v>
      </c>
      <c r="I99" s="124">
        <f t="shared" si="0"/>
        <v>-83.075058823761282</v>
      </c>
      <c r="J99" s="124" t="str">
        <f>IMPRODUCT((1/(R_tl*kOhms)),G_fb1,(G_fb2*kOhms),(K_fm4*kHz),(G_p4*uC),'LOOKUP TABLES AND DROPDOWN LIST'!D99,'LOOKUP TABLES AND DROPDOWN LIST'!G99)</f>
        <v>0.620482273861518+2.14413742019855i</v>
      </c>
      <c r="K99" s="124">
        <f t="shared" si="5"/>
        <v>6.9743192517596775</v>
      </c>
      <c r="L99" s="124">
        <f t="shared" si="6"/>
        <v>73.860323402477761</v>
      </c>
      <c r="R99" s="124">
        <f>MROUND(L89,5)</f>
        <v>140</v>
      </c>
      <c r="S99" s="124">
        <f>B89</f>
        <v>100</v>
      </c>
    </row>
    <row r="100" spans="1:19">
      <c r="A100" s="131">
        <v>3.1</v>
      </c>
      <c r="B100" s="124">
        <f t="shared" si="1"/>
        <v>1258.925411794168</v>
      </c>
      <c r="C100" s="124">
        <f t="shared" si="9"/>
        <v>7910.0616502201265</v>
      </c>
      <c r="D100" s="124" t="str">
        <f>IMDIV(((CTRmin/100)*0.1),COMPLEX(1,'LOOKUP TABLES AND DROPDOWN LIST'!C100*((Copto*nF)+(Cext*uF))*((R_fb4*kOhms*Requ*kOhms)/((R_fb4*kOhms)+(Requ*kOhms)))))</f>
        <v>0.0388392114807949-0.020820091872752i</v>
      </c>
      <c r="E100" s="124">
        <f t="shared" si="2"/>
        <v>-27.1175959144696</v>
      </c>
      <c r="F100" s="124">
        <f t="shared" si="3"/>
        <v>-28.19391484418653</v>
      </c>
      <c r="G100" s="124" t="str">
        <f>IMDIV((Vout_cv/(2*Iocc)),COMPLEX(1,'LOOKUP TABLES AND DROPDOWN LIST'!C100*(Cout*uF)*(Vout_cv/(2*Iocc))))</f>
        <v>0.014736630669858-0.152750555933495i</v>
      </c>
      <c r="H100" s="124">
        <f t="shared" si="4"/>
        <v>-16.280109212157171</v>
      </c>
      <c r="I100" s="124">
        <f t="shared" si="0"/>
        <v>-84.489436083376077</v>
      </c>
      <c r="J100" s="124" t="str">
        <f>IMPRODUCT((1/(R_tl*kOhms)),G_fb1,(G_fb2*kOhms),(K_fm4*kHz),(G_p4*uC),'LOOKUP TABLES AND DROPDOWN LIST'!D100,'LOOKUP TABLES AND DROPDOWN LIST'!G100)</f>
        <v>0.656744059458643+1.57127954737284i</v>
      </c>
      <c r="K100" s="124">
        <f t="shared" si="5"/>
        <v>4.6243276636697086</v>
      </c>
      <c r="L100" s="124">
        <f t="shared" si="6"/>
        <v>67.3166490724374</v>
      </c>
      <c r="R100" s="124">
        <f>MROUND(L88,5)</f>
        <v>145</v>
      </c>
      <c r="S100" s="124">
        <f>B88</f>
        <v>79.432823472428197</v>
      </c>
    </row>
    <row r="101" spans="1:19">
      <c r="A101" s="131">
        <v>3.2</v>
      </c>
      <c r="B101" s="124">
        <f t="shared" si="1"/>
        <v>1584.8931924611156</v>
      </c>
      <c r="C101" s="124">
        <f>2*PI()*B101</f>
        <v>9958.17762032063</v>
      </c>
      <c r="D101" s="124" t="str">
        <f>IMDIV(((CTRmin/100)*0.1),COMPLEX(1,'LOOKUP TABLES AND DROPDOWN LIST'!C101*((Copto*nF)+(Cext*uF))*((R_fb4*kOhms*Requ*kOhms)/((R_fb4*kOhms)+(Requ*kOhms)))))</f>
        <v>0.0343540381157529-0.0231840887448492i</v>
      </c>
      <c r="E101" s="124">
        <f>20*LOG(IMABS(D101))</f>
        <v>-27.650522024979804</v>
      </c>
      <c r="F101" s="124">
        <f t="shared" si="3"/>
        <v>-34.013750288868152</v>
      </c>
      <c r="G101" s="124" t="str">
        <f>IMDIV((Vout_cv/(2*Iocc)),COMPLEX(1,'LOOKUP TABLES AND DROPDOWN LIST'!C101*(Cout*uF)*(Vout_cv/(2*Iocc))))</f>
        <v>0.00932993673255383-0.121748410216295i</v>
      </c>
      <c r="H101" s="124">
        <f t="shared" si="4"/>
        <v>-18.265304218103822</v>
      </c>
      <c r="I101" s="124">
        <f t="shared" si="0"/>
        <v>-85.617821727194411</v>
      </c>
      <c r="J101" s="124" t="str">
        <f>IMPRODUCT((1/(R_tl*kOhms)),G_fb1,(G_fb2*kOhms),(K_fm4*kHz),(G_p4*uC),'LOOKUP TABLES AND DROPDOWN LIST'!D101,'LOOKUP TABLES AND DROPDOWN LIST'!G101)</f>
        <v>0.630096635602898+1.10774894702575i</v>
      </c>
      <c r="K101" s="124">
        <f t="shared" si="5"/>
        <v>2.1062065472128406</v>
      </c>
      <c r="L101" s="124">
        <f t="shared" si="6"/>
        <v>60.368427983937387</v>
      </c>
      <c r="R101" s="124">
        <f>MROUND(L87,5)</f>
        <v>150</v>
      </c>
      <c r="S101" s="124">
        <f>B87</f>
        <v>63.095734448019364</v>
      </c>
    </row>
    <row r="102" spans="1:19">
      <c r="A102" s="131">
        <v>3.3</v>
      </c>
      <c r="B102" s="124">
        <f t="shared" si="1"/>
        <v>1995.2623149688804</v>
      </c>
      <c r="C102" s="124">
        <f>2*PI()*B102</f>
        <v>12536.602861381598</v>
      </c>
      <c r="D102" s="124" t="str">
        <f>IMDIV(((CTRmin/100)*0.1),COMPLEX(1,'LOOKUP TABLES AND DROPDOWN LIST'!C102*((Copto*nF)+(Cext*uF))*((R_fb4*kOhms*Requ*kOhms)/((R_fb4*kOhms)+(Requ*kOhms)))))</f>
        <v>0.0290391644440894-0.0246715453628994i</v>
      </c>
      <c r="E102" s="124">
        <f>20*LOG(IMABS(D102))</f>
        <v>-28.380458795912237</v>
      </c>
      <c r="F102" s="124">
        <f t="shared" si="3"/>
        <v>-40.351081150747731</v>
      </c>
      <c r="G102" s="124" t="str">
        <f>IMDIV((Vout_cv/(2*Iocc)),COMPLEX(1,'LOOKUP TABLES AND DROPDOWN LIST'!C102*(Cout*uF)*(Vout_cv/(2*Iocc))))</f>
        <v>0.00589950310791147-0.0969170160792086i</v>
      </c>
      <c r="H102" s="124">
        <f t="shared" si="4"/>
        <v>-20.25593686306939</v>
      </c>
      <c r="I102" s="124">
        <f t="shared" si="0"/>
        <v>-86.516606915735409</v>
      </c>
      <c r="J102" s="124" t="str">
        <f>IMPRODUCT((1/(R_tl*kOhms)),G_fb1,(G_fb2*kOhms),(K_fm4*kHz),(G_p4*uC),'LOOKUP TABLES AND DROPDOWN LIST'!D102,'LOOKUP TABLES AND DROPDOWN LIST'!G102)</f>
        <v>0.558998670471873+0.745391445563582i</v>
      </c>
      <c r="K102" s="124">
        <f t="shared" si="5"/>
        <v>-0.61436286868514112</v>
      </c>
      <c r="L102" s="124">
        <f t="shared" si="6"/>
        <v>53.132311933516846</v>
      </c>
      <c r="R102" s="124">
        <f>MROUND(L86,5)</f>
        <v>155</v>
      </c>
      <c r="S102" s="124">
        <f>B86</f>
        <v>50.118723362727238</v>
      </c>
    </row>
    <row r="103" spans="1:19">
      <c r="A103" s="131">
        <v>3.4</v>
      </c>
      <c r="B103" s="124">
        <f t="shared" si="1"/>
        <v>2511.8864315095811</v>
      </c>
      <c r="C103" s="124">
        <f t="shared" ref="C103:C109" si="10">2*PI()*B103</f>
        <v>15782.647919764762</v>
      </c>
      <c r="D103" s="124" t="str">
        <f>IMDIV(((CTRmin/100)*0.1),COMPLEX(1,'LOOKUP TABLES AND DROPDOWN LIST'!C103*((Copto*nF)+(Cext*uF))*((R_fb4*kOhms*Requ*kOhms)/((R_fb4*kOhms)+(Requ*kOhms)))))</f>
        <v>0.0233209399255322-0.0249435514164749i</v>
      </c>
      <c r="E103" s="124">
        <f t="shared" ref="E103:E109" si="11">20*LOG(IMABS(D103))</f>
        <v>-29.332839454498266</v>
      </c>
      <c r="F103" s="124">
        <f t="shared" si="3"/>
        <v>-46.9255105658414</v>
      </c>
      <c r="G103" s="124" t="str">
        <f>IMDIV((Vout_cv/(2*Iocc)),COMPLEX(1,'LOOKUP TABLES AND DROPDOWN LIST'!C103*(Cout*uF)*(Vout_cv/(2*Iocc))))</f>
        <v>0.00372741300111016-0.0770889474292564i</v>
      </c>
      <c r="H103" s="124">
        <f t="shared" si="4"/>
        <v>-22.250016048772775</v>
      </c>
      <c r="I103" s="124">
        <f t="shared" si="0"/>
        <v>-87.231784314592275</v>
      </c>
      <c r="J103" s="124" t="str">
        <f>IMPRODUCT((1/(R_tl*kOhms)),G_fb1,(G_fb2*kOhms),(K_fm4*kHz),(G_p4*uC),'LOOKUP TABLES AND DROPDOWN LIST'!D103,'LOOKUP TABLES AND DROPDOWN LIST'!G103)</f>
        <v>0.462339915051209+0.476144113812373i</v>
      </c>
      <c r="K103" s="124">
        <f t="shared" si="5"/>
        <v>-3.5608227129745518</v>
      </c>
      <c r="L103" s="124">
        <f t="shared" si="6"/>
        <v>45.842705119566318</v>
      </c>
      <c r="R103" s="124">
        <f>MROUND(L85,5)</f>
        <v>160</v>
      </c>
      <c r="S103" s="124">
        <f>B85</f>
        <v>39.810717055349755</v>
      </c>
    </row>
    <row r="104" spans="1:19">
      <c r="A104" s="131">
        <v>3.5</v>
      </c>
      <c r="B104" s="124">
        <f t="shared" si="1"/>
        <v>3162.2776601683804</v>
      </c>
      <c r="C104" s="124">
        <f t="shared" si="10"/>
        <v>19869.176531592209</v>
      </c>
      <c r="D104" s="124" t="str">
        <f>IMDIV(((CTRmin/100)*0.1),COMPLEX(1,'LOOKUP TABLES AND DROPDOWN LIST'!C104*((Copto*nF)+(Cext*uF))*((R_fb4*kOhms*Requ*kOhms)/((R_fb4*kOhms)+(Requ*kOhms)))))</f>
        <v>0.0177739143301029-0.0239328996548957i</v>
      </c>
      <c r="E104" s="124">
        <f t="shared" si="11"/>
        <v>-30.512469131170484</v>
      </c>
      <c r="F104" s="124">
        <f t="shared" si="3"/>
        <v>-53.400348025202653</v>
      </c>
      <c r="G104" s="124" t="str">
        <f>IMDIV((Vout_cv/(2*Iocc)),COMPLEX(1,'LOOKUP TABLES AND DROPDOWN LIST'!C104*(Cout*uF)*(Vout_cv/(2*Iocc))))</f>
        <v>0.00235386477351075-0.061286682004116i</v>
      </c>
      <c r="H104" s="124">
        <f t="shared" si="4"/>
        <v>-24.246276109953584</v>
      </c>
      <c r="I104" s="124">
        <f t="shared" si="0"/>
        <v>-87.800496682166084</v>
      </c>
      <c r="J104" s="124" t="str">
        <f>IMPRODUCT((1/(R_tl*kOhms)),G_fb1,(G_fb2*kOhms),(K_fm4*kHz),(G_p4*uC),'LOOKUP TABLES AND DROPDOWN LIST'!D104,'LOOKUP TABLES AND DROPDOWN LIST'!G104)</f>
        <v>0.358835464242551+0.288502410465879i</v>
      </c>
      <c r="K104" s="124">
        <f t="shared" si="5"/>
        <v>-6.7367124508275831</v>
      </c>
      <c r="L104" s="124">
        <f t="shared" si="6"/>
        <v>38.799155292631184</v>
      </c>
      <c r="R104" s="124">
        <f>MROUND(L84,5)</f>
        <v>165</v>
      </c>
      <c r="S104" s="124">
        <f>B84</f>
        <v>31.622776601683803</v>
      </c>
    </row>
    <row r="105" spans="1:19">
      <c r="A105" s="131">
        <v>3.6</v>
      </c>
      <c r="B105" s="124">
        <f t="shared" si="1"/>
        <v>3981.0717055349769</v>
      </c>
      <c r="C105" s="124">
        <f t="shared" si="10"/>
        <v>25013.811247045742</v>
      </c>
      <c r="D105" s="124" t="str">
        <f>IMDIV(((CTRmin/100)*0.1),COMPLEX(1,'LOOKUP TABLES AND DROPDOWN LIST'!C105*((Copto*nF)+(Cext*uF))*((R_fb4*kOhms*Requ*kOhms)/((R_fb4*kOhms)+(Requ*kOhms)))))</f>
        <v>0.012907929876923-0.0218810840713752i</v>
      </c>
      <c r="E105" s="124">
        <f t="shared" si="11"/>
        <v>-31.901733982556422</v>
      </c>
      <c r="F105" s="124">
        <f>180/PI()*IMARGUMENT(D105)</f>
        <v>-59.46310468259118</v>
      </c>
      <c r="G105" s="124" t="str">
        <f>IMDIV((Vout_cv/(2*Iocc)),COMPLEX(1,'LOOKUP TABLES AND DROPDOWN LIST'!C105*(Cout*uF)*(Vout_cv/(2*Iocc))))</f>
        <v>0.00148599603141547-0.0487082189693528i</v>
      </c>
      <c r="H105" s="124">
        <f t="shared" si="4"/>
        <v>-26.243914709878297</v>
      </c>
      <c r="I105" s="124">
        <f t="shared" si="0"/>
        <v>-88.25255567615109</v>
      </c>
      <c r="J105" s="124" t="str">
        <f>IMPRODUCT((1/(R_tl*kOhms)),G_fb1,(G_fb2*kOhms),(K_fm4*kHz),(G_p4*uC),'LOOKUP TABLES AND DROPDOWN LIST'!D105,'LOOKUP TABLES AND DROPDOWN LIST'!G105)</f>
        <v>0.263563631472495+0.166517200524889i</v>
      </c>
      <c r="K105" s="124">
        <f t="shared" si="5"/>
        <v>-10.123615902138249</v>
      </c>
      <c r="L105" s="124">
        <f t="shared" si="6"/>
        <v>32.284339641257738</v>
      </c>
      <c r="R105" s="124">
        <f>MROUND(L83,5)</f>
        <v>170</v>
      </c>
      <c r="S105" s="124">
        <f>B83</f>
        <v>25.118864315095799</v>
      </c>
    </row>
    <row r="106" spans="1:19">
      <c r="A106" s="131">
        <v>3.7</v>
      </c>
      <c r="B106" s="124">
        <f>10^A106</f>
        <v>5011.8723362727324</v>
      </c>
      <c r="C106" s="124">
        <f t="shared" si="10"/>
        <v>31490.522624728659</v>
      </c>
      <c r="D106" s="124" t="str">
        <f>IMDIV(((CTRmin/100)*0.1),COMPLEX(1,'LOOKUP TABLES AND DROPDOWN LIST'!C106*((Copto*nF)+(Cext*uF))*((R_fb4*kOhms*Requ*kOhms)/((R_fb4*kOhms)+(Requ*kOhms)))))</f>
        <v>0.009001986195169-0.019211026893439i</v>
      </c>
      <c r="E106" s="124">
        <f t="shared" si="11"/>
        <v>-33.466916530653563</v>
      </c>
      <c r="F106" s="124">
        <f t="shared" si="3"/>
        <v>-64.892947766000745</v>
      </c>
      <c r="G106" s="124" t="str">
        <f>IMDIV((Vout_cv/(2*Iocc)),COMPLEX(1,'LOOKUP TABLES AND DROPDOWN LIST'!C106*(Cout*uF)*(Vout_cv/(2*Iocc))))</f>
        <v>0.000937921972142834-0.0387035953204762i</v>
      </c>
      <c r="H106" s="124">
        <f>20*LOG(IMABS(G106))</f>
        <v>-28.242424106242687</v>
      </c>
      <c r="I106" s="124">
        <f t="shared" si="0"/>
        <v>-88.611796806348607</v>
      </c>
      <c r="J106" s="124" t="str">
        <f>IMPRODUCT((1/(R_tl*kOhms)),G_fb1,(G_fb2*kOhms),(K_fm4*kHz),(G_p4*uC),'LOOKUP TABLES AND DROPDOWN LIST'!D106,'LOOKUP TABLES AND DROPDOWN LIST'!G106)</f>
        <v>0.185115898726053+0.0922762435238004i</v>
      </c>
      <c r="K106" s="124">
        <f t="shared" si="5"/>
        <v>-13.687307846599763</v>
      </c>
      <c r="L106" s="124">
        <f t="shared" si="6"/>
        <v>26.495255427650655</v>
      </c>
      <c r="R106" s="124">
        <f>MROUND(L82,5)</f>
        <v>170</v>
      </c>
      <c r="S106" s="124">
        <f>B82</f>
        <v>19.952623149688804</v>
      </c>
    </row>
    <row r="107" spans="1:19">
      <c r="A107" s="131">
        <v>3.8</v>
      </c>
      <c r="B107" s="124">
        <f t="shared" si="1"/>
        <v>6309.5734448019384</v>
      </c>
      <c r="C107" s="124">
        <f t="shared" si="10"/>
        <v>39644.21916295003</v>
      </c>
      <c r="D107" s="124" t="str">
        <f>IMDIV(((CTRmin/100)*0.1),COMPLEX(1,'LOOKUP TABLES AND DROPDOWN LIST'!C107*((Copto*nF)+(Cext*uF))*((R_fb4*kOhms*Requ*kOhms)/((R_fb4*kOhms)+(Requ*kOhms)))))</f>
        <v>0.00608411192450283-0.0163459223757873i</v>
      </c>
      <c r="E107" s="124">
        <f t="shared" si="11"/>
        <v>-35.168328008440227</v>
      </c>
      <c r="F107" s="124">
        <f t="shared" si="3"/>
        <v>-69.584242047263544</v>
      </c>
      <c r="G107" s="124" t="str">
        <f>IMDIV((Vout_cv/(2*Iocc)),COMPLEX(1,'LOOKUP TABLES AND DROPDOWN LIST'!C107*(Cout*uF)*(Vout_cv/(2*Iocc))))</f>
        <v>0.000591916964299801-0.0307500189096304i</v>
      </c>
      <c r="H107" s="124">
        <f t="shared" si="4"/>
        <v>-30.241483335622455</v>
      </c>
      <c r="I107" s="124">
        <f t="shared" si="0"/>
        <v>-88.897231378132034</v>
      </c>
      <c r="J107" s="124" t="str">
        <f>IMPRODUCT((1/(R_tl*kOhms)),G_fb1,(G_fb2*kOhms),(K_fm4*kHz),(G_p4*uC),'LOOKUP TABLES AND DROPDOWN LIST'!D107,'LOOKUP TABLES AND DROPDOWN LIST'!G107)</f>
        <v>0.125670583541602+0.0495499060974427i</v>
      </c>
      <c r="K107" s="124">
        <f t="shared" si="5"/>
        <v>-17.3877785537662</v>
      </c>
      <c r="L107" s="124">
        <f t="shared" si="6"/>
        <v>21.518526574604451</v>
      </c>
      <c r="R107" s="124">
        <f>MROUND(L81,5)</f>
        <v>170</v>
      </c>
      <c r="S107" s="124">
        <f>B81</f>
        <v>15.848931924611136</v>
      </c>
    </row>
    <row r="108" spans="1:19">
      <c r="A108" s="131">
        <v>3.9</v>
      </c>
      <c r="B108" s="124">
        <f t="shared" si="1"/>
        <v>7943.2823472428154</v>
      </c>
      <c r="C108" s="124">
        <f t="shared" si="10"/>
        <v>49909.114934975034</v>
      </c>
      <c r="D108" s="124" t="str">
        <f>IMDIV(((CTRmin/100)*0.1),COMPLEX(1,'LOOKUP TABLES AND DROPDOWN LIST'!C108*((Copto*nF)+(Cext*uF))*((R_fb4*kOhms*Requ*kOhms)/((R_fb4*kOhms)+(Requ*kOhms)))))</f>
        <v>0.00401930579384336-0.0135945014850764i</v>
      </c>
      <c r="E108" s="124">
        <f t="shared" si="11"/>
        <v>-36.968789465441866</v>
      </c>
      <c r="F108" s="124">
        <f t="shared" si="3"/>
        <v>-73.529331737155644</v>
      </c>
      <c r="G108" s="124" t="str">
        <f>IMDIV((Vout_cv/(2*Iocc)),COMPLEX(1,'LOOKUP TABLES AND DROPDOWN LIST'!C108*(Cout*uF)*(Vout_cv/(2*Iocc))))</f>
        <v>0.000373525414280248-0.0244289475058777i</v>
      </c>
      <c r="H108" s="124">
        <f t="shared" si="4"/>
        <v>-32.240889644616438</v>
      </c>
      <c r="I108" s="124">
        <f t="shared" si="0"/>
        <v>-89.123999829473533</v>
      </c>
      <c r="J108" s="124" t="str">
        <f>IMPRODUCT((1/(R_tl*kOhms)),G_fb1,(G_fb2*kOhms),(K_fm4*kHz),(G_p4*uC),'LOOKUP TABLES AND DROPDOWN LIST'!D108,'LOOKUP TABLES AND DROPDOWN LIST'!G108)</f>
        <v>0.0832533901701114+0.0260049521614659i</v>
      </c>
      <c r="K108" s="124">
        <f t="shared" si="5"/>
        <v>-21.187646319761818</v>
      </c>
      <c r="L108" s="124">
        <f t="shared" si="6"/>
        <v>17.346668433370873</v>
      </c>
      <c r="R108" s="124">
        <f>MROUND(L80,5)</f>
        <v>175</v>
      </c>
      <c r="S108" s="124">
        <f>B80</f>
        <v>12.58925411794168</v>
      </c>
    </row>
    <row r="109" spans="1:19">
      <c r="A109" s="131">
        <v>4</v>
      </c>
      <c r="B109" s="124">
        <f t="shared" si="1"/>
        <v>10000</v>
      </c>
      <c r="C109" s="124">
        <f t="shared" si="10"/>
        <v>62831.853071795864</v>
      </c>
      <c r="D109" s="124" t="str">
        <f>IMDIV(((CTRmin/100)*0.1),COMPLEX(1,'LOOKUP TABLES AND DROPDOWN LIST'!C109*((Copto*nF)+(Cext*uF))*((R_fb4*kOhms*Requ*kOhms)/((R_fb4*kOhms)+(Requ*kOhms)))))</f>
        <v>0.00261354364971444-0.0111286374762034i</v>
      </c>
      <c r="E109" s="124">
        <f t="shared" si="11"/>
        <v>-38.838002378643004</v>
      </c>
      <c r="F109" s="124">
        <f t="shared" si="3"/>
        <v>-76.783675936209377</v>
      </c>
      <c r="G109" s="124" t="str">
        <f>IMDIV((Vout_cv/(2*Iocc)),COMPLEX(1,'LOOKUP TABLES AND DROPDOWN LIST'!C109*(Cout*uF)*(Vout_cv/(2*Iocc))))</f>
        <v>0.000235698934711215-0.0194062767200293i</v>
      </c>
      <c r="H109" s="124">
        <f t="shared" si="4"/>
        <v>-34.240515009152617</v>
      </c>
      <c r="I109" s="124">
        <f t="shared" si="0"/>
        <v>-89.304148321954742</v>
      </c>
      <c r="J109" s="124" t="str">
        <f>IMPRODUCT((1/(R_tl*kOhms)),G_fb1,(G_fb2*kOhms),(K_fm4*kHz),(G_p4*uC),'LOOKUP TABLES AND DROPDOWN LIST'!D109,'LOOKUP TABLES AND DROPDOWN LIST'!G109)</f>
        <v>0.0542307141519008+0.0134329757709164i</v>
      </c>
      <c r="K109" s="124">
        <f t="shared" si="5"/>
        <v>-25.056484597499136</v>
      </c>
      <c r="L109" s="124">
        <f t="shared" si="6"/>
        <v>13.912175741835908</v>
      </c>
      <c r="R109" s="124">
        <f>MROUND(L79,5)</f>
        <v>175</v>
      </c>
      <c r="S109" s="124">
        <f>B79</f>
        <v>10</v>
      </c>
    </row>
    <row r="110" spans="1:19">
      <c r="A110" s="131"/>
    </row>
    <row r="111" spans="1:19">
      <c r="A111" s="131"/>
    </row>
    <row r="112" spans="1:19">
      <c r="A112" s="131"/>
    </row>
    <row r="113" spans="1:1">
      <c r="A113" s="131"/>
    </row>
    <row r="114" spans="1:1">
      <c r="A114" s="131"/>
    </row>
    <row r="115" spans="1:1">
      <c r="A115" s="131"/>
    </row>
    <row r="116" spans="1:1">
      <c r="A116" s="131"/>
    </row>
    <row r="117" spans="1:1">
      <c r="A117" s="131"/>
    </row>
    <row r="118" spans="1:1">
      <c r="A118" s="131"/>
    </row>
    <row r="119" spans="1:1">
      <c r="A119" s="131"/>
    </row>
    <row r="120" spans="1:1">
      <c r="A120" s="131"/>
    </row>
    <row r="121" spans="1:1">
      <c r="A121" s="131"/>
    </row>
    <row r="122" spans="1:1">
      <c r="A122" s="131"/>
    </row>
    <row r="123" spans="1:1">
      <c r="A123" s="131"/>
    </row>
    <row r="124" spans="1:1">
      <c r="A124" s="131"/>
    </row>
    <row r="125" spans="1:1">
      <c r="A125" s="131"/>
    </row>
    <row r="126" spans="1:1">
      <c r="A126" s="131"/>
    </row>
    <row r="127" spans="1:1">
      <c r="A127" s="131"/>
    </row>
    <row r="128" spans="1:1">
      <c r="A128" s="131"/>
    </row>
    <row r="129" spans="1:1">
      <c r="A129" s="131"/>
    </row>
  </sheetData>
  <sheetProtection password="EFDD" sheet="1" objects="1" scenarios="1"/>
  <mergeCells count="13">
    <mergeCell ref="A1:A2"/>
    <mergeCell ref="A22:C22"/>
    <mergeCell ref="E23:G23"/>
    <mergeCell ref="E22:G22"/>
    <mergeCell ref="S21:T21"/>
    <mergeCell ref="P21:Q21"/>
    <mergeCell ref="V21:Y21"/>
    <mergeCell ref="A77:A78"/>
    <mergeCell ref="D76:F76"/>
    <mergeCell ref="E36:G36"/>
    <mergeCell ref="I27:K27"/>
    <mergeCell ref="I28:K28"/>
    <mergeCell ref="I34:K34"/>
  </mergeCells>
  <phoneticPr fontId="39"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52"/>
  <sheetViews>
    <sheetView workbookViewId="0">
      <selection activeCell="C13" sqref="C13"/>
    </sheetView>
  </sheetViews>
  <sheetFormatPr defaultRowHeight="14.3"/>
  <sheetData>
    <row r="1" spans="1:5" ht="27.2">
      <c r="A1" s="436" t="s">
        <v>9</v>
      </c>
      <c r="B1" s="436"/>
      <c r="C1" s="436"/>
      <c r="D1" s="436"/>
      <c r="E1" s="436"/>
    </row>
    <row r="2" spans="1:5" ht="19.05" thickBot="1">
      <c r="A2" s="437" t="s">
        <v>57</v>
      </c>
      <c r="B2" s="437"/>
      <c r="C2" s="437"/>
      <c r="D2" s="437"/>
      <c r="E2" s="437"/>
    </row>
    <row r="3" spans="1:5" ht="18.350000000000001">
      <c r="A3" s="433" t="s">
        <v>26</v>
      </c>
      <c r="B3" s="434"/>
      <c r="C3" s="434"/>
      <c r="D3" s="434"/>
      <c r="E3" s="435"/>
    </row>
    <row r="4" spans="1:5">
      <c r="A4" s="63" t="s">
        <v>111</v>
      </c>
      <c r="B4" s="261" t="s">
        <v>110</v>
      </c>
      <c r="C4" s="439" t="str">
        <f>Vin_type</f>
        <v>DC</v>
      </c>
      <c r="D4" s="439"/>
      <c r="E4" s="438" t="s">
        <v>97</v>
      </c>
    </row>
    <row r="5" spans="1:5" ht="17.7">
      <c r="A5" s="63" t="s">
        <v>117</v>
      </c>
      <c r="B5" s="261" t="s">
        <v>393</v>
      </c>
      <c r="C5" s="64">
        <f>'START HERE'!C17</f>
        <v>22</v>
      </c>
      <c r="D5" s="64" t="str">
        <f>IF(Vin_type="AC","VAC","VDC")</f>
        <v>VDC</v>
      </c>
      <c r="E5" s="438"/>
    </row>
    <row r="6" spans="1:5" ht="17.7">
      <c r="A6" s="63" t="s">
        <v>116</v>
      </c>
      <c r="B6" s="261" t="s">
        <v>394</v>
      </c>
      <c r="C6" s="64">
        <f>'START HERE'!C18</f>
        <v>50</v>
      </c>
      <c r="D6" s="64" t="str">
        <f>IF(Vin_type="AC","VAC","VDC")</f>
        <v>VDC</v>
      </c>
      <c r="E6" s="438"/>
    </row>
    <row r="7" spans="1:5" ht="17.7">
      <c r="A7" s="63" t="s">
        <v>119</v>
      </c>
      <c r="B7" s="261" t="s">
        <v>395</v>
      </c>
      <c r="C7" s="64">
        <f>'START HERE'!C19</f>
        <v>36</v>
      </c>
      <c r="D7" s="64" t="str">
        <f>IF(Vin_type="AC","VAC","VDC")</f>
        <v>VDC</v>
      </c>
      <c r="E7" s="438"/>
    </row>
    <row r="8" spans="1:5" ht="17.7">
      <c r="A8" s="63" t="s">
        <v>120</v>
      </c>
      <c r="B8" s="261" t="s">
        <v>396</v>
      </c>
      <c r="C8" s="64">
        <f>'START HERE'!C20</f>
        <v>0</v>
      </c>
      <c r="D8" s="64" t="s">
        <v>53</v>
      </c>
      <c r="E8" s="438"/>
    </row>
    <row r="9" spans="1:5" ht="17.7">
      <c r="A9" s="63" t="s">
        <v>121</v>
      </c>
      <c r="B9" s="261" t="s">
        <v>397</v>
      </c>
      <c r="C9" s="64">
        <f>'START HERE'!C21</f>
        <v>20</v>
      </c>
      <c r="D9" s="64" t="str">
        <f>IF(Vin_type="AC","VAC","VDC")</f>
        <v>VDC</v>
      </c>
      <c r="E9" s="438"/>
    </row>
    <row r="10" spans="1:5" ht="17.7">
      <c r="A10" s="22" t="s">
        <v>122</v>
      </c>
      <c r="B10" s="27" t="s">
        <v>123</v>
      </c>
      <c r="C10" s="23">
        <f>IF(Vin_type="AC",Vinput_min*SQRT(2),Vinput_min)</f>
        <v>22</v>
      </c>
      <c r="D10" s="425" t="s">
        <v>10</v>
      </c>
      <c r="E10" s="426"/>
    </row>
    <row r="11" spans="1:5" ht="17.7">
      <c r="A11" s="4" t="s">
        <v>124</v>
      </c>
      <c r="B11" s="28" t="s">
        <v>125</v>
      </c>
      <c r="C11" s="21">
        <f>IF(Vin_type="AC",Vinput_max*SQRT(2),Vinput_max)</f>
        <v>50</v>
      </c>
      <c r="D11" s="263" t="s">
        <v>10</v>
      </c>
      <c r="E11" s="298"/>
    </row>
    <row r="12" spans="1:5" ht="17.7">
      <c r="A12" s="4" t="s">
        <v>126</v>
      </c>
      <c r="B12" s="28" t="s">
        <v>127</v>
      </c>
      <c r="C12" s="21">
        <f>IF(Vin_type="AC",Vinput_nom*SQRT(2),Vinput_nom)</f>
        <v>36</v>
      </c>
      <c r="D12" s="263" t="s">
        <v>10</v>
      </c>
      <c r="E12" s="298"/>
    </row>
    <row r="13" spans="1:5" ht="17.7">
      <c r="A13" s="4" t="s">
        <v>129</v>
      </c>
      <c r="B13" s="28" t="s">
        <v>128</v>
      </c>
      <c r="C13" s="21">
        <f>IF(Vin_type="AC",Vinput_run*SQRT(2),Vinput_run)</f>
        <v>20</v>
      </c>
      <c r="D13" s="263" t="s">
        <v>10</v>
      </c>
      <c r="E13" s="298"/>
    </row>
    <row r="14" spans="1:5" ht="18.350000000000001" thickBot="1">
      <c r="A14" s="5" t="s">
        <v>131</v>
      </c>
      <c r="B14" s="29" t="s">
        <v>130</v>
      </c>
      <c r="C14" s="202" t="str">
        <f>IF(Input_Voltage_type="AC",(1/fline_min)/ms,"n/a")</f>
        <v>n/a</v>
      </c>
      <c r="D14" s="310" t="s">
        <v>24</v>
      </c>
      <c r="E14" s="311"/>
    </row>
    <row r="15" spans="1:5" ht="18.350000000000001">
      <c r="A15" s="433" t="s">
        <v>27</v>
      </c>
      <c r="B15" s="434"/>
      <c r="C15" s="434"/>
      <c r="D15" s="434"/>
      <c r="E15" s="435"/>
    </row>
    <row r="16" spans="1:5" ht="17.7">
      <c r="A16" s="63" t="s">
        <v>132</v>
      </c>
      <c r="B16" s="261" t="s">
        <v>398</v>
      </c>
      <c r="C16" s="64">
        <f>'START HERE'!C24</f>
        <v>15</v>
      </c>
      <c r="D16" s="64" t="s">
        <v>10</v>
      </c>
      <c r="E16" s="452" t="s">
        <v>97</v>
      </c>
    </row>
    <row r="17" spans="1:5" ht="17.7">
      <c r="A17" s="63" t="s">
        <v>723</v>
      </c>
      <c r="B17" s="261" t="s">
        <v>722</v>
      </c>
      <c r="C17" s="64">
        <f>'START HERE'!C25</f>
        <v>4</v>
      </c>
      <c r="D17" s="64" t="s">
        <v>12</v>
      </c>
      <c r="E17" s="453"/>
    </row>
    <row r="18" spans="1:5" ht="17.7">
      <c r="A18" s="63" t="s">
        <v>724</v>
      </c>
      <c r="B18" s="261" t="s">
        <v>399</v>
      </c>
      <c r="C18" s="64">
        <f>'START HERE'!C26</f>
        <v>4.2</v>
      </c>
      <c r="D18" s="64" t="s">
        <v>12</v>
      </c>
      <c r="E18" s="453"/>
    </row>
    <row r="19" spans="1:5">
      <c r="A19" s="417" t="s">
        <v>133</v>
      </c>
      <c r="B19" s="442" t="s">
        <v>400</v>
      </c>
      <c r="C19" s="440">
        <f>'START HERE'!C27</f>
        <v>14</v>
      </c>
      <c r="D19" s="441" t="s">
        <v>10</v>
      </c>
      <c r="E19" s="453"/>
    </row>
    <row r="20" spans="1:5">
      <c r="A20" s="417"/>
      <c r="B20" s="443"/>
      <c r="C20" s="440"/>
      <c r="D20" s="441"/>
      <c r="E20" s="453"/>
    </row>
    <row r="21" spans="1:5">
      <c r="A21" s="417" t="s">
        <v>139</v>
      </c>
      <c r="B21" s="442" t="s">
        <v>401</v>
      </c>
      <c r="C21" s="440">
        <f>'START HERE'!C28</f>
        <v>0.05</v>
      </c>
      <c r="D21" s="441" t="s">
        <v>10</v>
      </c>
      <c r="E21" s="453"/>
    </row>
    <row r="22" spans="1:5">
      <c r="A22" s="417"/>
      <c r="B22" s="443"/>
      <c r="C22" s="440"/>
      <c r="D22" s="441"/>
      <c r="E22" s="453"/>
    </row>
    <row r="23" spans="1:5" ht="17.7">
      <c r="A23" s="63" t="s">
        <v>138</v>
      </c>
      <c r="B23" s="261" t="s">
        <v>402</v>
      </c>
      <c r="C23" s="64">
        <f>'START HERE'!C29</f>
        <v>400</v>
      </c>
      <c r="D23" s="64" t="s">
        <v>14</v>
      </c>
      <c r="E23" s="453"/>
    </row>
    <row r="24" spans="1:5" ht="17.7">
      <c r="A24" s="64" t="s">
        <v>315</v>
      </c>
      <c r="B24" s="261" t="s">
        <v>403</v>
      </c>
      <c r="C24" s="64">
        <f>'START HERE'!C32</f>
        <v>4</v>
      </c>
      <c r="D24" s="64" t="s">
        <v>12</v>
      </c>
      <c r="E24" s="453"/>
    </row>
    <row r="25" spans="1:5">
      <c r="A25" s="444" t="s">
        <v>317</v>
      </c>
      <c r="B25" s="446" t="s">
        <v>404</v>
      </c>
      <c r="C25" s="448">
        <f>'START HERE'!C33</f>
        <v>20</v>
      </c>
      <c r="D25" s="450" t="s">
        <v>24</v>
      </c>
      <c r="E25" s="453"/>
    </row>
    <row r="26" spans="1:5">
      <c r="A26" s="445"/>
      <c r="B26" s="447"/>
      <c r="C26" s="449"/>
      <c r="D26" s="451"/>
      <c r="E26" s="453"/>
    </row>
    <row r="27" spans="1:5" ht="67.95">
      <c r="A27" s="258" t="s">
        <v>378</v>
      </c>
      <c r="B27" s="65" t="s">
        <v>405</v>
      </c>
      <c r="C27" s="259">
        <f>'START HERE'!C31</f>
        <v>25</v>
      </c>
      <c r="D27" s="260" t="s">
        <v>10</v>
      </c>
      <c r="E27" s="453"/>
    </row>
    <row r="28" spans="1:5" ht="81.55">
      <c r="A28" s="258" t="s">
        <v>446</v>
      </c>
      <c r="B28" s="65" t="s">
        <v>447</v>
      </c>
      <c r="C28" s="259">
        <f>'START HERE'!C34</f>
        <v>20</v>
      </c>
      <c r="D28" s="260" t="s">
        <v>113</v>
      </c>
      <c r="E28" s="454"/>
    </row>
    <row r="29" spans="1:5">
      <c r="A29" s="22" t="s">
        <v>137</v>
      </c>
      <c r="B29" s="27" t="s">
        <v>134</v>
      </c>
      <c r="C29" s="23">
        <f>IF(Vout_cv&lt;12,0.8,0.85)</f>
        <v>0.85</v>
      </c>
      <c r="D29" s="425"/>
      <c r="E29" s="426"/>
    </row>
    <row r="30" spans="1:5" ht="17.7">
      <c r="A30" s="4" t="s">
        <v>136</v>
      </c>
      <c r="B30" s="28" t="s">
        <v>140</v>
      </c>
      <c r="C30" s="21">
        <f>(Vout_cv)*Iocc_target</f>
        <v>63</v>
      </c>
      <c r="D30" s="263" t="s">
        <v>13</v>
      </c>
      <c r="E30" s="298"/>
    </row>
    <row r="31" spans="1:5" ht="18.350000000000001" thickBot="1">
      <c r="A31" s="5" t="s">
        <v>135</v>
      </c>
      <c r="B31" s="29" t="s">
        <v>141</v>
      </c>
      <c r="C31" s="26">
        <f>Pout/efficiency</f>
        <v>74.117647058823536</v>
      </c>
      <c r="D31" s="310" t="s">
        <v>13</v>
      </c>
      <c r="E31" s="311"/>
    </row>
    <row r="32" spans="1:5">
      <c r="A32" s="408"/>
      <c r="B32" s="408"/>
      <c r="C32" s="408"/>
      <c r="D32" s="408"/>
      <c r="E32" s="408"/>
    </row>
    <row r="33" spans="1:5" ht="18.350000000000001">
      <c r="A33" s="455" t="s">
        <v>115</v>
      </c>
      <c r="B33" s="455"/>
      <c r="C33" s="455"/>
      <c r="D33" s="455"/>
      <c r="E33" s="455"/>
    </row>
    <row r="34" spans="1:5" ht="14.95" thickBot="1">
      <c r="A34" s="427"/>
      <c r="B34" s="427"/>
      <c r="C34" s="427"/>
      <c r="D34" s="427"/>
      <c r="E34" s="427"/>
    </row>
    <row r="35" spans="1:5" ht="16.3">
      <c r="A35" s="412" t="s">
        <v>88</v>
      </c>
      <c r="B35" s="424"/>
      <c r="C35" s="413"/>
      <c r="D35" s="413"/>
      <c r="E35" s="414"/>
    </row>
    <row r="36" spans="1:5" ht="17.7">
      <c r="A36" s="34" t="s">
        <v>142</v>
      </c>
      <c r="B36" s="39" t="s">
        <v>143</v>
      </c>
      <c r="C36" s="40">
        <f>IF(Input_Voltage_type="AC",(((2*Pin)*(0.25+(((1/(2*PI()))*ASIN(Vbulkvalley_desired/Vbulk_min)))))/(((Vbulk_min^2)-(Vbulkvalley_desired^2))*fline_min))*10^6,0.5*Pout)</f>
        <v>31.5</v>
      </c>
      <c r="D36" s="308" t="s">
        <v>23</v>
      </c>
      <c r="E36" s="309"/>
    </row>
    <row r="37" spans="1:5" ht="28.55">
      <c r="A37" s="25" t="s">
        <v>144</v>
      </c>
      <c r="B37" s="41" t="s">
        <v>145</v>
      </c>
      <c r="C37" s="33">
        <f>IF('START HERE'!C41="","",'START HERE'!C41)</f>
        <v>36</v>
      </c>
      <c r="D37" s="87" t="s">
        <v>23</v>
      </c>
      <c r="E37" s="42" t="s">
        <v>98</v>
      </c>
    </row>
    <row r="38" spans="1:5" ht="17.7">
      <c r="A38" s="22" t="s">
        <v>146</v>
      </c>
      <c r="B38" s="27" t="s">
        <v>147</v>
      </c>
      <c r="C38" s="23">
        <f>IF(Cbulk_actual="",Cbulk_rcmd,Cbulk_actual)</f>
        <v>36</v>
      </c>
      <c r="D38" s="425" t="s">
        <v>23</v>
      </c>
      <c r="E38" s="426"/>
    </row>
    <row r="39" spans="1:5" ht="17.7">
      <c r="A39" s="4" t="s">
        <v>148</v>
      </c>
      <c r="B39" s="28" t="s">
        <v>149</v>
      </c>
      <c r="C39" s="21">
        <f>IF(C4="AC",Vbulkvalley,Vinput_run)</f>
        <v>20</v>
      </c>
      <c r="D39" s="263" t="s">
        <v>10</v>
      </c>
      <c r="E39" s="298"/>
    </row>
    <row r="40" spans="1:5" ht="17.7">
      <c r="A40" s="4" t="s">
        <v>150</v>
      </c>
      <c r="B40" s="28" t="s">
        <v>151</v>
      </c>
      <c r="C40" s="21">
        <f>IF(Input_Voltage_type="AC",(((Cbulk*uF)*(Vbulk_min-Vbulk_valley)/tcharge_3)/SQRT(3))/mA,(2*Pin)/(Vinput_run))</f>
        <v>7.4117647058823533</v>
      </c>
      <c r="D40" s="263" t="s">
        <v>36</v>
      </c>
      <c r="E40" s="298"/>
    </row>
    <row r="41" spans="1:5" ht="18.350000000000001" thickBot="1">
      <c r="A41" s="5" t="s">
        <v>152</v>
      </c>
      <c r="B41" s="29" t="s">
        <v>153</v>
      </c>
      <c r="C41" s="14">
        <f>MROUND(Vbulk_max,100)</f>
        <v>100</v>
      </c>
      <c r="D41" s="310" t="s">
        <v>10</v>
      </c>
      <c r="E41" s="311"/>
    </row>
    <row r="42" spans="1:5" ht="14.95" thickBot="1">
      <c r="A42" s="431"/>
      <c r="B42" s="431"/>
      <c r="C42" s="431"/>
      <c r="D42" s="431"/>
      <c r="E42" s="431"/>
    </row>
    <row r="43" spans="1:5" ht="15.65">
      <c r="A43" s="412" t="s">
        <v>219</v>
      </c>
      <c r="B43" s="424"/>
      <c r="C43" s="413"/>
      <c r="D43" s="413"/>
      <c r="E43" s="414"/>
    </row>
    <row r="44" spans="1:5" ht="17.7">
      <c r="A44" s="43" t="s">
        <v>250</v>
      </c>
      <c r="B44" s="44" t="s">
        <v>299</v>
      </c>
      <c r="C44" s="45">
        <f>Vinput_max</f>
        <v>50</v>
      </c>
      <c r="D44" s="275" t="str">
        <f>IF(Vin_type="AC","VAC","VDC")</f>
        <v>VDC</v>
      </c>
      <c r="E44" s="364"/>
    </row>
    <row r="45" spans="1:5" ht="18.350000000000001" thickBot="1">
      <c r="A45" s="5" t="s">
        <v>220</v>
      </c>
      <c r="B45" s="24" t="s">
        <v>221</v>
      </c>
      <c r="C45" s="26">
        <f>IF(Input_Voltage_type="AC",(2*Pin/Vbulk_valley)/SQRT(tcharge_3/(t_line*ms)),(2*Pin)/(Vinput_run*(1-Ddemag_cc)))</f>
        <v>12.890025575447572</v>
      </c>
      <c r="D45" s="293" t="s">
        <v>12</v>
      </c>
      <c r="E45" s="295"/>
    </row>
    <row r="46" spans="1:5" ht="14.95" thickBot="1">
      <c r="A46" s="15"/>
      <c r="B46" s="35"/>
      <c r="C46" s="36"/>
      <c r="D46" s="38"/>
      <c r="E46" s="38"/>
    </row>
    <row r="47" spans="1:5" ht="15.65">
      <c r="A47" s="412" t="s">
        <v>249</v>
      </c>
      <c r="B47" s="413"/>
      <c r="C47" s="413"/>
      <c r="D47" s="413"/>
      <c r="E47" s="414"/>
    </row>
    <row r="48" spans="1:5" ht="17.7">
      <c r="A48" s="4" t="s">
        <v>250</v>
      </c>
      <c r="B48" s="242" t="s">
        <v>251</v>
      </c>
      <c r="C48" s="244">
        <f>IF(Input_Voltage_type="AC",MROUND(Vbulk_max,100),Vinput_max)</f>
        <v>50</v>
      </c>
      <c r="D48" s="273" t="s">
        <v>10</v>
      </c>
      <c r="E48" s="266"/>
    </row>
    <row r="49" spans="1:5" ht="17.7">
      <c r="A49" s="4" t="s">
        <v>252</v>
      </c>
      <c r="B49" s="242" t="s">
        <v>253</v>
      </c>
      <c r="C49" s="244">
        <f>IF(Input_Voltage_type="AC",2*Pin/Vbulk_valley,2*Pin/Vinput_run)</f>
        <v>7.4117647058823533</v>
      </c>
      <c r="D49" s="273" t="s">
        <v>12</v>
      </c>
      <c r="E49" s="301"/>
    </row>
    <row r="50" spans="1:5" ht="28.55">
      <c r="A50" s="25" t="s">
        <v>255</v>
      </c>
      <c r="B50" s="247" t="s">
        <v>261</v>
      </c>
      <c r="C50" s="33">
        <f>IF('START HERE'!C73="",1,'START HERE'!C73)</f>
        <v>0</v>
      </c>
      <c r="D50" s="249" t="s">
        <v>10</v>
      </c>
      <c r="E50" s="42" t="s">
        <v>98</v>
      </c>
    </row>
    <row r="51" spans="1:5" ht="18.350000000000001" thickBot="1">
      <c r="A51" s="5" t="s">
        <v>262</v>
      </c>
      <c r="B51" s="24" t="s">
        <v>254</v>
      </c>
      <c r="C51" s="26">
        <f>2*Vf_bridge*Icin*mA/mW</f>
        <v>0</v>
      </c>
      <c r="D51" s="293" t="s">
        <v>113</v>
      </c>
      <c r="E51" s="432"/>
    </row>
    <row r="52" spans="1:5" ht="14.95" thickBot="1">
      <c r="A52" s="2"/>
      <c r="B52" s="2"/>
      <c r="C52" s="2"/>
      <c r="D52" s="2"/>
      <c r="E52" s="2"/>
    </row>
    <row r="53" spans="1:5" ht="18.350000000000001">
      <c r="A53" s="428" t="s">
        <v>741</v>
      </c>
      <c r="B53" s="429"/>
      <c r="C53" s="429"/>
      <c r="D53" s="429"/>
      <c r="E53" s="430"/>
    </row>
    <row r="54" spans="1:5" ht="17.7">
      <c r="A54" s="4" t="s">
        <v>156</v>
      </c>
      <c r="B54" s="242" t="s">
        <v>157</v>
      </c>
      <c r="C54" s="262">
        <v>0.42499999999999999</v>
      </c>
      <c r="D54" s="270" t="s">
        <v>373</v>
      </c>
      <c r="E54" s="409"/>
    </row>
    <row r="55" spans="1:5" ht="17.7">
      <c r="A55" s="4" t="s">
        <v>158</v>
      </c>
      <c r="B55" s="242" t="s">
        <v>159</v>
      </c>
      <c r="C55" s="262">
        <v>4</v>
      </c>
      <c r="D55" s="270" t="s">
        <v>373</v>
      </c>
      <c r="E55" s="409"/>
    </row>
    <row r="56" spans="1:5" ht="28.55">
      <c r="A56" s="16" t="s">
        <v>160</v>
      </c>
      <c r="B56" s="30" t="s">
        <v>161</v>
      </c>
      <c r="C56" s="17">
        <f>'START HERE'!C30</f>
        <v>45</v>
      </c>
      <c r="D56" s="87" t="s">
        <v>15</v>
      </c>
      <c r="E56" s="61" t="s">
        <v>98</v>
      </c>
    </row>
    <row r="57" spans="1:5" ht="17.7">
      <c r="A57" s="4" t="s">
        <v>162</v>
      </c>
      <c r="B57" s="242" t="s">
        <v>163</v>
      </c>
      <c r="C57" s="20">
        <f>(1/(fmax_target*kHz))/us</f>
        <v>22.222222222222225</v>
      </c>
      <c r="D57" s="273" t="s">
        <v>37</v>
      </c>
      <c r="E57" s="266"/>
    </row>
    <row r="58" spans="1:5" ht="17.7">
      <c r="A58" s="4" t="s">
        <v>164</v>
      </c>
      <c r="B58" s="242" t="s">
        <v>165</v>
      </c>
      <c r="C58" s="21">
        <v>0.5</v>
      </c>
      <c r="D58" s="183" t="s">
        <v>263</v>
      </c>
      <c r="E58" s="229"/>
    </row>
    <row r="59" spans="1:5" ht="17.7">
      <c r="A59" s="4" t="s">
        <v>166</v>
      </c>
      <c r="B59" s="242" t="s">
        <v>167</v>
      </c>
      <c r="C59" s="21">
        <f>1/(2*fres*MHz)/us</f>
        <v>1</v>
      </c>
      <c r="D59" s="273" t="s">
        <v>37</v>
      </c>
      <c r="E59" s="266"/>
    </row>
    <row r="60" spans="1:5" ht="17.7">
      <c r="A60" s="4" t="s">
        <v>168</v>
      </c>
      <c r="B60" s="242" t="s">
        <v>169</v>
      </c>
      <c r="C60" s="21">
        <f>(1-((tres*us)*(fmax_target*kHz))-Ddemag_cc)</f>
        <v>0.53</v>
      </c>
      <c r="D60" s="273"/>
      <c r="E60" s="266"/>
    </row>
    <row r="61" spans="1:5" ht="82.2">
      <c r="A61" s="7" t="s">
        <v>706</v>
      </c>
      <c r="B61" s="31" t="s">
        <v>707</v>
      </c>
      <c r="C61" s="186">
        <f>(Dmax_target*Vbulk_valley)/(Ddemag_cc*(Vout_cv+Vf+(DCR_Lout*mOhms*Iocc_target)))</f>
        <v>1.6091081593927896</v>
      </c>
      <c r="D61" s="464" t="s">
        <v>223</v>
      </c>
      <c r="E61" s="465"/>
    </row>
    <row r="62" spans="1:5" ht="28.55">
      <c r="A62" s="16" t="s">
        <v>170</v>
      </c>
      <c r="B62" s="30" t="s">
        <v>175</v>
      </c>
      <c r="C62" s="214">
        <f>IF('START HERE'!C49="","",'START HERE'!C49)</f>
        <v>1.6</v>
      </c>
      <c r="D62" s="87"/>
      <c r="E62" s="42" t="s">
        <v>98</v>
      </c>
    </row>
    <row r="63" spans="1:5" ht="108.7">
      <c r="A63" s="7" t="s">
        <v>154</v>
      </c>
      <c r="B63" s="31" t="s">
        <v>155</v>
      </c>
      <c r="C63" s="21">
        <f>IF(Nps_actual="",Nps_ideal,Nps_actual)</f>
        <v>1.6</v>
      </c>
      <c r="D63" s="466"/>
      <c r="E63" s="467"/>
    </row>
    <row r="64" spans="1:5" ht="17.7">
      <c r="A64" s="4" t="s">
        <v>176</v>
      </c>
      <c r="B64" s="242" t="s">
        <v>177</v>
      </c>
      <c r="C64" s="21">
        <f>Nps*(Vout_cv+Vf+((DCR_Lout*mOhms*Iocc_target)))</f>
        <v>24.8</v>
      </c>
      <c r="D64" s="273" t="s">
        <v>10</v>
      </c>
      <c r="E64" s="266"/>
    </row>
    <row r="65" spans="1:5" ht="17.7">
      <c r="A65" s="4" t="s">
        <v>178</v>
      </c>
      <c r="B65" s="242" t="s">
        <v>179</v>
      </c>
      <c r="C65" s="21">
        <f>Vds-Vbulk_max-(Nps*(Vout_cv+Vf+((DCR_Lout*mOhms)*Iocc_target)))</f>
        <v>75.2</v>
      </c>
      <c r="D65" s="273" t="s">
        <v>10</v>
      </c>
      <c r="E65" s="266"/>
    </row>
    <row r="66" spans="1:5" ht="17.7">
      <c r="A66" s="4" t="s">
        <v>180</v>
      </c>
      <c r="B66" s="242" t="s">
        <v>181</v>
      </c>
      <c r="C66" s="21">
        <f>(((Vout_cv+Vf+(DCR_Lout*mOhms*Iocc_target))*Nps*((1/(fmax_target*kHz))-(tres*us)))/(Vbulk_valley+((Vout_cv+Vf+(DCR_Lout*mOhms*Iocc_target))*Nps)))/us</f>
        <v>11.748015873015873</v>
      </c>
      <c r="D66" s="273" t="s">
        <v>37</v>
      </c>
      <c r="E66" s="266"/>
    </row>
    <row r="67" spans="1:5" ht="18.350000000000001" thickBot="1">
      <c r="A67" s="5" t="s">
        <v>715</v>
      </c>
      <c r="B67" s="24" t="s">
        <v>182</v>
      </c>
      <c r="C67" s="14">
        <v>0.9</v>
      </c>
      <c r="D67" s="293"/>
      <c r="E67" s="295"/>
    </row>
    <row r="68" spans="1:5" ht="14.95" thickBot="1">
      <c r="A68" s="2"/>
      <c r="B68" s="2"/>
      <c r="C68" s="2"/>
      <c r="D68" s="2"/>
      <c r="E68" s="2"/>
    </row>
    <row r="69" spans="1:5" ht="18.350000000000001">
      <c r="A69" s="428" t="s">
        <v>740</v>
      </c>
      <c r="B69" s="429"/>
      <c r="C69" s="429"/>
      <c r="D69" s="429"/>
      <c r="E69" s="430"/>
    </row>
    <row r="70" spans="1:5" ht="17.7">
      <c r="A70" s="54" t="s">
        <v>231</v>
      </c>
      <c r="B70" s="255" t="s">
        <v>233</v>
      </c>
      <c r="C70" s="37">
        <v>318</v>
      </c>
      <c r="D70" s="211" t="s">
        <v>14</v>
      </c>
      <c r="E70" s="212" t="s">
        <v>373</v>
      </c>
    </row>
    <row r="71" spans="1:5" ht="17.7">
      <c r="A71" s="54" t="s">
        <v>232</v>
      </c>
      <c r="B71" s="255" t="s">
        <v>234</v>
      </c>
      <c r="C71" s="37">
        <v>330</v>
      </c>
      <c r="D71" s="60" t="s">
        <v>14</v>
      </c>
      <c r="E71" s="213" t="s">
        <v>373</v>
      </c>
    </row>
    <row r="72" spans="1:5" ht="17.7">
      <c r="A72" s="54" t="s">
        <v>231</v>
      </c>
      <c r="B72" s="255" t="s">
        <v>233</v>
      </c>
      <c r="C72" s="37">
        <v>343</v>
      </c>
      <c r="D72" s="60" t="s">
        <v>14</v>
      </c>
      <c r="E72" s="213" t="s">
        <v>373</v>
      </c>
    </row>
    <row r="73" spans="1:5" ht="17.7">
      <c r="A73" s="54" t="s">
        <v>734</v>
      </c>
      <c r="B73" s="255" t="s">
        <v>735</v>
      </c>
      <c r="C73" s="256">
        <f>2*(Vout_cv+Vf+(DCR_Lout*mOhms*Iocc_target))*Iocc_target/(eff_xfmr*((2*Iocc_target)/(Nps*Ddemag_cc))^2*fmax_target*kHz)/uH</f>
        <v>21.067607289829514</v>
      </c>
      <c r="D73" s="183" t="s">
        <v>50</v>
      </c>
      <c r="E73" s="213"/>
    </row>
    <row r="74" spans="1:5" ht="17.7">
      <c r="A74" s="4" t="s">
        <v>201</v>
      </c>
      <c r="B74" s="242" t="s">
        <v>202</v>
      </c>
      <c r="C74" s="21">
        <f>(Vccr_nom*mV)/(((2*Iocc_target)/(Nps*SQRT(eff_xfmr)))+(((Vbulk_valley*tdelay*ns)/(Lp_est*uH))*Ddemag_cc))</f>
        <v>5.9247086812940067E-2</v>
      </c>
      <c r="D74" s="273" t="s">
        <v>48</v>
      </c>
      <c r="E74" s="266"/>
    </row>
    <row r="75" spans="1:5" ht="28.55">
      <c r="A75" s="25" t="s">
        <v>203</v>
      </c>
      <c r="B75" s="247" t="s">
        <v>204</v>
      </c>
      <c r="C75" s="33">
        <f>IF('START HERE'!C52="","",'START HERE'!C52)</f>
        <v>5.6000000000000001E-2</v>
      </c>
      <c r="D75" s="87" t="s">
        <v>48</v>
      </c>
      <c r="E75" s="42" t="s">
        <v>98</v>
      </c>
    </row>
    <row r="76" spans="1:5" ht="17.7">
      <c r="A76" s="4" t="s">
        <v>205</v>
      </c>
      <c r="B76" s="242" t="s">
        <v>326</v>
      </c>
      <c r="C76" s="21">
        <f>IF(Rcs_actual="",Rcs_rcmd,Rcs_actual)</f>
        <v>5.6000000000000001E-2</v>
      </c>
      <c r="D76" s="273" t="s">
        <v>48</v>
      </c>
      <c r="E76" s="266"/>
    </row>
    <row r="77" spans="1:5" ht="17.7">
      <c r="A77" s="4" t="s">
        <v>206</v>
      </c>
      <c r="B77" s="242" t="s">
        <v>207</v>
      </c>
      <c r="C77" s="21">
        <f>(Ipri_RMS^2)*Rcs/mW</f>
        <v>1874.3915654761915</v>
      </c>
      <c r="D77" s="422" t="s">
        <v>113</v>
      </c>
      <c r="E77" s="423"/>
    </row>
    <row r="78" spans="1:5" ht="17.7">
      <c r="A78" s="4" t="s">
        <v>224</v>
      </c>
      <c r="B78" s="242" t="s">
        <v>225</v>
      </c>
      <c r="C78" s="262">
        <v>738</v>
      </c>
      <c r="D78" s="183" t="s">
        <v>14</v>
      </c>
      <c r="E78" s="184" t="s">
        <v>373</v>
      </c>
    </row>
    <row r="79" spans="1:5" ht="17.7">
      <c r="A79" s="4" t="s">
        <v>186</v>
      </c>
      <c r="B79" s="242" t="s">
        <v>187</v>
      </c>
      <c r="C79" s="262">
        <v>773</v>
      </c>
      <c r="D79" s="183" t="s">
        <v>14</v>
      </c>
      <c r="E79" s="184" t="s">
        <v>373</v>
      </c>
    </row>
    <row r="80" spans="1:5" ht="17.7">
      <c r="A80" s="4" t="s">
        <v>188</v>
      </c>
      <c r="B80" s="242" t="s">
        <v>189</v>
      </c>
      <c r="C80" s="262">
        <v>810</v>
      </c>
      <c r="D80" s="183" t="s">
        <v>14</v>
      </c>
      <c r="E80" s="184" t="s">
        <v>373</v>
      </c>
    </row>
    <row r="81" spans="1:5" ht="17.7">
      <c r="A81" s="4" t="s">
        <v>736</v>
      </c>
      <c r="B81" s="242" t="s">
        <v>737</v>
      </c>
      <c r="C81" s="21">
        <f>Vcstmax_min*mV/Rcs</f>
        <v>13.178571428571429</v>
      </c>
      <c r="D81" s="273" t="s">
        <v>12</v>
      </c>
      <c r="E81" s="266"/>
    </row>
    <row r="82" spans="1:5" ht="17">
      <c r="A82" s="77" t="s">
        <v>226</v>
      </c>
      <c r="B82" s="78" t="s">
        <v>498</v>
      </c>
      <c r="C82" s="79">
        <f>Vcstmax_nom*mV/Rcs</f>
        <v>13.803571428571429</v>
      </c>
      <c r="D82" s="406" t="s">
        <v>12</v>
      </c>
      <c r="E82" s="407"/>
    </row>
    <row r="83" spans="1:5" ht="17.7">
      <c r="A83" s="4" t="s">
        <v>738</v>
      </c>
      <c r="B83" s="242" t="s">
        <v>739</v>
      </c>
      <c r="C83" s="21">
        <f>Vcstmax_max*mV/Rcs</f>
        <v>14.464285714285715</v>
      </c>
      <c r="D83" s="273" t="s">
        <v>12</v>
      </c>
      <c r="E83" s="266"/>
    </row>
    <row r="84" spans="1:5" ht="17">
      <c r="A84" s="77" t="s">
        <v>286</v>
      </c>
      <c r="B84" s="78" t="s">
        <v>497</v>
      </c>
      <c r="C84" s="79">
        <f>Ipp_nom*Nps*Ddemag_cc/2</f>
        <v>4.6932142857142862</v>
      </c>
      <c r="D84" s="252" t="s">
        <v>12</v>
      </c>
      <c r="E84" s="253"/>
    </row>
    <row r="85" spans="1:5" ht="17.7">
      <c r="A85" s="4" t="s">
        <v>174</v>
      </c>
      <c r="B85" s="242" t="s">
        <v>183</v>
      </c>
      <c r="C85" s="21">
        <f>Ipp_nom/Kam_nom</f>
        <v>3.4508928571428572</v>
      </c>
      <c r="D85" s="273" t="s">
        <v>12</v>
      </c>
      <c r="E85" s="266"/>
    </row>
    <row r="86" spans="1:5">
      <c r="A86" s="475" t="s">
        <v>184</v>
      </c>
      <c r="B86" s="270" t="s">
        <v>185</v>
      </c>
      <c r="C86" s="456">
        <f>(Vcstmax_max*mV)/(0.99*Rcs)</f>
        <v>14.61038961038961</v>
      </c>
      <c r="D86" s="273" t="s">
        <v>12</v>
      </c>
      <c r="E86" s="357" t="s">
        <v>265</v>
      </c>
    </row>
    <row r="87" spans="1:5">
      <c r="A87" s="475"/>
      <c r="B87" s="270"/>
      <c r="C87" s="456"/>
      <c r="D87" s="273"/>
      <c r="E87" s="357"/>
    </row>
    <row r="88" spans="1:5" ht="18.350000000000001" thickBot="1">
      <c r="A88" s="5" t="s">
        <v>266</v>
      </c>
      <c r="B88" s="24" t="s">
        <v>267</v>
      </c>
      <c r="C88" s="26">
        <f>Ipp_wc*Nps*Ddemag_cc/2</f>
        <v>4.9675324675324681</v>
      </c>
      <c r="D88" s="6" t="s">
        <v>12</v>
      </c>
      <c r="E88" s="204" t="s">
        <v>716</v>
      </c>
    </row>
    <row r="89" spans="1:5" ht="14.95" thickBot="1">
      <c r="A89" s="112"/>
      <c r="B89" s="112"/>
      <c r="C89" s="112"/>
      <c r="D89" s="112"/>
      <c r="E89" s="112"/>
    </row>
    <row r="90" spans="1:5" ht="18.350000000000001">
      <c r="A90" s="428" t="s">
        <v>742</v>
      </c>
      <c r="B90" s="429"/>
      <c r="C90" s="429"/>
      <c r="D90" s="429"/>
      <c r="E90" s="430"/>
    </row>
    <row r="91" spans="1:5" ht="18.350000000000001">
      <c r="A91" s="230" t="s">
        <v>751</v>
      </c>
      <c r="B91" s="228" t="s">
        <v>744</v>
      </c>
      <c r="C91" s="21">
        <f>((2*(Vout_cv+Vf+(DCR_Lout*mOhms*Iocc))*Iocc/(eff_xfmr*Ipp_nom^2*fmax_target*kHz))/uH)</f>
        <v>18.853592704390469</v>
      </c>
      <c r="D91" s="273" t="s">
        <v>50</v>
      </c>
      <c r="E91" s="266"/>
    </row>
    <row r="92" spans="1:5" ht="17.7">
      <c r="A92" s="4" t="s">
        <v>753</v>
      </c>
      <c r="B92" s="242" t="s">
        <v>190</v>
      </c>
      <c r="C92" s="21">
        <f>IF(((((2*(Vout_cv+Vf+(DCR_Lout*mOhms*Iocc))*Iocc/(eff_xfmr*Ipp_nom^2*fmax_target*kHz))/uH)*uH*Ipp_nom)/(Vbulk_max*Kam_nom))/ns&lt;tonmin_limit,(tonmin_limit*1.01*Vbulk_max*Kam_nom/Ipp_nom*ns),(2*(Vout_cv+Vf+(DCR_Lout*mOhms*Iocc))*Iocc/(eff_xfmr*Ipp_nom^2*fmax_target*kHz)))/uH</f>
        <v>18.853592704390469</v>
      </c>
      <c r="D92" s="183" t="s">
        <v>50</v>
      </c>
      <c r="E92" s="184" t="s">
        <v>222</v>
      </c>
    </row>
    <row r="93" spans="1:5" ht="28.55">
      <c r="A93" s="16" t="s">
        <v>191</v>
      </c>
      <c r="B93" s="30" t="s">
        <v>192</v>
      </c>
      <c r="C93" s="17">
        <f>IF('START HERE'!C55="","",'START HERE'!C55)</f>
        <v>20</v>
      </c>
      <c r="D93" s="87" t="s">
        <v>50</v>
      </c>
      <c r="E93" s="61" t="s">
        <v>98</v>
      </c>
    </row>
    <row r="94" spans="1:5" ht="17.7">
      <c r="A94" s="4" t="s">
        <v>193</v>
      </c>
      <c r="B94" s="242" t="s">
        <v>194</v>
      </c>
      <c r="C94" s="21">
        <f>IF(Lp_actual="",Lp_rcmd,Lp_actual)</f>
        <v>20</v>
      </c>
      <c r="D94" s="273" t="s">
        <v>50</v>
      </c>
      <c r="E94" s="266"/>
    </row>
    <row r="95" spans="1:5" ht="17">
      <c r="A95" s="77" t="s">
        <v>195</v>
      </c>
      <c r="B95" s="78" t="s">
        <v>624</v>
      </c>
      <c r="C95" s="79">
        <f>(Nps*Ddemag_cc*(Vout_cv+Vf+(DCR_Lout*mOhms*Iocc))/(Lp*uH*Ipp_nom)/kHz)</f>
        <v>38.178525226390697</v>
      </c>
      <c r="D95" s="197" t="s">
        <v>15</v>
      </c>
      <c r="E95" s="232" t="str">
        <f>IF(fmax&gt;100,"Design exceeds capability of part",IF(fmax&lt;32,"Design will operate only in the AM range, not all features may be available",""))</f>
        <v/>
      </c>
    </row>
    <row r="96" spans="1:5" ht="17.7">
      <c r="A96" s="4" t="s">
        <v>196</v>
      </c>
      <c r="B96" s="242" t="s">
        <v>197</v>
      </c>
      <c r="C96" s="21">
        <f>(1/fmax*kHz)</f>
        <v>26.192735158579556</v>
      </c>
      <c r="D96" s="273" t="s">
        <v>37</v>
      </c>
      <c r="E96" s="266"/>
    </row>
    <row r="97" spans="1:5" ht="17.7">
      <c r="A97" s="4" t="s">
        <v>198</v>
      </c>
      <c r="B97" s="242" t="s">
        <v>199</v>
      </c>
      <c r="C97" s="21">
        <f>Ipp_nom*Lp/Vbulk_valley</f>
        <v>13.803571428571427</v>
      </c>
      <c r="D97" s="273" t="s">
        <v>37</v>
      </c>
      <c r="E97" s="266"/>
    </row>
    <row r="98" spans="1:5" ht="17.7">
      <c r="A98" s="4" t="s">
        <v>212</v>
      </c>
      <c r="B98" s="242" t="s">
        <v>213</v>
      </c>
      <c r="C98" s="21">
        <f>(ton_max*us)*(fmax*kHz)</f>
        <v>0.52700000000000002</v>
      </c>
      <c r="D98" s="273"/>
      <c r="E98" s="266"/>
    </row>
    <row r="99" spans="1:5" ht="17.7">
      <c r="A99" s="4" t="s">
        <v>214</v>
      </c>
      <c r="B99" s="242" t="s">
        <v>215</v>
      </c>
      <c r="C99" s="21">
        <f>(Lp*uH)*Ipp_nom/(Nps*(Vout_cv+Vf+(DCR_Lout*mOhms*Iocc)))/us</f>
        <v>11.131912442396311</v>
      </c>
      <c r="D99" s="273" t="s">
        <v>37</v>
      </c>
      <c r="E99" s="266"/>
    </row>
    <row r="100" spans="1:5" ht="17.7">
      <c r="A100" s="4" t="s">
        <v>200</v>
      </c>
      <c r="B100" s="242" t="s">
        <v>114</v>
      </c>
      <c r="C100" s="21">
        <f>(Ipp_nom/SQRT(3))*(SQRT(ton_max/tsw))</f>
        <v>5.7854367125509194</v>
      </c>
      <c r="D100" s="273" t="s">
        <v>12</v>
      </c>
      <c r="E100" s="266"/>
    </row>
    <row r="101" spans="1:5" ht="17.7">
      <c r="A101" s="4" t="s">
        <v>208</v>
      </c>
      <c r="B101" s="242" t="s">
        <v>209</v>
      </c>
      <c r="C101" s="21">
        <f>Ipp_nom*Nps</f>
        <v>22.085714285714289</v>
      </c>
      <c r="D101" s="273" t="s">
        <v>12</v>
      </c>
      <c r="E101" s="266"/>
    </row>
    <row r="102" spans="1:5" ht="17.7">
      <c r="A102" s="4" t="s">
        <v>210</v>
      </c>
      <c r="B102" s="242" t="s">
        <v>211</v>
      </c>
      <c r="C102" s="21">
        <f>Isp_max*SQRT(Ddemag_cc/3)</f>
        <v>8.3127608649159956</v>
      </c>
      <c r="D102" s="273" t="s">
        <v>12</v>
      </c>
      <c r="E102" s="266"/>
    </row>
    <row r="103" spans="1:5" ht="17.7">
      <c r="A103" s="4" t="s">
        <v>290</v>
      </c>
      <c r="B103" s="242" t="s">
        <v>291</v>
      </c>
      <c r="C103" s="21">
        <v>8.15</v>
      </c>
      <c r="D103" s="183" t="s">
        <v>10</v>
      </c>
      <c r="E103" s="184" t="s">
        <v>373</v>
      </c>
    </row>
    <row r="104" spans="1:5" ht="17.7">
      <c r="A104" s="4" t="s">
        <v>292</v>
      </c>
      <c r="B104" s="242" t="s">
        <v>293</v>
      </c>
      <c r="C104" s="21">
        <v>7.35</v>
      </c>
      <c r="D104" s="183" t="s">
        <v>10</v>
      </c>
      <c r="E104" s="184" t="s">
        <v>373</v>
      </c>
    </row>
    <row r="105" spans="1:5" ht="95.1">
      <c r="A105" s="7" t="s">
        <v>287</v>
      </c>
      <c r="B105" s="242" t="s">
        <v>288</v>
      </c>
      <c r="C105" s="21">
        <f>(VDDoff_max+Vfa)/(Vout_cc+Vf+(DCR_Lout*mOhms*Iocc))</f>
        <v>0.59655172413793101</v>
      </c>
      <c r="D105" s="273"/>
      <c r="E105" s="266"/>
    </row>
    <row r="106" spans="1:5" ht="17.7">
      <c r="A106" s="4" t="s">
        <v>278</v>
      </c>
      <c r="B106" s="242" t="s">
        <v>270</v>
      </c>
      <c r="C106" s="21">
        <f>Nps/Nas_rcmd</f>
        <v>2.6820809248554918</v>
      </c>
      <c r="D106" s="273"/>
      <c r="E106" s="266"/>
    </row>
    <row r="107" spans="1:5" ht="17.7">
      <c r="A107" s="25" t="s">
        <v>279</v>
      </c>
      <c r="B107" s="247" t="s">
        <v>277</v>
      </c>
      <c r="C107" s="33">
        <f>IF('START HERE'!C57="","",'START HERE'!C57)</f>
        <v>2.6</v>
      </c>
      <c r="D107" s="484" t="s">
        <v>98</v>
      </c>
      <c r="E107" s="485"/>
    </row>
    <row r="108" spans="1:5" ht="108.7">
      <c r="A108" s="7" t="s">
        <v>282</v>
      </c>
      <c r="B108" s="242" t="s">
        <v>283</v>
      </c>
      <c r="C108" s="21">
        <f>IF('START HERE'!C57="",Npa_rcmd,Npa_actual)</f>
        <v>2.6</v>
      </c>
      <c r="D108" s="273"/>
      <c r="E108" s="266"/>
    </row>
    <row r="109" spans="1:5">
      <c r="A109" s="77" t="s">
        <v>284</v>
      </c>
      <c r="B109" s="78" t="s">
        <v>285</v>
      </c>
      <c r="C109" s="79">
        <f>((Vout_cv+Vf+(DCR_Lout*mOhms*Iocc))*Nps-Vfa*Npa)/Npa</f>
        <v>9.0384615384615383</v>
      </c>
      <c r="D109" s="197" t="s">
        <v>10</v>
      </c>
      <c r="E109" s="198" t="str">
        <f>IF(VDD &gt; 25,"A zener clamp is needed to protect VDD from Exceeding ABS MAX over entire operating range","")</f>
        <v/>
      </c>
    </row>
    <row r="110" spans="1:5" ht="81.55">
      <c r="A110" s="50" t="s">
        <v>294</v>
      </c>
      <c r="B110" s="182" t="s">
        <v>295</v>
      </c>
      <c r="C110" s="51">
        <f>Nps/Npa</f>
        <v>0.61538461538461542</v>
      </c>
      <c r="D110" s="464"/>
      <c r="E110" s="465"/>
    </row>
    <row r="111" spans="1:5" ht="58.45">
      <c r="A111" s="50" t="s">
        <v>743</v>
      </c>
      <c r="B111" s="242" t="s">
        <v>705</v>
      </c>
      <c r="C111" s="51">
        <v>280</v>
      </c>
      <c r="D111" s="240" t="s">
        <v>52</v>
      </c>
      <c r="E111" s="254"/>
    </row>
    <row r="112" spans="1:5" ht="17.7">
      <c r="A112" s="4" t="s">
        <v>703</v>
      </c>
      <c r="B112" s="242" t="s">
        <v>704</v>
      </c>
      <c r="C112" s="21">
        <f>(Lp*uH*Ipp_nom)/(Vbulk_max*Kam_nom)/ns</f>
        <v>1380.3571428571424</v>
      </c>
      <c r="D112" s="52" t="s">
        <v>52</v>
      </c>
      <c r="E112" s="53" t="str">
        <f>IF(ton_min&lt;tonmin_limit,"Increase Primary Inductance","")</f>
        <v/>
      </c>
    </row>
    <row r="113" spans="1:5" ht="17.7">
      <c r="A113" s="4" t="s">
        <v>324</v>
      </c>
      <c r="B113" s="242" t="s">
        <v>325</v>
      </c>
      <c r="C113" s="21">
        <f>((ton_min*ns)*Vbulk_max)/(Nps*(Vout_cv+Vf+(DCR_Lout*mOhms)))/us</f>
        <v>2.7829781105990778</v>
      </c>
      <c r="D113" s="273" t="s">
        <v>37</v>
      </c>
      <c r="E113" s="266"/>
    </row>
    <row r="114" spans="1:5" ht="17.7" thickBot="1">
      <c r="A114" s="80" t="s">
        <v>289</v>
      </c>
      <c r="B114" s="81" t="s">
        <v>499</v>
      </c>
      <c r="C114" s="82">
        <f>((VDDoff_min+Vfa)/Nas)-Vf-(DCR_Lout*mOhms*Iocc)</f>
        <v>12.256249999999998</v>
      </c>
      <c r="D114" s="492" t="s">
        <v>10</v>
      </c>
      <c r="E114" s="493"/>
    </row>
    <row r="115" spans="1:5" ht="14.95" thickBot="1">
      <c r="A115" s="2"/>
      <c r="B115" s="2"/>
      <c r="C115" s="2"/>
      <c r="D115" s="2"/>
      <c r="E115" s="2"/>
    </row>
    <row r="116" spans="1:5" ht="15.65">
      <c r="A116" s="412" t="s">
        <v>101</v>
      </c>
      <c r="B116" s="413"/>
      <c r="C116" s="413"/>
      <c r="D116" s="413"/>
      <c r="E116" s="414"/>
    </row>
    <row r="117" spans="1:5" ht="18.350000000000001">
      <c r="A117" s="250" t="s">
        <v>713</v>
      </c>
      <c r="B117" s="195" t="s">
        <v>714</v>
      </c>
      <c r="C117" s="21">
        <f>(Vbulk_max+(Nps*(Vout_cv+Vf+((DCR_Lout*mOhms)*Iocc_target))))*1.3</f>
        <v>97.24</v>
      </c>
      <c r="D117" s="473" t="s">
        <v>10</v>
      </c>
      <c r="E117" s="474"/>
    </row>
    <row r="118" spans="1:5" ht="17.7">
      <c r="A118" s="25" t="s">
        <v>173</v>
      </c>
      <c r="B118" s="247" t="s">
        <v>227</v>
      </c>
      <c r="C118" s="33">
        <f>'START HERE'!C60</f>
        <v>150</v>
      </c>
      <c r="D118" s="32" t="s">
        <v>10</v>
      </c>
      <c r="E118" s="452" t="s">
        <v>97</v>
      </c>
    </row>
    <row r="119" spans="1:5" ht="17.7">
      <c r="A119" s="25" t="s">
        <v>172</v>
      </c>
      <c r="B119" s="247" t="s">
        <v>229</v>
      </c>
      <c r="C119" s="32">
        <f>'START HERE'!C61</f>
        <v>24.6</v>
      </c>
      <c r="D119" s="32" t="s">
        <v>28</v>
      </c>
      <c r="E119" s="453"/>
    </row>
    <row r="120" spans="1:5" ht="17.7">
      <c r="A120" s="25" t="s">
        <v>171</v>
      </c>
      <c r="B120" s="247" t="s">
        <v>230</v>
      </c>
      <c r="C120" s="33">
        <f>'START HERE'!C62</f>
        <v>0.84</v>
      </c>
      <c r="D120" s="32" t="s">
        <v>48</v>
      </c>
      <c r="E120" s="453"/>
    </row>
    <row r="121" spans="1:5" ht="17.7">
      <c r="A121" s="25" t="s">
        <v>239</v>
      </c>
      <c r="B121" s="247" t="s">
        <v>241</v>
      </c>
      <c r="C121" s="33">
        <f>'START HERE'!C63</f>
        <v>12</v>
      </c>
      <c r="D121" s="32" t="s">
        <v>52</v>
      </c>
      <c r="E121" s="453"/>
    </row>
    <row r="122" spans="1:5" ht="17.7">
      <c r="A122" s="64" t="s">
        <v>410</v>
      </c>
      <c r="B122" s="247" t="s">
        <v>411</v>
      </c>
      <c r="C122" s="32">
        <f>'START HERE'!C64</f>
        <v>39</v>
      </c>
      <c r="D122" s="32" t="s">
        <v>52</v>
      </c>
      <c r="E122" s="453"/>
    </row>
    <row r="123" spans="1:5" ht="17.7">
      <c r="A123" s="25" t="s">
        <v>452</v>
      </c>
      <c r="B123" s="247" t="s">
        <v>453</v>
      </c>
      <c r="C123" s="33">
        <f>'START HERE'!C65</f>
        <v>14</v>
      </c>
      <c r="D123" s="32" t="s">
        <v>419</v>
      </c>
      <c r="E123" s="454"/>
    </row>
    <row r="124" spans="1:5" ht="17.7">
      <c r="A124" s="4" t="s">
        <v>745</v>
      </c>
      <c r="B124" s="1" t="s">
        <v>747</v>
      </c>
      <c r="C124" s="21">
        <f>1/(2*PI()*SQRT(Lp*uH*Coss*2*pF))/MHz</f>
        <v>5.073674274215664</v>
      </c>
      <c r="D124" s="273" t="s">
        <v>263</v>
      </c>
      <c r="E124" s="266"/>
    </row>
    <row r="125" spans="1:5" ht="17.7">
      <c r="A125" s="4" t="s">
        <v>752</v>
      </c>
      <c r="B125" s="242" t="s">
        <v>746</v>
      </c>
      <c r="C125" s="21">
        <f>1/(2*fres_actual*MHz)/us</f>
        <v>9.8547910838697794E-2</v>
      </c>
      <c r="D125" s="415" t="s">
        <v>748</v>
      </c>
      <c r="E125" s="416"/>
    </row>
    <row r="126" spans="1:5">
      <c r="A126" s="4" t="s">
        <v>749</v>
      </c>
      <c r="B126" s="242" t="s">
        <v>750</v>
      </c>
      <c r="C126" s="231" t="str">
        <f>IF((1-((tres_actual*us)*(fmax*kHz))-Ddemag_cc)&lt;(1-((2.1*us)*(fmax*kHz))-Ddemag_cc),"NO","YES")</f>
        <v>YES</v>
      </c>
      <c r="D126" s="476" t="str">
        <f>IF(C126="NO", "Efficiency will be impacted","")</f>
        <v/>
      </c>
      <c r="E126" s="477"/>
    </row>
    <row r="127" spans="1:5" ht="17.7">
      <c r="A127" s="4" t="s">
        <v>300</v>
      </c>
      <c r="B127" s="242" t="s">
        <v>228</v>
      </c>
      <c r="C127" s="21">
        <f>Vds_min_rating/Vds</f>
        <v>0.64826666666666666</v>
      </c>
      <c r="D127" s="273"/>
      <c r="E127" s="266"/>
    </row>
    <row r="128" spans="1:5" ht="17.7">
      <c r="A128" s="4" t="s">
        <v>301</v>
      </c>
      <c r="B128" s="242" t="s">
        <v>302</v>
      </c>
      <c r="C128" s="21">
        <f>((Ipp_wc/SQRT(3))*(SQRT(ton_max/tsw)))*10</f>
        <v>61.235952502597051</v>
      </c>
      <c r="D128" s="273" t="s">
        <v>12</v>
      </c>
      <c r="E128" s="266"/>
    </row>
    <row r="129" spans="1:5" ht="17.7">
      <c r="A129" s="4" t="s">
        <v>303</v>
      </c>
      <c r="B129" s="242" t="s">
        <v>304</v>
      </c>
      <c r="C129" s="21">
        <f>Ipp_wc*10</f>
        <v>146.10389610389609</v>
      </c>
      <c r="D129" s="273" t="s">
        <v>12</v>
      </c>
      <c r="E129" s="266"/>
    </row>
    <row r="130" spans="1:5" ht="17.7">
      <c r="A130" s="4" t="s">
        <v>236</v>
      </c>
      <c r="B130" s="242" t="s">
        <v>235</v>
      </c>
      <c r="C130" s="21">
        <f>(Ipri_RMS^2)*Rdson</f>
        <v>28.115873482142874</v>
      </c>
      <c r="D130" s="263" t="s">
        <v>13</v>
      </c>
      <c r="E130" s="298"/>
    </row>
    <row r="131" spans="1:5" ht="17.7">
      <c r="A131" s="4" t="s">
        <v>237</v>
      </c>
      <c r="B131" s="242" t="s">
        <v>238</v>
      </c>
      <c r="C131" s="21">
        <f>fmax*kHz*((((Coss*pF)*(Vbulk_max-Vflyback)^2)/2)+(((Vbulk_max+Vflyback)*Ipp_nom*tf*ns)/2))</f>
        <v>0.23681581215511521</v>
      </c>
      <c r="D131" s="263" t="s">
        <v>13</v>
      </c>
      <c r="E131" s="298"/>
    </row>
    <row r="132" spans="1:5" ht="17.7">
      <c r="A132" s="4" t="s">
        <v>243</v>
      </c>
      <c r="B132" s="242" t="s">
        <v>244</v>
      </c>
      <c r="C132" s="21">
        <f>Pfet_cond+Pfet_switch</f>
        <v>28.352689294297988</v>
      </c>
      <c r="D132" s="263" t="s">
        <v>13</v>
      </c>
      <c r="E132" s="298"/>
    </row>
    <row r="133" spans="1:5" ht="18.350000000000001" thickBot="1">
      <c r="A133" s="5" t="s">
        <v>268</v>
      </c>
      <c r="B133" s="24" t="s">
        <v>269</v>
      </c>
      <c r="C133" s="26">
        <f>(0.95*Vds)-(Vbulk_max+Nps*(Vout_cv+Vf+(DCR_Lout*mOhms)))</f>
        <v>67.7</v>
      </c>
      <c r="D133" s="310" t="s">
        <v>10</v>
      </c>
      <c r="E133" s="311"/>
    </row>
    <row r="134" spans="1:5" ht="14.95" thickBot="1">
      <c r="A134" s="2"/>
      <c r="B134" s="1"/>
      <c r="C134" s="19"/>
      <c r="D134" s="2"/>
      <c r="E134" s="2"/>
    </row>
    <row r="135" spans="1:5" ht="18.350000000000001">
      <c r="A135" s="412" t="s">
        <v>309</v>
      </c>
      <c r="B135" s="413"/>
      <c r="C135" s="413"/>
      <c r="D135" s="413"/>
      <c r="E135" s="414"/>
    </row>
    <row r="136" spans="1:5" ht="28.55">
      <c r="A136" s="25" t="s">
        <v>99</v>
      </c>
      <c r="B136" s="247" t="s">
        <v>248</v>
      </c>
      <c r="C136" s="33">
        <f>IF('START HERE'!C43="",0.7,'START HERE'!C43)</f>
        <v>0.5</v>
      </c>
      <c r="D136" s="87" t="s">
        <v>10</v>
      </c>
      <c r="E136" s="42" t="s">
        <v>98</v>
      </c>
    </row>
    <row r="137" spans="1:5" ht="17.7">
      <c r="A137" s="4" t="s">
        <v>297</v>
      </c>
      <c r="B137" s="242" t="s">
        <v>298</v>
      </c>
      <c r="C137" s="21">
        <f>((Vbulk_max+Vdrain_clamp)/Nps)+Vout_ovp+(DCR_Lout*mOhms*Iocc)</f>
        <v>98.5625</v>
      </c>
      <c r="D137" s="263" t="s">
        <v>10</v>
      </c>
      <c r="E137" s="298"/>
    </row>
    <row r="138" spans="1:5" ht="17.7">
      <c r="A138" s="4" t="s">
        <v>305</v>
      </c>
      <c r="B138" s="242" t="s">
        <v>306</v>
      </c>
      <c r="C138" s="21">
        <f>Isec_rms</f>
        <v>8.3127608649159956</v>
      </c>
      <c r="D138" s="263" t="s">
        <v>12</v>
      </c>
      <c r="E138" s="298"/>
    </row>
    <row r="139" spans="1:5" ht="18.350000000000001" thickBot="1">
      <c r="A139" s="5" t="s">
        <v>307</v>
      </c>
      <c r="B139" s="24" t="s">
        <v>308</v>
      </c>
      <c r="C139" s="26">
        <f>Vf*Iocc</f>
        <v>2.3466071428571431</v>
      </c>
      <c r="D139" s="310" t="s">
        <v>13</v>
      </c>
      <c r="E139" s="311"/>
    </row>
    <row r="140" spans="1:5" ht="14.95" thickBot="1">
      <c r="A140" s="2"/>
      <c r="B140" s="2"/>
      <c r="C140" s="2"/>
      <c r="D140" s="2"/>
      <c r="E140" s="12"/>
    </row>
    <row r="141" spans="1:5" ht="18.350000000000001">
      <c r="A141" s="412" t="s">
        <v>310</v>
      </c>
      <c r="B141" s="413"/>
      <c r="C141" s="413"/>
      <c r="D141" s="413"/>
      <c r="E141" s="414"/>
    </row>
    <row r="142" spans="1:5" ht="28.55">
      <c r="A142" s="25" t="s">
        <v>273</v>
      </c>
      <c r="B142" s="247" t="s">
        <v>274</v>
      </c>
      <c r="C142" s="33">
        <f>IF('START HERE'!C75="",0.7,'START HERE'!C75)</f>
        <v>0.5</v>
      </c>
      <c r="D142" s="87" t="s">
        <v>10</v>
      </c>
      <c r="E142" s="42" t="s">
        <v>98</v>
      </c>
    </row>
    <row r="143" spans="1:5" ht="18.350000000000001" thickBot="1">
      <c r="A143" s="5" t="s">
        <v>297</v>
      </c>
      <c r="B143" s="24" t="s">
        <v>296</v>
      </c>
      <c r="C143" s="26">
        <f>(Vout_cv*Nps/Npa)+(Vbulk_max/Npa)+VDD</f>
        <v>37.5</v>
      </c>
      <c r="D143" s="310" t="s">
        <v>10</v>
      </c>
      <c r="E143" s="311"/>
    </row>
    <row r="144" spans="1:5" ht="14.95" thickBot="1">
      <c r="A144" s="2"/>
      <c r="B144" s="2"/>
      <c r="C144" s="2"/>
      <c r="D144" s="2"/>
      <c r="E144" s="2"/>
    </row>
    <row r="145" spans="1:5" ht="18.350000000000001">
      <c r="A145" s="412" t="s">
        <v>311</v>
      </c>
      <c r="B145" s="413"/>
      <c r="C145" s="413"/>
      <c r="D145" s="413"/>
      <c r="E145" s="414"/>
    </row>
    <row r="146" spans="1:5" ht="29.25" thickBot="1">
      <c r="A146" s="46" t="s">
        <v>247</v>
      </c>
      <c r="B146" s="47" t="s">
        <v>246</v>
      </c>
      <c r="C146" s="196">
        <f>IF('START HERE'!C45="",0,'START HERE'!C45)</f>
        <v>0</v>
      </c>
      <c r="D146" s="89" t="s">
        <v>58</v>
      </c>
      <c r="E146" s="88" t="s">
        <v>98</v>
      </c>
    </row>
    <row r="147" spans="1:5" ht="14.95" thickBot="1">
      <c r="A147" s="2"/>
      <c r="B147" s="2"/>
      <c r="C147" s="2"/>
      <c r="D147" s="2"/>
      <c r="E147" s="10"/>
    </row>
    <row r="148" spans="1:5" ht="18.350000000000001">
      <c r="A148" s="412" t="s">
        <v>312</v>
      </c>
      <c r="B148" s="413"/>
      <c r="C148" s="413"/>
      <c r="D148" s="413"/>
      <c r="E148" s="414"/>
    </row>
    <row r="149" spans="1:5">
      <c r="A149" s="491" t="s">
        <v>318</v>
      </c>
      <c r="B149" s="459" t="s">
        <v>319</v>
      </c>
      <c r="C149" s="460">
        <f>(Itran*tresp*ms)/Vout_delta/uF</f>
        <v>1600000</v>
      </c>
      <c r="D149" s="488" t="s">
        <v>23</v>
      </c>
      <c r="E149" s="486" t="s">
        <v>758</v>
      </c>
    </row>
    <row r="150" spans="1:5">
      <c r="A150" s="491"/>
      <c r="B150" s="459"/>
      <c r="C150" s="460"/>
      <c r="D150" s="489"/>
      <c r="E150" s="487"/>
    </row>
    <row r="151" spans="1:5">
      <c r="A151" s="491" t="s">
        <v>421</v>
      </c>
      <c r="B151" s="459" t="s">
        <v>425</v>
      </c>
      <c r="C151" s="460">
        <f>'LOOKUP TABLES AND DROPDOWN LIST'!T23</f>
        <v>680</v>
      </c>
      <c r="D151" s="415" t="s">
        <v>23</v>
      </c>
      <c r="E151" s="416"/>
    </row>
    <row r="152" spans="1:5">
      <c r="A152" s="491"/>
      <c r="B152" s="459"/>
      <c r="C152" s="460"/>
      <c r="D152" s="415"/>
      <c r="E152" s="416"/>
    </row>
    <row r="153" spans="1:5" ht="68.599999999999994">
      <c r="A153" s="257" t="s">
        <v>426</v>
      </c>
      <c r="B153" s="261" t="s">
        <v>427</v>
      </c>
      <c r="C153" s="66">
        <f>IF('START HERE'!C69="","",'START HERE'!C69)</f>
        <v>820</v>
      </c>
      <c r="D153" s="91" t="s">
        <v>428</v>
      </c>
      <c r="E153" s="90" t="s">
        <v>98</v>
      </c>
    </row>
    <row r="154" spans="1:5" ht="58.45">
      <c r="A154" s="246" t="s">
        <v>429</v>
      </c>
      <c r="B154" s="255" t="s">
        <v>320</v>
      </c>
      <c r="C154" s="256">
        <f>IF(Cout_actual="",Cout_rcmd,Cout_actual)</f>
        <v>820</v>
      </c>
      <c r="D154" s="415" t="s">
        <v>428</v>
      </c>
      <c r="E154" s="416"/>
    </row>
    <row r="155" spans="1:5" ht="81.55">
      <c r="A155" s="246" t="s">
        <v>321</v>
      </c>
      <c r="B155" s="255" t="s">
        <v>322</v>
      </c>
      <c r="C155" s="256">
        <f>SQRT((Iocc^2)+((Lp*uH*Ipp_nom*fmax*kHz/Vbulk_valley)*((Isp_max^2/3)-Isp_max*Iocc)))</f>
        <v>7.286124228546309</v>
      </c>
      <c r="D155" s="415" t="s">
        <v>12</v>
      </c>
      <c r="E155" s="416"/>
    </row>
    <row r="156" spans="1:5" ht="17.7">
      <c r="A156" s="54" t="s">
        <v>432</v>
      </c>
      <c r="B156" s="255" t="s">
        <v>431</v>
      </c>
      <c r="C156" s="256">
        <f>Vripple_target*mV/Isp_max/mOhms</f>
        <v>18.111254851228978</v>
      </c>
      <c r="D156" s="415" t="s">
        <v>58</v>
      </c>
      <c r="E156" s="416"/>
    </row>
    <row r="157" spans="1:5" ht="17.7">
      <c r="A157" s="67" t="s">
        <v>433</v>
      </c>
      <c r="B157" s="261" t="s">
        <v>434</v>
      </c>
      <c r="C157" s="66">
        <f>IF('START HERE'!C71="","",'START HERE'!C71)</f>
        <v>23</v>
      </c>
      <c r="D157" s="91" t="s">
        <v>58</v>
      </c>
      <c r="E157" s="90" t="s">
        <v>98</v>
      </c>
    </row>
    <row r="158" spans="1:5" ht="17.7">
      <c r="A158" s="54" t="s">
        <v>439</v>
      </c>
      <c r="B158" s="255" t="s">
        <v>323</v>
      </c>
      <c r="C158" s="256">
        <f>IF(ESRactual="",ESRrcmd,ESRactual)</f>
        <v>23</v>
      </c>
      <c r="D158" s="415" t="s">
        <v>58</v>
      </c>
      <c r="E158" s="416"/>
    </row>
    <row r="159" spans="1:5" ht="17.7" thickBot="1">
      <c r="A159" s="251" t="s">
        <v>440</v>
      </c>
      <c r="B159" s="83" t="s">
        <v>500</v>
      </c>
      <c r="C159" s="84">
        <f>(SQRT(((Isp_max*ESR*mOhms)^2)+((Iocc*ton_max*us)/(Cout*uF))^2))/mV</f>
        <v>514.07837258988388</v>
      </c>
      <c r="D159" s="457" t="s">
        <v>14</v>
      </c>
      <c r="E159" s="458"/>
    </row>
    <row r="160" spans="1:5" ht="14.95" thickBot="1">
      <c r="A160" s="49"/>
      <c r="B160" s="49"/>
      <c r="C160" s="49"/>
      <c r="D160" s="49"/>
      <c r="E160" s="49"/>
    </row>
    <row r="161" spans="1:5" ht="18.350000000000001">
      <c r="A161" s="461" t="s">
        <v>365</v>
      </c>
      <c r="B161" s="462"/>
      <c r="C161" s="462"/>
      <c r="D161" s="462"/>
      <c r="E161" s="463"/>
    </row>
    <row r="162" spans="1:5" ht="17.7">
      <c r="A162" s="4" t="s">
        <v>332</v>
      </c>
      <c r="B162" s="242" t="s">
        <v>333</v>
      </c>
      <c r="C162" s="262">
        <v>190</v>
      </c>
      <c r="D162" s="183" t="s">
        <v>334</v>
      </c>
      <c r="E162" s="184" t="s">
        <v>373</v>
      </c>
    </row>
    <row r="163" spans="1:5" ht="17.7">
      <c r="A163" s="4" t="s">
        <v>348</v>
      </c>
      <c r="B163" s="242" t="s">
        <v>349</v>
      </c>
      <c r="C163" s="262">
        <v>225</v>
      </c>
      <c r="D163" s="183" t="s">
        <v>334</v>
      </c>
      <c r="E163" s="184" t="s">
        <v>373</v>
      </c>
    </row>
    <row r="164" spans="1:5" ht="17.7">
      <c r="A164" s="4" t="s">
        <v>335</v>
      </c>
      <c r="B164" s="242" t="s">
        <v>336</v>
      </c>
      <c r="C164" s="262">
        <v>275</v>
      </c>
      <c r="D164" s="183" t="s">
        <v>334</v>
      </c>
      <c r="E164" s="184" t="s">
        <v>373</v>
      </c>
    </row>
    <row r="165" spans="1:5" ht="17.7">
      <c r="A165" s="4" t="s">
        <v>358</v>
      </c>
      <c r="B165" s="242" t="s">
        <v>360</v>
      </c>
      <c r="C165" s="262">
        <v>70</v>
      </c>
      <c r="D165" s="183" t="s">
        <v>334</v>
      </c>
      <c r="E165" s="184" t="s">
        <v>373</v>
      </c>
    </row>
    <row r="166" spans="1:5" ht="17.7">
      <c r="A166" s="4" t="s">
        <v>357</v>
      </c>
      <c r="B166" s="242" t="s">
        <v>361</v>
      </c>
      <c r="C166" s="262">
        <v>80</v>
      </c>
      <c r="D166" s="183" t="s">
        <v>334</v>
      </c>
      <c r="E166" s="184" t="s">
        <v>373</v>
      </c>
    </row>
    <row r="167" spans="1:5" ht="17.7">
      <c r="A167" s="4" t="s">
        <v>359</v>
      </c>
      <c r="B167" s="242" t="s">
        <v>362</v>
      </c>
      <c r="C167" s="262">
        <v>100</v>
      </c>
      <c r="D167" s="183" t="s">
        <v>334</v>
      </c>
      <c r="E167" s="184" t="s">
        <v>373</v>
      </c>
    </row>
    <row r="168" spans="1:5">
      <c r="A168" s="410" t="s">
        <v>344</v>
      </c>
      <c r="B168" s="270" t="s">
        <v>342</v>
      </c>
      <c r="C168" s="456">
        <f>'LOOKUP TABLES AND DROPDOWN LIST'!H57</f>
        <v>27.4</v>
      </c>
      <c r="D168" s="263" t="s">
        <v>340</v>
      </c>
      <c r="E168" s="298"/>
    </row>
    <row r="169" spans="1:5">
      <c r="A169" s="410"/>
      <c r="B169" s="270"/>
      <c r="C169" s="456"/>
      <c r="D169" s="263"/>
      <c r="E169" s="298"/>
    </row>
    <row r="170" spans="1:5">
      <c r="A170" s="472" t="s">
        <v>345</v>
      </c>
      <c r="B170" s="418" t="s">
        <v>346</v>
      </c>
      <c r="C170" s="490">
        <f>IF('START HERE'!C78="","",'START HERE'!C78)</f>
        <v>27</v>
      </c>
      <c r="D170" s="420" t="s">
        <v>340</v>
      </c>
      <c r="E170" s="421" t="s">
        <v>98</v>
      </c>
    </row>
    <row r="171" spans="1:5">
      <c r="A171" s="472"/>
      <c r="B171" s="418"/>
      <c r="C171" s="490"/>
      <c r="D171" s="420"/>
      <c r="E171" s="421"/>
    </row>
    <row r="172" spans="1:5" ht="72">
      <c r="A172" s="243" t="s">
        <v>347</v>
      </c>
      <c r="B172" s="242" t="s">
        <v>337</v>
      </c>
      <c r="C172" s="58">
        <f>IF(Rvs1_actual="",Rvs1_rcmd,Rvs1_actual)</f>
        <v>27</v>
      </c>
      <c r="D172" s="263" t="s">
        <v>340</v>
      </c>
      <c r="E172" s="298"/>
    </row>
    <row r="173" spans="1:5" ht="54.35">
      <c r="A173" s="243" t="s">
        <v>353</v>
      </c>
      <c r="B173" s="242" t="s">
        <v>350</v>
      </c>
      <c r="C173" s="59">
        <f>IF(Vin_type="AC",(R_vs1*kOhms*Npa*Ivslrun_min*uA)/SQRT(2),R_vs1*kOhms*Npa*Ivslrun_min*uA)</f>
        <v>13.337999999999999</v>
      </c>
      <c r="D173" s="263" t="str">
        <f t="shared" ref="D173:D178" si="0">IF(Vin_type="AC","VAC","VDC")</f>
        <v>VDC</v>
      </c>
      <c r="E173" s="298"/>
    </row>
    <row r="174" spans="1:5" ht="17">
      <c r="A174" s="77" t="s">
        <v>352</v>
      </c>
      <c r="B174" s="78" t="s">
        <v>501</v>
      </c>
      <c r="C174" s="79">
        <f>IF(Vin_type="AC",(R_vs1*kOhms*Npa*Ivslrun_nom*uA)/SQRT(2),R_vs1*kOhms*Npa*Ivslrun_nom*uA)</f>
        <v>15.795</v>
      </c>
      <c r="D174" s="468" t="str">
        <f t="shared" si="0"/>
        <v>VDC</v>
      </c>
      <c r="E174" s="469"/>
    </row>
    <row r="175" spans="1:5" ht="67.95">
      <c r="A175" s="243" t="s">
        <v>354</v>
      </c>
      <c r="B175" s="242" t="s">
        <v>351</v>
      </c>
      <c r="C175" s="59">
        <f>IF(Vin_type="AC",(R_vs1*kOhms*Npa*Ivslrun_max*uA)/SQRT(2),R_vs1*kOhms*Npa*Ivslrun_max*uA)</f>
        <v>19.305</v>
      </c>
      <c r="D175" s="263" t="str">
        <f t="shared" si="0"/>
        <v>VDC</v>
      </c>
      <c r="E175" s="298"/>
    </row>
    <row r="176" spans="1:5" ht="81.55">
      <c r="A176" s="243" t="s">
        <v>355</v>
      </c>
      <c r="B176" s="242" t="s">
        <v>363</v>
      </c>
      <c r="C176" s="21">
        <f>IF(Vin_type="AC",((R_vs1*kOhms*Npa*Ivslstop_min*uA)+(Vbulk_min-Vbulk_valley))/SQRT(2),((R_vs1*kOhms*Npa*Ivslstop_min*uA)+(Vbulk_min-Vbulk_valley)))</f>
        <v>6.9139999999999997</v>
      </c>
      <c r="D176" s="263" t="str">
        <f t="shared" si="0"/>
        <v>VDC</v>
      </c>
      <c r="E176" s="298"/>
    </row>
    <row r="177" spans="1:5" ht="85.6">
      <c r="A177" s="85" t="s">
        <v>387</v>
      </c>
      <c r="B177" s="78" t="s">
        <v>502</v>
      </c>
      <c r="C177" s="79">
        <f>IF(Vin_type="AC",((R_vs1*kOhms*Npa*Ivslstop_nom*uA)+(Vbulk_min-Vbulk_valley))/SQRT(2),((R_vs1*kOhms*Npa*Ivslstop_nom*uA)+(Vbulk_min-Vbulk_valley)))</f>
        <v>7.6159999999999997</v>
      </c>
      <c r="D177" s="468" t="str">
        <f t="shared" si="0"/>
        <v>VDC</v>
      </c>
      <c r="E177" s="469"/>
    </row>
    <row r="178" spans="1:5" ht="95.1">
      <c r="A178" s="243" t="s">
        <v>356</v>
      </c>
      <c r="B178" s="242" t="s">
        <v>364</v>
      </c>
      <c r="C178" s="21">
        <f>IF(Vin_type="AC",((R_vs1*kOhms*Npa*Ivslstop_max*uA)+(Vbulk_min-Vbulk_valley))/SQRT(2),((R_vs1*kOhms*Npa*Ivslstop_max*uA)+(Vbulk_min-Vbulk_valley)))</f>
        <v>9.02</v>
      </c>
      <c r="D178" s="263" t="str">
        <f t="shared" si="0"/>
        <v>VDC</v>
      </c>
      <c r="E178" s="298"/>
    </row>
    <row r="179" spans="1:5" ht="17.7">
      <c r="A179" s="4" t="s">
        <v>368</v>
      </c>
      <c r="B179" s="242" t="s">
        <v>367</v>
      </c>
      <c r="C179" s="262">
        <v>4.5199999999999996</v>
      </c>
      <c r="D179" s="183" t="s">
        <v>10</v>
      </c>
      <c r="E179" s="184" t="s">
        <v>373</v>
      </c>
    </row>
    <row r="180" spans="1:5" ht="81.55">
      <c r="A180" s="243" t="s">
        <v>369</v>
      </c>
      <c r="B180" s="242" t="s">
        <v>370</v>
      </c>
      <c r="C180" s="21">
        <v>4.5999999999999996</v>
      </c>
      <c r="D180" s="183" t="s">
        <v>10</v>
      </c>
      <c r="E180" s="184" t="s">
        <v>373</v>
      </c>
    </row>
    <row r="181" spans="1:5" ht="95.1">
      <c r="A181" s="243" t="s">
        <v>371</v>
      </c>
      <c r="B181" s="242" t="s">
        <v>372</v>
      </c>
      <c r="C181" s="21">
        <v>4.71</v>
      </c>
      <c r="D181" s="183" t="s">
        <v>10</v>
      </c>
      <c r="E181" s="184" t="s">
        <v>373</v>
      </c>
    </row>
    <row r="182" spans="1:5">
      <c r="A182" s="410" t="s">
        <v>414</v>
      </c>
      <c r="B182" s="270" t="s">
        <v>366</v>
      </c>
      <c r="C182" s="456">
        <f>'LOOKUP TABLES AND DROPDOWN LIST'!H60</f>
        <v>12.1</v>
      </c>
      <c r="D182" s="263" t="s">
        <v>374</v>
      </c>
      <c r="E182" s="298"/>
    </row>
    <row r="183" spans="1:5">
      <c r="A183" s="410"/>
      <c r="B183" s="270"/>
      <c r="C183" s="456"/>
      <c r="D183" s="263"/>
      <c r="E183" s="298"/>
    </row>
    <row r="184" spans="1:5">
      <c r="A184" s="472" t="s">
        <v>380</v>
      </c>
      <c r="B184" s="496" t="s">
        <v>379</v>
      </c>
      <c r="C184" s="498">
        <f>IF('START HERE'!C81="","",'START HERE'!C81)</f>
        <v>12.7</v>
      </c>
      <c r="D184" s="500" t="s">
        <v>374</v>
      </c>
      <c r="E184" s="421" t="s">
        <v>98</v>
      </c>
    </row>
    <row r="185" spans="1:5">
      <c r="A185" s="472"/>
      <c r="B185" s="497"/>
      <c r="C185" s="499"/>
      <c r="D185" s="501"/>
      <c r="E185" s="421"/>
    </row>
    <row r="186" spans="1:5" ht="58.45">
      <c r="A186" s="243" t="s">
        <v>386</v>
      </c>
      <c r="B186" s="242" t="s">
        <v>381</v>
      </c>
      <c r="C186" s="21">
        <f>IF(Rvs2_actual="",Rvs2_rcmd,Rvs2_actual)</f>
        <v>12.7</v>
      </c>
      <c r="D186" s="263" t="s">
        <v>374</v>
      </c>
      <c r="E186" s="298"/>
    </row>
    <row r="187" spans="1:5" ht="95.1">
      <c r="A187" s="243" t="s">
        <v>388</v>
      </c>
      <c r="B187" s="242" t="s">
        <v>389</v>
      </c>
      <c r="C187" s="21">
        <f>(((R_vs1*kOhms*Vovp_min)/(R_vs2*kOhms)+Vovp_min)/Nas)+Vf+(DCR_Lout*mOhms*Iocc)</f>
        <v>23.460354330708657</v>
      </c>
      <c r="D187" s="263" t="s">
        <v>10</v>
      </c>
      <c r="E187" s="298"/>
    </row>
    <row r="188" spans="1:5" ht="114.15">
      <c r="A188" s="85" t="s">
        <v>390</v>
      </c>
      <c r="B188" s="78" t="s">
        <v>503</v>
      </c>
      <c r="C188" s="79">
        <f>(((R_vs1*kOhms*Vovp_nom)/(R_vs2*kOhms)+Vovp_nom)/Nas)+Vf+(DCR_Lout*mOhms*Iocc)</f>
        <v>23.866732283464565</v>
      </c>
      <c r="D188" s="197" t="s">
        <v>10</v>
      </c>
      <c r="E188" s="232" t="s">
        <v>759</v>
      </c>
    </row>
    <row r="189" spans="1:5" ht="109.4" thickBot="1">
      <c r="A189" s="62" t="s">
        <v>392</v>
      </c>
      <c r="B189" s="24" t="s">
        <v>391</v>
      </c>
      <c r="C189" s="26">
        <f>(((R_vs1*kOhms*Vovp_max)/(R_vs2*kOhms)+Vovp_max)/Nas)+Vf+(DCR_Lout*mOhms*Iocc)</f>
        <v>24.425501968503937</v>
      </c>
      <c r="D189" s="310" t="s">
        <v>10</v>
      </c>
      <c r="E189" s="311"/>
    </row>
    <row r="190" spans="1:5" ht="14.95" thickBot="1">
      <c r="A190" s="2"/>
      <c r="B190" s="2"/>
      <c r="C190" s="57"/>
      <c r="D190" s="2"/>
      <c r="E190" s="2"/>
    </row>
    <row r="191" spans="1:5" ht="18.350000000000001">
      <c r="A191" s="412" t="s">
        <v>330</v>
      </c>
      <c r="B191" s="413"/>
      <c r="C191" s="413"/>
      <c r="D191" s="413"/>
      <c r="E191" s="414"/>
    </row>
    <row r="192" spans="1:5" ht="17.7">
      <c r="A192" s="69" t="s">
        <v>408</v>
      </c>
      <c r="B192" s="242" t="s">
        <v>407</v>
      </c>
      <c r="C192" s="262">
        <v>25</v>
      </c>
      <c r="D192" s="183" t="s">
        <v>406</v>
      </c>
      <c r="E192" s="184" t="s">
        <v>373</v>
      </c>
    </row>
    <row r="193" spans="1:5" ht="17.7">
      <c r="A193" s="69" t="s">
        <v>413</v>
      </c>
      <c r="B193" s="242" t="s">
        <v>412</v>
      </c>
      <c r="C193" s="262">
        <f>tdoff+50</f>
        <v>89</v>
      </c>
      <c r="D193" s="263" t="s">
        <v>52</v>
      </c>
      <c r="E193" s="298"/>
    </row>
    <row r="194" spans="1:5" ht="17.7">
      <c r="A194" s="69" t="s">
        <v>416</v>
      </c>
      <c r="B194" s="242" t="s">
        <v>462</v>
      </c>
      <c r="C194" s="21">
        <f>'LOOKUP TABLES AND DROPDOWN LIST'!H63</f>
        <v>0.442</v>
      </c>
      <c r="D194" s="263" t="s">
        <v>340</v>
      </c>
      <c r="E194" s="298"/>
    </row>
    <row r="195" spans="1:5" ht="17.7">
      <c r="A195" s="63" t="s">
        <v>461</v>
      </c>
      <c r="B195" s="247" t="s">
        <v>463</v>
      </c>
      <c r="C195" s="33">
        <f>IF('START HERE'!C84="","",'START HERE'!C84)</f>
        <v>0.47</v>
      </c>
      <c r="D195" s="249" t="s">
        <v>374</v>
      </c>
      <c r="E195" s="245" t="s">
        <v>98</v>
      </c>
    </row>
    <row r="196" spans="1:5" ht="17.7">
      <c r="A196" s="69" t="s">
        <v>464</v>
      </c>
      <c r="B196" s="242" t="s">
        <v>415</v>
      </c>
      <c r="C196" s="21">
        <f>IF(Rlc_actual="",Rlc_rcmd,Rlc_actual)</f>
        <v>0.47</v>
      </c>
      <c r="D196" s="263" t="s">
        <v>374</v>
      </c>
      <c r="E196" s="298"/>
    </row>
    <row r="197" spans="1:5">
      <c r="A197" s="470" t="s">
        <v>504</v>
      </c>
      <c r="B197" s="478" t="str">
        <f>IF(Rlc&lt;0.95*Rlc_rcmd,"Using a resistor value that is significantly less than that recommended will result in a higher constant current output at higher input line voltage.",IF(Rlc&gt;1.05*Rlc_rcmd,"Using a resistor value that is significantly higher than that recommended will result in lower constant current output at higher input line voltage.","Output Constant Current will have minimal deviation over input line voltage range."))</f>
        <v>Using a resistor value that is significantly higher than that recommended will result in lower constant current output at higher input line voltage.</v>
      </c>
      <c r="C197" s="479"/>
      <c r="D197" s="479"/>
      <c r="E197" s="480"/>
    </row>
    <row r="198" spans="1:5" ht="14.95" thickBot="1">
      <c r="A198" s="471"/>
      <c r="B198" s="481"/>
      <c r="C198" s="482"/>
      <c r="D198" s="482"/>
      <c r="E198" s="483"/>
    </row>
    <row r="199" spans="1:5" ht="14.95" thickBot="1">
      <c r="A199" s="49"/>
      <c r="B199" s="68"/>
      <c r="C199" s="68"/>
      <c r="D199" s="68"/>
      <c r="E199" s="68"/>
    </row>
    <row r="200" spans="1:5" ht="18.350000000000001">
      <c r="A200" s="412" t="s">
        <v>331</v>
      </c>
      <c r="B200" s="413"/>
      <c r="C200" s="413"/>
      <c r="D200" s="413"/>
      <c r="E200" s="414"/>
    </row>
    <row r="201" spans="1:5" ht="17.7">
      <c r="A201" s="4" t="s">
        <v>441</v>
      </c>
      <c r="B201" s="242" t="s">
        <v>417</v>
      </c>
      <c r="C201" s="262">
        <v>2.65</v>
      </c>
      <c r="D201" s="183" t="s">
        <v>36</v>
      </c>
      <c r="E201" s="184" t="s">
        <v>373</v>
      </c>
    </row>
    <row r="202" spans="1:5" ht="17.7">
      <c r="A202" s="4" t="s">
        <v>442</v>
      </c>
      <c r="B202" s="242" t="s">
        <v>443</v>
      </c>
      <c r="C202" s="262">
        <v>23</v>
      </c>
      <c r="D202" s="183" t="s">
        <v>10</v>
      </c>
      <c r="E202" s="184" t="s">
        <v>373</v>
      </c>
    </row>
    <row r="203" spans="1:5" ht="17.7">
      <c r="A203" s="4" t="s">
        <v>445</v>
      </c>
      <c r="B203" s="242" t="s">
        <v>444</v>
      </c>
      <c r="C203" s="262">
        <v>8.15</v>
      </c>
      <c r="D203" s="183" t="s">
        <v>10</v>
      </c>
      <c r="E203" s="184" t="s">
        <v>373</v>
      </c>
    </row>
    <row r="204" spans="1:5" ht="17.7">
      <c r="A204" s="4" t="s">
        <v>448</v>
      </c>
      <c r="B204" s="242" t="s">
        <v>449</v>
      </c>
      <c r="C204" s="21">
        <f>0.8*Psb_target*mW/(0.5*Lp*uH*(Ipp_fm^2))/kHz</f>
        <v>0.13435598941641327</v>
      </c>
      <c r="D204" s="273" t="s">
        <v>15</v>
      </c>
      <c r="E204" s="266"/>
    </row>
    <row r="205" spans="1:5" ht="17.7">
      <c r="A205" s="4" t="s">
        <v>456</v>
      </c>
      <c r="B205" s="242" t="s">
        <v>457</v>
      </c>
      <c r="C205" s="21">
        <v>20</v>
      </c>
      <c r="D205" s="273" t="s">
        <v>24</v>
      </c>
      <c r="E205" s="266"/>
    </row>
    <row r="206" spans="1:5" ht="17.7">
      <c r="A206" s="4" t="s">
        <v>450</v>
      </c>
      <c r="B206" s="242" t="s">
        <v>451</v>
      </c>
      <c r="C206" s="21">
        <f>Cvdd1</f>
        <v>0.47</v>
      </c>
      <c r="D206" s="273" t="s">
        <v>454</v>
      </c>
      <c r="E206" s="266"/>
    </row>
    <row r="207" spans="1:5" ht="17.7">
      <c r="A207" s="4" t="s">
        <v>467</v>
      </c>
      <c r="B207" s="242" t="s">
        <v>455</v>
      </c>
      <c r="C207" s="21">
        <f>'LOOKUP TABLES AND DROPDOWN LIST'!Q27</f>
        <v>22</v>
      </c>
      <c r="D207" s="273" t="s">
        <v>454</v>
      </c>
      <c r="E207" s="266"/>
    </row>
    <row r="208" spans="1:5" ht="17.7">
      <c r="A208" s="4" t="s">
        <v>465</v>
      </c>
      <c r="B208" s="242" t="s">
        <v>466</v>
      </c>
      <c r="C208" s="21">
        <f>'LOOKUP TABLES AND DROPDOWN LIST'!Q31</f>
        <v>22</v>
      </c>
      <c r="D208" s="273" t="s">
        <v>454</v>
      </c>
      <c r="E208" s="266"/>
    </row>
    <row r="209" spans="1:5" ht="18.350000000000001" thickBot="1">
      <c r="A209" s="5" t="s">
        <v>473</v>
      </c>
      <c r="B209" s="24" t="s">
        <v>468</v>
      </c>
      <c r="C209" s="26">
        <f>MAX(C206:C208)</f>
        <v>22</v>
      </c>
      <c r="D209" s="293" t="s">
        <v>454</v>
      </c>
      <c r="E209" s="295"/>
    </row>
    <row r="210" spans="1:5" ht="14.95" thickBot="1">
      <c r="A210" s="2"/>
      <c r="B210" s="2"/>
      <c r="C210" s="2"/>
      <c r="D210" s="2"/>
      <c r="E210" s="2"/>
    </row>
    <row r="211" spans="1:5" ht="15.65">
      <c r="A211" s="412" t="s">
        <v>329</v>
      </c>
      <c r="B211" s="413"/>
      <c r="C211" s="413"/>
      <c r="D211" s="413"/>
      <c r="E211" s="414"/>
    </row>
    <row r="212" spans="1:5" ht="17.7">
      <c r="A212" s="63" t="s">
        <v>479</v>
      </c>
      <c r="B212" s="247" t="s">
        <v>480</v>
      </c>
      <c r="C212" s="32">
        <f>'START HERE'!C86</f>
        <v>2.4950000000000001</v>
      </c>
      <c r="D212" s="87" t="s">
        <v>10</v>
      </c>
      <c r="E212" s="234" t="s">
        <v>98</v>
      </c>
    </row>
    <row r="213" spans="1:5" ht="17.7">
      <c r="A213" s="63" t="s">
        <v>600</v>
      </c>
      <c r="B213" s="247" t="s">
        <v>482</v>
      </c>
      <c r="C213" s="32">
        <f>'START HERE'!C87</f>
        <v>4</v>
      </c>
      <c r="D213" s="87" t="s">
        <v>334</v>
      </c>
      <c r="E213" s="234" t="s">
        <v>98</v>
      </c>
    </row>
    <row r="214" spans="1:5">
      <c r="A214" s="491" t="s">
        <v>495</v>
      </c>
      <c r="B214" s="270" t="s">
        <v>486</v>
      </c>
      <c r="C214" s="494">
        <f>'LOOKUP TABLES AND DROPDOWN LIST'!H66</f>
        <v>44.2</v>
      </c>
      <c r="D214" s="263" t="s">
        <v>340</v>
      </c>
      <c r="E214" s="298"/>
    </row>
    <row r="215" spans="1:5">
      <c r="A215" s="491"/>
      <c r="B215" s="270"/>
      <c r="C215" s="494"/>
      <c r="D215" s="263"/>
      <c r="E215" s="298"/>
    </row>
    <row r="216" spans="1:5">
      <c r="A216" s="495" t="s">
        <v>496</v>
      </c>
      <c r="B216" s="418" t="s">
        <v>490</v>
      </c>
      <c r="C216" s="419">
        <f>IF('START HERE'!C89="","",'START HERE'!C89)</f>
        <v>44.2</v>
      </c>
      <c r="D216" s="420" t="s">
        <v>374</v>
      </c>
      <c r="E216" s="421" t="s">
        <v>98</v>
      </c>
    </row>
    <row r="217" spans="1:5">
      <c r="A217" s="495"/>
      <c r="B217" s="418"/>
      <c r="C217" s="419"/>
      <c r="D217" s="420"/>
      <c r="E217" s="421"/>
    </row>
    <row r="218" spans="1:5" ht="58.45">
      <c r="A218" s="235" t="s">
        <v>494</v>
      </c>
      <c r="B218" s="242" t="s">
        <v>481</v>
      </c>
      <c r="C218" s="262">
        <f>IF(Rfb2_actual="",Rfb2_rcmd,Rfb2_actual)</f>
        <v>44.2</v>
      </c>
      <c r="D218" s="273" t="s">
        <v>374</v>
      </c>
      <c r="E218" s="266"/>
    </row>
    <row r="219" spans="1:5">
      <c r="A219" s="491" t="s">
        <v>506</v>
      </c>
      <c r="B219" s="270" t="s">
        <v>505</v>
      </c>
      <c r="C219" s="494">
        <f>'LOOKUP TABLES AND DROPDOWN LIST'!H69</f>
        <v>226</v>
      </c>
      <c r="D219" s="299" t="s">
        <v>374</v>
      </c>
      <c r="E219" s="301"/>
    </row>
    <row r="220" spans="1:5">
      <c r="A220" s="491"/>
      <c r="B220" s="270"/>
      <c r="C220" s="494"/>
      <c r="D220" s="422"/>
      <c r="E220" s="423"/>
    </row>
    <row r="221" spans="1:5">
      <c r="A221" s="417" t="s">
        <v>509</v>
      </c>
      <c r="B221" s="418" t="s">
        <v>508</v>
      </c>
      <c r="C221" s="419">
        <f>IF('START HERE'!C91="","",'START HERE'!C91)</f>
        <v>226</v>
      </c>
      <c r="D221" s="420" t="s">
        <v>374</v>
      </c>
      <c r="E221" s="421" t="s">
        <v>98</v>
      </c>
    </row>
    <row r="222" spans="1:5">
      <c r="A222" s="417"/>
      <c r="B222" s="418"/>
      <c r="C222" s="419"/>
      <c r="D222" s="420"/>
      <c r="E222" s="421"/>
    </row>
    <row r="223" spans="1:5" ht="17.7">
      <c r="A223" s="69" t="s">
        <v>514</v>
      </c>
      <c r="B223" s="242" t="s">
        <v>515</v>
      </c>
      <c r="C223" s="262">
        <f>((IF(Rfb1_actual="",Rfb1_rcmd,Rfb1_actual))+(Rinj/kOhms))</f>
        <v>226.02</v>
      </c>
      <c r="D223" s="273" t="s">
        <v>374</v>
      </c>
      <c r="E223" s="266"/>
    </row>
    <row r="224" spans="1:5" ht="81.55">
      <c r="A224" s="257" t="s">
        <v>717</v>
      </c>
      <c r="B224" s="247" t="s">
        <v>718</v>
      </c>
      <c r="C224" s="248">
        <v>20</v>
      </c>
      <c r="D224" s="110" t="s">
        <v>719</v>
      </c>
      <c r="E224" s="236" t="s">
        <v>720</v>
      </c>
    </row>
    <row r="225" spans="1:5" ht="17">
      <c r="A225" s="237" t="s">
        <v>516</v>
      </c>
      <c r="B225" s="78" t="s">
        <v>520</v>
      </c>
      <c r="C225" s="79">
        <f>(R_fb1*kOhms*(Vref431/(R_fb2*kOhms)))+Vref431</f>
        <v>15.253368778280542</v>
      </c>
      <c r="D225" s="406" t="s">
        <v>10</v>
      </c>
      <c r="E225" s="407"/>
    </row>
    <row r="226" spans="1:5" ht="95.1">
      <c r="A226" s="238" t="s">
        <v>533</v>
      </c>
      <c r="B226" s="247" t="s">
        <v>538</v>
      </c>
      <c r="C226" s="109">
        <v>50</v>
      </c>
      <c r="D226" s="233" t="s">
        <v>524</v>
      </c>
      <c r="E226" s="234" t="s">
        <v>98</v>
      </c>
    </row>
    <row r="227" spans="1:5" ht="17.7">
      <c r="A227" s="25" t="s">
        <v>534</v>
      </c>
      <c r="B227" s="261" t="s">
        <v>539</v>
      </c>
      <c r="C227" s="248">
        <v>3</v>
      </c>
      <c r="D227" s="87" t="s">
        <v>523</v>
      </c>
      <c r="E227" s="234" t="s">
        <v>98</v>
      </c>
    </row>
    <row r="228" spans="1:5" ht="17.7">
      <c r="A228" s="25" t="s">
        <v>535</v>
      </c>
      <c r="B228" s="261" t="s">
        <v>540</v>
      </c>
      <c r="C228" s="248">
        <v>100</v>
      </c>
      <c r="D228" s="110" t="s">
        <v>48</v>
      </c>
      <c r="E228" s="234" t="s">
        <v>98</v>
      </c>
    </row>
    <row r="229" spans="1:5" ht="17.7">
      <c r="A229" s="25" t="s">
        <v>536</v>
      </c>
      <c r="B229" s="247" t="s">
        <v>541</v>
      </c>
      <c r="C229" s="248">
        <v>80</v>
      </c>
      <c r="D229" s="87" t="s">
        <v>15</v>
      </c>
      <c r="E229" s="234" t="s">
        <v>98</v>
      </c>
    </row>
    <row r="230" spans="1:5" ht="17.7">
      <c r="A230" s="25" t="s">
        <v>537</v>
      </c>
      <c r="B230" s="247" t="s">
        <v>542</v>
      </c>
      <c r="C230" s="248">
        <v>1.4</v>
      </c>
      <c r="D230" s="87" t="s">
        <v>10</v>
      </c>
      <c r="E230" s="234" t="s">
        <v>98</v>
      </c>
    </row>
    <row r="231" spans="1:5" ht="17.7">
      <c r="A231" s="4" t="s">
        <v>544</v>
      </c>
      <c r="B231" s="242" t="s">
        <v>545</v>
      </c>
      <c r="C231" s="21">
        <f>(tf_opto*us)/(2*PI()*Rl_opto)/nF</f>
        <v>4.7746482927568596</v>
      </c>
      <c r="D231" s="263" t="s">
        <v>547</v>
      </c>
      <c r="E231" s="298"/>
    </row>
    <row r="232" spans="1:5" ht="17.7">
      <c r="A232" s="4" t="s">
        <v>548</v>
      </c>
      <c r="B232" s="242" t="s">
        <v>549</v>
      </c>
      <c r="C232" s="262">
        <v>40</v>
      </c>
      <c r="D232" s="263" t="s">
        <v>340</v>
      </c>
      <c r="E232" s="298"/>
    </row>
    <row r="233" spans="1:5">
      <c r="A233" s="410" t="s">
        <v>555</v>
      </c>
      <c r="B233" s="270" t="s">
        <v>554</v>
      </c>
      <c r="C233" s="411">
        <v>0</v>
      </c>
      <c r="D233" s="263" t="s">
        <v>454</v>
      </c>
      <c r="E233" s="298"/>
    </row>
    <row r="234" spans="1:5">
      <c r="A234" s="410"/>
      <c r="B234" s="270"/>
      <c r="C234" s="411"/>
      <c r="D234" s="263"/>
      <c r="E234" s="298"/>
    </row>
    <row r="235" spans="1:5" ht="17.7">
      <c r="A235" s="25" t="s">
        <v>557</v>
      </c>
      <c r="B235" s="247" t="s">
        <v>556</v>
      </c>
      <c r="C235" s="32">
        <f>IF('START HERE'!C100="","",'START HERE'!C100)</f>
        <v>0</v>
      </c>
      <c r="D235" s="87" t="s">
        <v>454</v>
      </c>
      <c r="E235" s="234" t="s">
        <v>98</v>
      </c>
    </row>
    <row r="236" spans="1:5" ht="17.7">
      <c r="A236" s="4" t="s">
        <v>558</v>
      </c>
      <c r="B236" s="242" t="s">
        <v>559</v>
      </c>
      <c r="C236" s="262">
        <f>IF(Cext_actual="",Cext_rcmd,Cext_actual)</f>
        <v>0</v>
      </c>
      <c r="D236" s="263" t="s">
        <v>454</v>
      </c>
      <c r="E236" s="298"/>
    </row>
    <row r="237" spans="1:5" ht="17.7">
      <c r="A237" s="4" t="s">
        <v>561</v>
      </c>
      <c r="B237" s="242" t="s">
        <v>562</v>
      </c>
      <c r="C237" s="262">
        <f>'LOOKUP TABLES AND DROPDOWN LIST'!W23</f>
        <v>4.7E-2</v>
      </c>
      <c r="D237" s="273" t="s">
        <v>454</v>
      </c>
      <c r="E237" s="266"/>
    </row>
    <row r="238" spans="1:5" ht="17.7">
      <c r="A238" s="25" t="s">
        <v>565</v>
      </c>
      <c r="B238" s="247" t="s">
        <v>566</v>
      </c>
      <c r="C238" s="32">
        <f>IF('START HERE'!C102="","",'START HERE'!C102)</f>
        <v>4.7E-2</v>
      </c>
      <c r="D238" s="87" t="s">
        <v>454</v>
      </c>
      <c r="E238" s="234" t="s">
        <v>98</v>
      </c>
    </row>
    <row r="239" spans="1:5" ht="17.7">
      <c r="A239" s="4" t="s">
        <v>754</v>
      </c>
      <c r="B239" s="242" t="s">
        <v>755</v>
      </c>
      <c r="C239" s="262">
        <f>IF(Cfb_actual="",Cfb_rcmd,Cfb_actual)</f>
        <v>4.7E-2</v>
      </c>
      <c r="D239" s="241"/>
      <c r="E239" s="239"/>
    </row>
    <row r="240" spans="1:5" ht="17.7">
      <c r="A240" s="4" t="s">
        <v>571</v>
      </c>
      <c r="B240" s="242" t="s">
        <v>570</v>
      </c>
      <c r="C240" s="262">
        <v>22</v>
      </c>
      <c r="D240" s="273" t="s">
        <v>340</v>
      </c>
      <c r="E240" s="266"/>
    </row>
    <row r="241" spans="1:5" ht="17.7">
      <c r="A241" s="25" t="s">
        <v>572</v>
      </c>
      <c r="B241" s="247" t="s">
        <v>573</v>
      </c>
      <c r="C241" s="32">
        <f>IF('START HERE'!C104="","",'START HERE'!C104)</f>
        <v>22</v>
      </c>
      <c r="D241" s="87" t="s">
        <v>340</v>
      </c>
      <c r="E241" s="234" t="s">
        <v>98</v>
      </c>
    </row>
    <row r="242" spans="1:5" ht="17.7">
      <c r="A242" s="4" t="s">
        <v>578</v>
      </c>
      <c r="B242" s="242" t="s">
        <v>577</v>
      </c>
      <c r="C242" s="262">
        <f>IF(R_fb4_actual="",R_fb4_rcmd,R_fb4_actual)</f>
        <v>22</v>
      </c>
      <c r="D242" s="263" t="s">
        <v>340</v>
      </c>
      <c r="E242" s="298"/>
    </row>
    <row r="243" spans="1:5" ht="17.7">
      <c r="A243" s="4" t="s">
        <v>579</v>
      </c>
      <c r="B243" s="242" t="s">
        <v>580</v>
      </c>
      <c r="C243" s="21">
        <f>(R_fb4*kOhms)/((R_fb4*kOhms)+(Requ*kOhms))</f>
        <v>0.35483870967741937</v>
      </c>
      <c r="D243" s="263"/>
      <c r="E243" s="298"/>
    </row>
    <row r="244" spans="1:5" ht="17.7">
      <c r="A244" s="4" t="s">
        <v>581</v>
      </c>
      <c r="B244" s="242" t="s">
        <v>582</v>
      </c>
      <c r="C244" s="262">
        <f>480*kOhms/(-2.5)/kOhms</f>
        <v>-192</v>
      </c>
      <c r="D244" s="273" t="s">
        <v>340</v>
      </c>
      <c r="E244" s="266"/>
    </row>
    <row r="245" spans="1:5" ht="17.7">
      <c r="A245" s="4" t="s">
        <v>583</v>
      </c>
      <c r="B245" s="242" t="s">
        <v>584</v>
      </c>
      <c r="C245" s="262">
        <v>50.4</v>
      </c>
      <c r="D245" s="273" t="s">
        <v>585</v>
      </c>
      <c r="E245" s="266"/>
    </row>
    <row r="246" spans="1:5" ht="17.7">
      <c r="A246" s="4" t="s">
        <v>586</v>
      </c>
      <c r="B246" s="242" t="s">
        <v>587</v>
      </c>
      <c r="C246" s="21">
        <f>((Pout/(fmax*kHz))*((Ipp_nom/Ipp_nom)^2)*(1/Vout_cv))/uC</f>
        <v>110.00948766603415</v>
      </c>
      <c r="D246" s="263" t="s">
        <v>589</v>
      </c>
      <c r="E246" s="298"/>
    </row>
    <row r="247" spans="1:5" ht="17.7">
      <c r="A247" s="4" t="s">
        <v>603</v>
      </c>
      <c r="B247" s="242" t="s">
        <v>604</v>
      </c>
      <c r="C247" s="262">
        <v>1.5</v>
      </c>
      <c r="D247" s="263" t="s">
        <v>340</v>
      </c>
      <c r="E247" s="298"/>
    </row>
    <row r="248" spans="1:5" ht="17.7">
      <c r="A248" s="25" t="s">
        <v>606</v>
      </c>
      <c r="B248" s="247" t="s">
        <v>605</v>
      </c>
      <c r="C248" s="32">
        <f>IF('START HERE'!C106="","",'START HERE'!C106)</f>
        <v>1.5</v>
      </c>
      <c r="D248" s="87" t="s">
        <v>340</v>
      </c>
      <c r="E248" s="234" t="s">
        <v>98</v>
      </c>
    </row>
    <row r="249" spans="1:5" ht="17.7">
      <c r="A249" s="4" t="s">
        <v>607</v>
      </c>
      <c r="B249" s="242" t="s">
        <v>608</v>
      </c>
      <c r="C249" s="262">
        <f>IF(Rtl_actual="",Rtl_rcmd,Rtl_actual)</f>
        <v>1.5</v>
      </c>
      <c r="D249" s="273" t="s">
        <v>340</v>
      </c>
      <c r="E249" s="266"/>
    </row>
    <row r="250" spans="1:5" ht="17.7">
      <c r="A250" s="4" t="s">
        <v>615</v>
      </c>
      <c r="B250" s="242" t="s">
        <v>616</v>
      </c>
      <c r="C250" s="262">
        <f>'LOOKUP TABLES AND DROPDOWN LIST'!W82</f>
        <v>680</v>
      </c>
      <c r="D250" s="263" t="s">
        <v>28</v>
      </c>
      <c r="E250" s="298"/>
    </row>
    <row r="251" spans="1:5" ht="17.7">
      <c r="A251" s="25" t="s">
        <v>618</v>
      </c>
      <c r="B251" s="247" t="s">
        <v>617</v>
      </c>
      <c r="C251" s="32">
        <f>IF('START HERE'!C108="","",'START HERE'!C108)</f>
        <v>680</v>
      </c>
      <c r="D251" s="249" t="s">
        <v>28</v>
      </c>
      <c r="E251" s="245" t="s">
        <v>98</v>
      </c>
    </row>
    <row r="252" spans="1:5" ht="18.350000000000001" thickBot="1">
      <c r="A252" s="5" t="s">
        <v>756</v>
      </c>
      <c r="B252" s="24" t="s">
        <v>757</v>
      </c>
      <c r="C252" s="14">
        <f>IF(Cz_actual="",Cz_rcmd,Cz_actual)</f>
        <v>680</v>
      </c>
      <c r="D252" s="293" t="s">
        <v>28</v>
      </c>
      <c r="E252" s="295"/>
    </row>
  </sheetData>
  <mergeCells count="203">
    <mergeCell ref="D245:E245"/>
    <mergeCell ref="D246:E246"/>
    <mergeCell ref="D247:E247"/>
    <mergeCell ref="D249:E249"/>
    <mergeCell ref="D250:E250"/>
    <mergeCell ref="D252:E252"/>
    <mergeCell ref="D236:E236"/>
    <mergeCell ref="D237:E237"/>
    <mergeCell ref="D240:E240"/>
    <mergeCell ref="D242:E242"/>
    <mergeCell ref="D243:E243"/>
    <mergeCell ref="D244:E244"/>
    <mergeCell ref="D223:E223"/>
    <mergeCell ref="D225:E225"/>
    <mergeCell ref="D231:E231"/>
    <mergeCell ref="D232:E232"/>
    <mergeCell ref="A233:A234"/>
    <mergeCell ref="B233:B234"/>
    <mergeCell ref="C233:C234"/>
    <mergeCell ref="D233:E234"/>
    <mergeCell ref="A219:A220"/>
    <mergeCell ref="B219:B220"/>
    <mergeCell ref="C219:C220"/>
    <mergeCell ref="D219:E220"/>
    <mergeCell ref="A221:A222"/>
    <mergeCell ref="B221:B222"/>
    <mergeCell ref="C221:C222"/>
    <mergeCell ref="D221:D222"/>
    <mergeCell ref="E221:E222"/>
    <mergeCell ref="A216:A217"/>
    <mergeCell ref="B216:B217"/>
    <mergeCell ref="C216:C217"/>
    <mergeCell ref="D216:D217"/>
    <mergeCell ref="E216:E217"/>
    <mergeCell ref="D218:E218"/>
    <mergeCell ref="D206:E206"/>
    <mergeCell ref="D207:E207"/>
    <mergeCell ref="D208:E208"/>
    <mergeCell ref="D209:E209"/>
    <mergeCell ref="A211:E211"/>
    <mergeCell ref="A214:A215"/>
    <mergeCell ref="B214:B215"/>
    <mergeCell ref="C214:C215"/>
    <mergeCell ref="D214:E215"/>
    <mergeCell ref="D196:E196"/>
    <mergeCell ref="A197:A198"/>
    <mergeCell ref="B197:E198"/>
    <mergeCell ref="A200:E200"/>
    <mergeCell ref="D204:E204"/>
    <mergeCell ref="D205:E205"/>
    <mergeCell ref="D186:E186"/>
    <mergeCell ref="D187:E187"/>
    <mergeCell ref="D189:E189"/>
    <mergeCell ref="A191:E191"/>
    <mergeCell ref="D193:E193"/>
    <mergeCell ref="D194:E194"/>
    <mergeCell ref="A182:A183"/>
    <mergeCell ref="B182:B183"/>
    <mergeCell ref="C182:C183"/>
    <mergeCell ref="D182:E183"/>
    <mergeCell ref="A184:A185"/>
    <mergeCell ref="B184:B185"/>
    <mergeCell ref="C184:C185"/>
    <mergeCell ref="D184:D185"/>
    <mergeCell ref="E184:E185"/>
    <mergeCell ref="D173:E173"/>
    <mergeCell ref="D174:E174"/>
    <mergeCell ref="D175:E175"/>
    <mergeCell ref="D176:E176"/>
    <mergeCell ref="D177:E177"/>
    <mergeCell ref="D178:E178"/>
    <mergeCell ref="A170:A171"/>
    <mergeCell ref="B170:B171"/>
    <mergeCell ref="C170:C171"/>
    <mergeCell ref="D170:D171"/>
    <mergeCell ref="E170:E171"/>
    <mergeCell ref="D172:E172"/>
    <mergeCell ref="D156:E156"/>
    <mergeCell ref="D158:E158"/>
    <mergeCell ref="D159:E159"/>
    <mergeCell ref="A161:E161"/>
    <mergeCell ref="A168:A169"/>
    <mergeCell ref="B168:B169"/>
    <mergeCell ref="C168:C169"/>
    <mergeCell ref="D168:E169"/>
    <mergeCell ref="A151:A152"/>
    <mergeCell ref="B151:B152"/>
    <mergeCell ref="C151:C152"/>
    <mergeCell ref="D151:E152"/>
    <mergeCell ref="D154:E154"/>
    <mergeCell ref="D155:E155"/>
    <mergeCell ref="A145:E145"/>
    <mergeCell ref="A148:E148"/>
    <mergeCell ref="A149:A150"/>
    <mergeCell ref="B149:B150"/>
    <mergeCell ref="C149:C150"/>
    <mergeCell ref="D149:D150"/>
    <mergeCell ref="E149:E150"/>
    <mergeCell ref="A135:E135"/>
    <mergeCell ref="D137:E137"/>
    <mergeCell ref="D138:E138"/>
    <mergeCell ref="D139:E139"/>
    <mergeCell ref="A141:E141"/>
    <mergeCell ref="D143:E143"/>
    <mergeCell ref="D128:E128"/>
    <mergeCell ref="D129:E129"/>
    <mergeCell ref="D130:E130"/>
    <mergeCell ref="D131:E131"/>
    <mergeCell ref="D132:E132"/>
    <mergeCell ref="D133:E133"/>
    <mergeCell ref="D117:E117"/>
    <mergeCell ref="E118:E123"/>
    <mergeCell ref="D124:E124"/>
    <mergeCell ref="D125:E125"/>
    <mergeCell ref="D126:E126"/>
    <mergeCell ref="D127:E127"/>
    <mergeCell ref="D107:E107"/>
    <mergeCell ref="D108:E108"/>
    <mergeCell ref="D110:E110"/>
    <mergeCell ref="D113:E113"/>
    <mergeCell ref="D114:E114"/>
    <mergeCell ref="A116:E116"/>
    <mergeCell ref="D99:E99"/>
    <mergeCell ref="D100:E100"/>
    <mergeCell ref="D101:E101"/>
    <mergeCell ref="D102:E102"/>
    <mergeCell ref="D105:E105"/>
    <mergeCell ref="D106:E106"/>
    <mergeCell ref="A90:E90"/>
    <mergeCell ref="D91:E91"/>
    <mergeCell ref="D94:E94"/>
    <mergeCell ref="D96:E96"/>
    <mergeCell ref="D97:E97"/>
    <mergeCell ref="D98:E98"/>
    <mergeCell ref="D81:E81"/>
    <mergeCell ref="D82:E82"/>
    <mergeCell ref="D83:E83"/>
    <mergeCell ref="D85:E85"/>
    <mergeCell ref="A86:A87"/>
    <mergeCell ref="B86:B87"/>
    <mergeCell ref="C86:C87"/>
    <mergeCell ref="D86:D87"/>
    <mergeCell ref="E86:E87"/>
    <mergeCell ref="D66:E66"/>
    <mergeCell ref="D67:E67"/>
    <mergeCell ref="A69:E69"/>
    <mergeCell ref="D74:E74"/>
    <mergeCell ref="D76:E76"/>
    <mergeCell ref="D77:E77"/>
    <mergeCell ref="D59:E59"/>
    <mergeCell ref="D60:E60"/>
    <mergeCell ref="D61:E61"/>
    <mergeCell ref="D63:E63"/>
    <mergeCell ref="D64:E64"/>
    <mergeCell ref="D65:E65"/>
    <mergeCell ref="D49:E49"/>
    <mergeCell ref="D51:E51"/>
    <mergeCell ref="A53:E53"/>
    <mergeCell ref="D54:E54"/>
    <mergeCell ref="D55:E55"/>
    <mergeCell ref="D57:E57"/>
    <mergeCell ref="A42:E42"/>
    <mergeCell ref="A43:E43"/>
    <mergeCell ref="D44:E44"/>
    <mergeCell ref="D45:E45"/>
    <mergeCell ref="A47:E47"/>
    <mergeCell ref="D48:E48"/>
    <mergeCell ref="A35:E35"/>
    <mergeCell ref="D36:E36"/>
    <mergeCell ref="D38:E38"/>
    <mergeCell ref="D39:E39"/>
    <mergeCell ref="D40:E40"/>
    <mergeCell ref="D41:E41"/>
    <mergeCell ref="D29:E29"/>
    <mergeCell ref="D30:E30"/>
    <mergeCell ref="D31:E31"/>
    <mergeCell ref="A32:E32"/>
    <mergeCell ref="A33:E33"/>
    <mergeCell ref="A34:E34"/>
    <mergeCell ref="A21:A22"/>
    <mergeCell ref="B21:B22"/>
    <mergeCell ref="C21:C22"/>
    <mergeCell ref="D21:D22"/>
    <mergeCell ref="A25:A26"/>
    <mergeCell ref="B25:B26"/>
    <mergeCell ref="C25:C26"/>
    <mergeCell ref="D25:D26"/>
    <mergeCell ref="D11:E11"/>
    <mergeCell ref="D12:E12"/>
    <mergeCell ref="D13:E13"/>
    <mergeCell ref="D14:E14"/>
    <mergeCell ref="A15:E15"/>
    <mergeCell ref="E16:E28"/>
    <mergeCell ref="A19:A20"/>
    <mergeCell ref="B19:B20"/>
    <mergeCell ref="C19:C20"/>
    <mergeCell ref="D19:D20"/>
    <mergeCell ref="A1:E1"/>
    <mergeCell ref="A2:E2"/>
    <mergeCell ref="A3:E3"/>
    <mergeCell ref="C4:D4"/>
    <mergeCell ref="E4:E9"/>
    <mergeCell ref="D10:E10"/>
  </mergeCells>
  <phoneticPr fontId="3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5</vt:i4>
      </vt:variant>
      <vt:variant>
        <vt:lpstr>Adlandırılmış Aralıklar</vt:lpstr>
      </vt:variant>
      <vt:variant>
        <vt:i4>238</vt:i4>
      </vt:variant>
    </vt:vector>
  </HeadingPairs>
  <TitlesOfParts>
    <vt:vector size="243" baseType="lpstr">
      <vt:lpstr>START HERE</vt:lpstr>
      <vt:lpstr>SCHEMATIC AND BoM</vt:lpstr>
      <vt:lpstr>CALCULATIONS</vt:lpstr>
      <vt:lpstr>LOOKUP TABLES AND DROPDOWN LIST</vt:lpstr>
      <vt:lpstr>Sheet1</vt:lpstr>
      <vt:lpstr>C_f1</vt:lpstr>
      <vt:lpstr>C_f2</vt:lpstr>
      <vt:lpstr>C_s1</vt:lpstr>
      <vt:lpstr>C_s2</vt:lpstr>
      <vt:lpstr>Cbulk</vt:lpstr>
      <vt:lpstr>Cbulk_actual</vt:lpstr>
      <vt:lpstr>Cbulk_initial</vt:lpstr>
      <vt:lpstr>Cbulk_rcmd</vt:lpstr>
      <vt:lpstr>Cbulk_recommended</vt:lpstr>
      <vt:lpstr>Cext</vt:lpstr>
      <vt:lpstr>Cext_actual</vt:lpstr>
      <vt:lpstr>Cext_rcmd</vt:lpstr>
      <vt:lpstr>Cfb_actual</vt:lpstr>
      <vt:lpstr>Cfb_rcmd</vt:lpstr>
      <vt:lpstr>Copto</vt:lpstr>
      <vt:lpstr>Coss</vt:lpstr>
      <vt:lpstr>Cout</vt:lpstr>
      <vt:lpstr>Cout_actual</vt:lpstr>
      <vt:lpstr>Cout_no_opto</vt:lpstr>
      <vt:lpstr>Cout_rcmd</vt:lpstr>
      <vt:lpstr>CTRmin</vt:lpstr>
      <vt:lpstr>Cvdd_rcmd</vt:lpstr>
      <vt:lpstr>Cvdd1</vt:lpstr>
      <vt:lpstr>Cz</vt:lpstr>
      <vt:lpstr>Cz_actual</vt:lpstr>
      <vt:lpstr>Cz_rcmd</vt:lpstr>
      <vt:lpstr>DCR_Lout</vt:lpstr>
      <vt:lpstr>Ddemag_cc</vt:lpstr>
      <vt:lpstr>Dmax</vt:lpstr>
      <vt:lpstr>Dmax_target</vt:lpstr>
      <vt:lpstr>E_48f</vt:lpstr>
      <vt:lpstr>E_48s</vt:lpstr>
      <vt:lpstr>eff_xfmr</vt:lpstr>
      <vt:lpstr>efficiency</vt:lpstr>
      <vt:lpstr>ESR</vt:lpstr>
      <vt:lpstr>ESRactual</vt:lpstr>
      <vt:lpstr>ESRrcmd</vt:lpstr>
      <vt:lpstr>fc_opto</vt:lpstr>
      <vt:lpstr>fline_min</vt:lpstr>
      <vt:lpstr>fmax</vt:lpstr>
      <vt:lpstr>fmax_target</vt:lpstr>
      <vt:lpstr>fmin</vt:lpstr>
      <vt:lpstr>fres</vt:lpstr>
      <vt:lpstr>fres_actual</vt:lpstr>
      <vt:lpstr>fswmax</vt:lpstr>
      <vt:lpstr>fswmin</vt:lpstr>
      <vt:lpstr>G_fb1</vt:lpstr>
      <vt:lpstr>G_fb2</vt:lpstr>
      <vt:lpstr>G_p4</vt:lpstr>
      <vt:lpstr>Ibridge</vt:lpstr>
      <vt:lpstr>Icin</vt:lpstr>
      <vt:lpstr>Icout_rms</vt:lpstr>
      <vt:lpstr>Idout</vt:lpstr>
      <vt:lpstr>Idrain</vt:lpstr>
      <vt:lpstr>Iin_peak</vt:lpstr>
      <vt:lpstr>Input_Voltage_type</vt:lpstr>
      <vt:lpstr>Iocc</vt:lpstr>
      <vt:lpstr>Iocc_max</vt:lpstr>
      <vt:lpstr>Iocc_target</vt:lpstr>
      <vt:lpstr>Iout</vt:lpstr>
      <vt:lpstr>Ipp_fm</vt:lpstr>
      <vt:lpstr>Ipp_nom</vt:lpstr>
      <vt:lpstr>Ipp_wc</vt:lpstr>
      <vt:lpstr>Ipri_RMS</vt:lpstr>
      <vt:lpstr>Ipulsed</vt:lpstr>
      <vt:lpstr>Iref431</vt:lpstr>
      <vt:lpstr>Irun</vt:lpstr>
      <vt:lpstr>Isec_rms</vt:lpstr>
      <vt:lpstr>Isp_max</vt:lpstr>
      <vt:lpstr>Itran</vt:lpstr>
      <vt:lpstr>Ivslrun_max</vt:lpstr>
      <vt:lpstr>Ivslrun_min</vt:lpstr>
      <vt:lpstr>Ivslrun_nom</vt:lpstr>
      <vt:lpstr>Ivslstop_max</vt:lpstr>
      <vt:lpstr>Ivslstop_min</vt:lpstr>
      <vt:lpstr>Ivslstop_nom</vt:lpstr>
      <vt:lpstr>K_fm4</vt:lpstr>
      <vt:lpstr>Kam_nom</vt:lpstr>
      <vt:lpstr>kHz</vt:lpstr>
      <vt:lpstr>Klc</vt:lpstr>
      <vt:lpstr>kOhms</vt:lpstr>
      <vt:lpstr>Lp</vt:lpstr>
      <vt:lpstr>Lp_actual</vt:lpstr>
      <vt:lpstr>Lp_est</vt:lpstr>
      <vt:lpstr>Lp_rcmd</vt:lpstr>
      <vt:lpstr>mA</vt:lpstr>
      <vt:lpstr>MHz</vt:lpstr>
      <vt:lpstr>mOhms</vt:lpstr>
      <vt:lpstr>ms</vt:lpstr>
      <vt:lpstr>mV</vt:lpstr>
      <vt:lpstr>mW</vt:lpstr>
      <vt:lpstr>Nas</vt:lpstr>
      <vt:lpstr>Nas_rcmd</vt:lpstr>
      <vt:lpstr>nC</vt:lpstr>
      <vt:lpstr>nF</vt:lpstr>
      <vt:lpstr>Npa</vt:lpstr>
      <vt:lpstr>Npa_actual</vt:lpstr>
      <vt:lpstr>Npa_rcmd</vt:lpstr>
      <vt:lpstr>Nps</vt:lpstr>
      <vt:lpstr>Nps_actual</vt:lpstr>
      <vt:lpstr>Nps_ideal</vt:lpstr>
      <vt:lpstr>Nps_rcmd</vt:lpstr>
      <vt:lpstr>NPSmax</vt:lpstr>
      <vt:lpstr>ns</vt:lpstr>
      <vt:lpstr>P_Rcs</vt:lpstr>
      <vt:lpstr>Pbridge</vt:lpstr>
      <vt:lpstr>Pdout</vt:lpstr>
      <vt:lpstr>pF</vt:lpstr>
      <vt:lpstr>Pfet</vt:lpstr>
      <vt:lpstr>Pfet_cond</vt:lpstr>
      <vt:lpstr>Pfet_switch</vt:lpstr>
      <vt:lpstr>Pin</vt:lpstr>
      <vt:lpstr>Pout</vt:lpstr>
      <vt:lpstr>Psb_target</vt:lpstr>
      <vt:lpstr>Qg</vt:lpstr>
      <vt:lpstr>R_fb1</vt:lpstr>
      <vt:lpstr>R_fb2</vt:lpstr>
      <vt:lpstr>R_fb4</vt:lpstr>
      <vt:lpstr>R_fb4_actual</vt:lpstr>
      <vt:lpstr>R_fb4_rcmd</vt:lpstr>
      <vt:lpstr>R_tl</vt:lpstr>
      <vt:lpstr>R_vs1</vt:lpstr>
      <vt:lpstr>R_vs2</vt:lpstr>
      <vt:lpstr>Rcs</vt:lpstr>
      <vt:lpstr>Rcs_actual</vt:lpstr>
      <vt:lpstr>Rcs_rcmd</vt:lpstr>
      <vt:lpstr>Rdson</vt:lpstr>
      <vt:lpstr>Requ</vt:lpstr>
      <vt:lpstr>Rfb1_actual</vt:lpstr>
      <vt:lpstr>Rfb1_rcmd</vt:lpstr>
      <vt:lpstr>Rfb2_actual</vt:lpstr>
      <vt:lpstr>Rfb2_rcmd</vt:lpstr>
      <vt:lpstr>Rinj</vt:lpstr>
      <vt:lpstr>Rl_opto</vt:lpstr>
      <vt:lpstr>Rlc</vt:lpstr>
      <vt:lpstr>Rlc_actual</vt:lpstr>
      <vt:lpstr>Rlc_rcmd</vt:lpstr>
      <vt:lpstr>Rtl_actual</vt:lpstr>
      <vt:lpstr>Rtl_rcmd</vt:lpstr>
      <vt:lpstr>Rvs1_actual</vt:lpstr>
      <vt:lpstr>Rvs1_rcmd</vt:lpstr>
      <vt:lpstr>Rvs2_actual</vt:lpstr>
      <vt:lpstr>Rvs2_rcmd</vt:lpstr>
      <vt:lpstr>t_1</vt:lpstr>
      <vt:lpstr>t_2</vt:lpstr>
      <vt:lpstr>t_charge</vt:lpstr>
      <vt:lpstr>t_discharge</vt:lpstr>
      <vt:lpstr>t_line</vt:lpstr>
      <vt:lpstr>t1_1</vt:lpstr>
      <vt:lpstr>t1_2</vt:lpstr>
      <vt:lpstr>t1_3</vt:lpstr>
      <vt:lpstr>t2_1</vt:lpstr>
      <vt:lpstr>t2_2</vt:lpstr>
      <vt:lpstr>t2_3</vt:lpstr>
      <vt:lpstr>tcharge_1</vt:lpstr>
      <vt:lpstr>tcharge_2</vt:lpstr>
      <vt:lpstr>tcharge_3</vt:lpstr>
      <vt:lpstr>tdelay</vt:lpstr>
      <vt:lpstr>tdemag</vt:lpstr>
      <vt:lpstr>tdemag_min</vt:lpstr>
      <vt:lpstr>tdischarge_1</vt:lpstr>
      <vt:lpstr>tdischarge_2</vt:lpstr>
      <vt:lpstr>tdischarge_3</vt:lpstr>
      <vt:lpstr>tdoff</vt:lpstr>
      <vt:lpstr>tf</vt:lpstr>
      <vt:lpstr>tf_opto</vt:lpstr>
      <vt:lpstr>ton_max</vt:lpstr>
      <vt:lpstr>ton_max_est</vt:lpstr>
      <vt:lpstr>ton_min</vt:lpstr>
      <vt:lpstr>tonmin_limit</vt:lpstr>
      <vt:lpstr>tov</vt:lpstr>
      <vt:lpstr>tres</vt:lpstr>
      <vt:lpstr>tres_actual</vt:lpstr>
      <vt:lpstr>tresp</vt:lpstr>
      <vt:lpstr>tsw</vt:lpstr>
      <vt:lpstr>tsw_target</vt:lpstr>
      <vt:lpstr>uA</vt:lpstr>
      <vt:lpstr>uC</vt:lpstr>
      <vt:lpstr>uF</vt:lpstr>
      <vt:lpstr>uH</vt:lpstr>
      <vt:lpstr>us</vt:lpstr>
      <vt:lpstr>Vbridge</vt:lpstr>
      <vt:lpstr>Vbrownout_max</vt:lpstr>
      <vt:lpstr>Vbrownout_min</vt:lpstr>
      <vt:lpstr>Vbrownout_nom</vt:lpstr>
      <vt:lpstr>Vbulk_max</vt:lpstr>
      <vt:lpstr>Vbulk_min</vt:lpstr>
      <vt:lpstr>Vbulk_nom</vt:lpstr>
      <vt:lpstr>Vbulk_run</vt:lpstr>
      <vt:lpstr>Vbulk_valley</vt:lpstr>
      <vt:lpstr>Vbulkvalley</vt:lpstr>
      <vt:lpstr>Vbulkvalley_1</vt:lpstr>
      <vt:lpstr>Vbulkvalley_2</vt:lpstr>
      <vt:lpstr>Vbulkvalley_3</vt:lpstr>
      <vt:lpstr>Vbulkvalley_desired</vt:lpstr>
      <vt:lpstr>Vccr_max</vt:lpstr>
      <vt:lpstr>Vccr_min</vt:lpstr>
      <vt:lpstr>Vccr_nom</vt:lpstr>
      <vt:lpstr>Vcin_rated</vt:lpstr>
      <vt:lpstr>Vcstmax_max</vt:lpstr>
      <vt:lpstr>Vcstmax_min</vt:lpstr>
      <vt:lpstr>Vcstmax_nom</vt:lpstr>
      <vt:lpstr>VDbias_blocking</vt:lpstr>
      <vt:lpstr>VDD</vt:lpstr>
      <vt:lpstr>VDDoff</vt:lpstr>
      <vt:lpstr>VDDoff_max</vt:lpstr>
      <vt:lpstr>VDDoff_min</vt:lpstr>
      <vt:lpstr>VDDon</vt:lpstr>
      <vt:lpstr>Vdout_blocking</vt:lpstr>
      <vt:lpstr>Vdrain_clamp</vt:lpstr>
      <vt:lpstr>Vds</vt:lpstr>
      <vt:lpstr>VDS_derating</vt:lpstr>
      <vt:lpstr>Vds_min_rating</vt:lpstr>
      <vt:lpstr>Vf</vt:lpstr>
      <vt:lpstr>Vf_bridge</vt:lpstr>
      <vt:lpstr>Vf_opto</vt:lpstr>
      <vt:lpstr>Vfa</vt:lpstr>
      <vt:lpstr>Vflyback</vt:lpstr>
      <vt:lpstr>Vin_type</vt:lpstr>
      <vt:lpstr>Vinput_max</vt:lpstr>
      <vt:lpstr>Vinput_min</vt:lpstr>
      <vt:lpstr>Vinput_nom</vt:lpstr>
      <vt:lpstr>Vinput_run</vt:lpstr>
      <vt:lpstr>Vleakage</vt:lpstr>
      <vt:lpstr>Vout_cc</vt:lpstr>
      <vt:lpstr>Vout_cc_min</vt:lpstr>
      <vt:lpstr>Vout_cv</vt:lpstr>
      <vt:lpstr>Vout_delta</vt:lpstr>
      <vt:lpstr>Vout_ovp</vt:lpstr>
      <vt:lpstr>Voutripple</vt:lpstr>
      <vt:lpstr>Vovp_max</vt:lpstr>
      <vt:lpstr>Vovp_min</vt:lpstr>
      <vt:lpstr>Vovp_nom</vt:lpstr>
      <vt:lpstr>Vref431</vt:lpstr>
      <vt:lpstr>Vripple_target</vt:lpstr>
      <vt:lpstr>Vturnon_max</vt:lpstr>
      <vt:lpstr>Vturnon_min</vt:lpstr>
      <vt:lpstr>Vturnon_nom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a0799100</dc:creator>
  <cp:lastModifiedBy>DELL</cp:lastModifiedBy>
  <cp:lastPrinted>2016-03-09T09:36:05Z</cp:lastPrinted>
  <dcterms:created xsi:type="dcterms:W3CDTF">2013-07-09T14:24:03Z</dcterms:created>
  <dcterms:modified xsi:type="dcterms:W3CDTF">2020-03-06T13:43:41Z</dcterms:modified>
</cp:coreProperties>
</file>