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defaultThemeVersion="124226"/>
  <mc:AlternateContent xmlns:mc="http://schemas.openxmlformats.org/markup-compatibility/2006">
    <mc:Choice Requires="x15">
      <x15ac:absPath xmlns:x15ac="http://schemas.microsoft.com/office/spreadsheetml/2010/11/ac" url="C:\Users\Valerie\Desktop\TOMATES 02122019\REC 2019\"/>
    </mc:Choice>
  </mc:AlternateContent>
  <bookViews>
    <workbookView xWindow="8460" yWindow="-165" windowWidth="12885" windowHeight="10050" firstSheet="3" activeTab="4"/>
  </bookViews>
  <sheets>
    <sheet name="RENDEMENT VARIETAL" sheetId="34" r:id="rId1"/>
    <sheet name="RECAP RENDEMENT" sheetId="3" r:id="rId2"/>
    <sheet name="TC 607 S1" sheetId="48" r:id="rId3"/>
    <sheet name="TC SORENTINO S1" sheetId="52" r:id="rId4"/>
    <sheet name="AVALANTINO S2" sheetId="51" r:id="rId5"/>
    <sheet name="KOMEET S3" sheetId="19" r:id="rId6"/>
    <sheet name="CORALINA S4" sheetId="45" r:id="rId7"/>
  </sheets>
  <calcPr calcId="162913"/>
</workbook>
</file>

<file path=xl/calcChain.xml><?xml version="1.0" encoding="utf-8"?>
<calcChain xmlns="http://schemas.openxmlformats.org/spreadsheetml/2006/main">
  <c r="R184" i="51" l="1"/>
  <c r="U22" i="51" l="1"/>
  <c r="U40" i="19"/>
  <c r="U46" i="19"/>
  <c r="U52" i="19"/>
  <c r="U58" i="19"/>
  <c r="U64" i="19"/>
  <c r="U70" i="19"/>
  <c r="U76" i="19"/>
  <c r="U82" i="19"/>
  <c r="U88" i="19"/>
  <c r="U94" i="19"/>
  <c r="U100" i="19"/>
  <c r="U106" i="19"/>
  <c r="U112" i="19"/>
  <c r="U118" i="19"/>
  <c r="U124" i="19"/>
  <c r="U130" i="19"/>
  <c r="U136" i="19"/>
  <c r="U202" i="19"/>
  <c r="U208" i="19"/>
  <c r="U214" i="19"/>
  <c r="U220" i="19"/>
  <c r="U226" i="19"/>
  <c r="U4" i="19"/>
  <c r="U10" i="19"/>
  <c r="U16" i="19"/>
  <c r="U22" i="19"/>
  <c r="U34" i="19"/>
  <c r="U28" i="19"/>
  <c r="F129" i="45" l="1"/>
  <c r="C129" i="45"/>
  <c r="F128" i="45" l="1"/>
  <c r="C128" i="45"/>
  <c r="F128" i="19"/>
  <c r="P128" i="51"/>
  <c r="L128" i="51"/>
  <c r="F128" i="51"/>
  <c r="C128" i="51"/>
  <c r="C128" i="52"/>
  <c r="H128" i="48"/>
  <c r="F126" i="45" l="1"/>
  <c r="F125" i="45" l="1"/>
  <c r="F124" i="45"/>
  <c r="F126" i="19"/>
  <c r="F125" i="19"/>
  <c r="C124" i="19"/>
  <c r="F124" i="19"/>
  <c r="P126" i="51"/>
  <c r="L126" i="51"/>
  <c r="F126" i="51"/>
  <c r="C126" i="51"/>
  <c r="P125" i="51"/>
  <c r="L125" i="51"/>
  <c r="F125" i="51"/>
  <c r="C125" i="51"/>
  <c r="L124" i="51"/>
  <c r="F124" i="51"/>
  <c r="C124" i="51"/>
  <c r="H126" i="48"/>
  <c r="C126" i="48"/>
  <c r="C124" i="48"/>
  <c r="F122" i="45" l="1"/>
  <c r="C122" i="45"/>
  <c r="F122" i="19"/>
  <c r="L122" i="51"/>
  <c r="F122" i="51"/>
  <c r="C122" i="51"/>
  <c r="C122" i="52"/>
  <c r="H122" i="48"/>
  <c r="M28" i="45" l="1"/>
  <c r="M29" i="45"/>
  <c r="M30" i="45"/>
  <c r="M31" i="45"/>
  <c r="M32" i="45"/>
  <c r="M33" i="45"/>
  <c r="M34" i="45"/>
  <c r="M35" i="45"/>
  <c r="M36" i="45"/>
  <c r="M37" i="45"/>
  <c r="M38" i="45"/>
  <c r="M39" i="45"/>
  <c r="M40" i="45"/>
  <c r="M41" i="45"/>
  <c r="M42" i="45"/>
  <c r="M43" i="45"/>
  <c r="M44" i="45"/>
  <c r="M45" i="45"/>
  <c r="M46" i="45"/>
  <c r="M47" i="45"/>
  <c r="M48" i="45"/>
  <c r="M49" i="45"/>
  <c r="M50" i="45"/>
  <c r="M51" i="45"/>
  <c r="M52" i="45"/>
  <c r="M53" i="45"/>
  <c r="M54" i="45"/>
  <c r="M55" i="45"/>
  <c r="M56" i="45"/>
  <c r="M57" i="45"/>
  <c r="M58" i="45"/>
  <c r="M59" i="45"/>
  <c r="M60" i="45"/>
  <c r="M61" i="45"/>
  <c r="M62" i="45"/>
  <c r="M63" i="45"/>
  <c r="M64" i="45"/>
  <c r="M65" i="45"/>
  <c r="M66" i="45"/>
  <c r="M67" i="45"/>
  <c r="M68" i="45"/>
  <c r="M69" i="45"/>
  <c r="M70" i="45"/>
  <c r="M71" i="45"/>
  <c r="M72" i="45"/>
  <c r="M73" i="45"/>
  <c r="M74" i="45"/>
  <c r="M75" i="45"/>
  <c r="M76" i="45"/>
  <c r="M77" i="45"/>
  <c r="M78" i="45"/>
  <c r="M79" i="45"/>
  <c r="M80" i="45"/>
  <c r="M81" i="45"/>
  <c r="M82" i="45"/>
  <c r="M83" i="45"/>
  <c r="M84" i="45"/>
  <c r="M85" i="45"/>
  <c r="M86" i="45"/>
  <c r="M87" i="45"/>
  <c r="M88" i="45"/>
  <c r="M89" i="45"/>
  <c r="M90" i="45"/>
  <c r="M91" i="45"/>
  <c r="M92" i="45"/>
  <c r="M93" i="45"/>
  <c r="M94" i="45"/>
  <c r="M95" i="45"/>
  <c r="M96" i="45"/>
  <c r="M97" i="45"/>
  <c r="M98" i="45"/>
  <c r="M99" i="45"/>
  <c r="M100" i="45"/>
  <c r="M101" i="45"/>
  <c r="M102" i="45"/>
  <c r="M103" i="45"/>
  <c r="M104" i="45"/>
  <c r="M105" i="45"/>
  <c r="M106" i="45"/>
  <c r="M107" i="45"/>
  <c r="M108" i="45"/>
  <c r="M109" i="45"/>
  <c r="M110" i="45"/>
  <c r="M111" i="45"/>
  <c r="M112" i="45"/>
  <c r="M113" i="45"/>
  <c r="M114" i="45"/>
  <c r="M115" i="45"/>
  <c r="M116" i="45"/>
  <c r="M117" i="45"/>
  <c r="M118" i="45"/>
  <c r="M119" i="45"/>
  <c r="M120" i="45"/>
  <c r="M121" i="45"/>
  <c r="M123" i="45"/>
  <c r="M127" i="45"/>
  <c r="M130" i="45"/>
  <c r="M141" i="45"/>
  <c r="M143" i="45"/>
  <c r="M147" i="45"/>
  <c r="M153" i="45"/>
  <c r="M159" i="45"/>
  <c r="M165" i="45"/>
  <c r="M171" i="45"/>
  <c r="M177" i="45"/>
  <c r="M183" i="45"/>
  <c r="M193" i="45"/>
  <c r="M194" i="45"/>
  <c r="M195" i="45"/>
  <c r="M196" i="45"/>
  <c r="M198" i="45"/>
  <c r="M199" i="45"/>
  <c r="M200" i="45"/>
  <c r="M201" i="45"/>
  <c r="M202" i="45"/>
  <c r="M203" i="45"/>
  <c r="M204" i="45"/>
  <c r="M205" i="45"/>
  <c r="M206" i="45"/>
  <c r="M207" i="45"/>
  <c r="M208" i="45"/>
  <c r="M209" i="45"/>
  <c r="M210" i="45"/>
  <c r="M211" i="45"/>
  <c r="M212" i="45"/>
  <c r="M213" i="45"/>
  <c r="M214" i="45"/>
  <c r="M215" i="45"/>
  <c r="M216" i="45"/>
  <c r="M217" i="45"/>
  <c r="M218" i="45"/>
  <c r="M219" i="45"/>
  <c r="M220" i="45"/>
  <c r="M221" i="45"/>
  <c r="M222" i="45"/>
  <c r="M223" i="45"/>
  <c r="M224" i="45"/>
  <c r="M225" i="45"/>
  <c r="M226" i="45"/>
  <c r="M227" i="45"/>
  <c r="M228" i="45"/>
  <c r="M229" i="45"/>
  <c r="M230" i="45"/>
  <c r="M231" i="45"/>
  <c r="M22" i="45"/>
  <c r="M23" i="45"/>
  <c r="M24" i="45"/>
  <c r="M25" i="45"/>
  <c r="M26" i="45"/>
  <c r="M27" i="45"/>
  <c r="M5" i="45"/>
  <c r="M6" i="45"/>
  <c r="M7" i="45"/>
  <c r="M8" i="45"/>
  <c r="M9" i="45"/>
  <c r="M10" i="45"/>
  <c r="M11" i="45"/>
  <c r="M12" i="45"/>
  <c r="M13" i="45"/>
  <c r="M14" i="45"/>
  <c r="M15" i="45"/>
  <c r="M16" i="45"/>
  <c r="M17" i="45"/>
  <c r="M18" i="45"/>
  <c r="M19" i="45"/>
  <c r="M20" i="45"/>
  <c r="M21" i="45"/>
  <c r="M4" i="45"/>
  <c r="S231" i="19"/>
  <c r="S230" i="19"/>
  <c r="S229" i="19"/>
  <c r="S228" i="19"/>
  <c r="S227" i="19"/>
  <c r="S226" i="19"/>
  <c r="S225" i="19"/>
  <c r="S224" i="19"/>
  <c r="S223" i="19"/>
  <c r="S222" i="19"/>
  <c r="S221" i="19"/>
  <c r="S220" i="19"/>
  <c r="S219" i="19"/>
  <c r="S218" i="19"/>
  <c r="S217" i="19"/>
  <c r="S216" i="19"/>
  <c r="S215" i="19"/>
  <c r="S214" i="19"/>
  <c r="S213" i="19"/>
  <c r="S212" i="19"/>
  <c r="S211" i="19"/>
  <c r="S210" i="19"/>
  <c r="S209" i="19"/>
  <c r="S208" i="19"/>
  <c r="S207" i="19"/>
  <c r="S206" i="19"/>
  <c r="S205" i="19"/>
  <c r="S204" i="19"/>
  <c r="S203" i="19"/>
  <c r="S202" i="19"/>
  <c r="S201" i="19"/>
  <c r="S200" i="19"/>
  <c r="S196" i="19"/>
  <c r="S195" i="19"/>
  <c r="S194" i="19"/>
  <c r="S188" i="19"/>
  <c r="S184" i="19"/>
  <c r="S183" i="19"/>
  <c r="S182" i="19"/>
  <c r="S177" i="19"/>
  <c r="S171" i="19"/>
  <c r="S165" i="19"/>
  <c r="S159" i="19"/>
  <c r="S153" i="19"/>
  <c r="S147" i="19"/>
  <c r="S143" i="19"/>
  <c r="S141" i="19"/>
  <c r="S140" i="19"/>
  <c r="S139" i="19"/>
  <c r="S138" i="19"/>
  <c r="S135" i="19"/>
  <c r="S131" i="19"/>
  <c r="S127" i="19"/>
  <c r="S123" i="19"/>
  <c r="S120" i="19"/>
  <c r="S117" i="19"/>
  <c r="S114" i="19"/>
  <c r="S113" i="19"/>
  <c r="S112" i="19"/>
  <c r="S111" i="19"/>
  <c r="S110" i="19"/>
  <c r="S109" i="19"/>
  <c r="S108" i="19"/>
  <c r="S107" i="19"/>
  <c r="S106" i="19"/>
  <c r="S105" i="19"/>
  <c r="S104" i="19"/>
  <c r="S103" i="19"/>
  <c r="S102" i="19"/>
  <c r="S101" i="19"/>
  <c r="S100" i="19"/>
  <c r="S99" i="19"/>
  <c r="S98" i="19"/>
  <c r="S97" i="19"/>
  <c r="S96" i="19"/>
  <c r="S95" i="19"/>
  <c r="S94" i="19"/>
  <c r="S93" i="19"/>
  <c r="S92" i="19"/>
  <c r="S91" i="19"/>
  <c r="S90" i="19"/>
  <c r="S89" i="19"/>
  <c r="S88" i="19"/>
  <c r="S87" i="19"/>
  <c r="S86" i="19"/>
  <c r="S85" i="19"/>
  <c r="S84" i="19"/>
  <c r="S83" i="19"/>
  <c r="S82" i="19"/>
  <c r="S81" i="19"/>
  <c r="S80" i="19"/>
  <c r="S79" i="19"/>
  <c r="S78" i="19"/>
  <c r="S77" i="19"/>
  <c r="S76" i="19"/>
  <c r="S75" i="19"/>
  <c r="S74" i="19"/>
  <c r="S73" i="19"/>
  <c r="S72" i="19"/>
  <c r="S71" i="19"/>
  <c r="S70" i="19"/>
  <c r="S69" i="19"/>
  <c r="S68" i="19"/>
  <c r="S67" i="19"/>
  <c r="S66" i="19"/>
  <c r="S65" i="19"/>
  <c r="S64" i="19"/>
  <c r="S63" i="19"/>
  <c r="S62" i="19"/>
  <c r="S61" i="19"/>
  <c r="S60" i="19"/>
  <c r="S59" i="19"/>
  <c r="S58" i="19"/>
  <c r="S57" i="19"/>
  <c r="S56" i="19"/>
  <c r="S55" i="19"/>
  <c r="S54" i="19"/>
  <c r="S53" i="19"/>
  <c r="S52" i="19"/>
  <c r="S51" i="19"/>
  <c r="S50" i="19"/>
  <c r="S49" i="19"/>
  <c r="S48" i="19"/>
  <c r="S47" i="19"/>
  <c r="S46" i="19"/>
  <c r="S45" i="19"/>
  <c r="S44" i="19"/>
  <c r="S43" i="19"/>
  <c r="S42" i="19"/>
  <c r="S41" i="19"/>
  <c r="S40" i="19"/>
  <c r="S39" i="19"/>
  <c r="S38" i="19"/>
  <c r="S37" i="19"/>
  <c r="S36" i="19"/>
  <c r="S35" i="19"/>
  <c r="S34" i="19"/>
  <c r="S33" i="19"/>
  <c r="S32" i="19"/>
  <c r="S31" i="19"/>
  <c r="S30" i="19"/>
  <c r="S29" i="19"/>
  <c r="S28" i="19"/>
  <c r="S27" i="19"/>
  <c r="S26" i="19"/>
  <c r="S25" i="19"/>
  <c r="S24" i="19"/>
  <c r="S23" i="19"/>
  <c r="S22" i="19"/>
  <c r="S21" i="19"/>
  <c r="S20" i="19"/>
  <c r="S19" i="19"/>
  <c r="S18" i="19"/>
  <c r="S17" i="19"/>
  <c r="S16" i="19"/>
  <c r="S15" i="19"/>
  <c r="S14" i="19"/>
  <c r="S13" i="19"/>
  <c r="S12" i="19"/>
  <c r="S11" i="19"/>
  <c r="S10" i="19"/>
  <c r="S9" i="19"/>
  <c r="S8" i="19"/>
  <c r="S7" i="19"/>
  <c r="S6" i="19"/>
  <c r="S5" i="19"/>
  <c r="S4" i="19"/>
  <c r="S231" i="51"/>
  <c r="S230" i="51"/>
  <c r="S229" i="51"/>
  <c r="S228" i="51"/>
  <c r="S227" i="51"/>
  <c r="S226" i="51"/>
  <c r="S225" i="51"/>
  <c r="S224" i="51"/>
  <c r="S223" i="51"/>
  <c r="S222" i="51"/>
  <c r="S221" i="51"/>
  <c r="S220" i="51"/>
  <c r="S219" i="51"/>
  <c r="S218" i="51"/>
  <c r="S217" i="51"/>
  <c r="S216" i="51"/>
  <c r="S215" i="51"/>
  <c r="S214" i="51"/>
  <c r="S213" i="51"/>
  <c r="S212" i="51"/>
  <c r="S211" i="51"/>
  <c r="S210" i="51"/>
  <c r="S209" i="51"/>
  <c r="S208" i="51"/>
  <c r="S207" i="51"/>
  <c r="S206" i="51"/>
  <c r="S205" i="51"/>
  <c r="S204" i="51"/>
  <c r="S203" i="51"/>
  <c r="S202" i="51"/>
  <c r="S201" i="51"/>
  <c r="S200" i="51"/>
  <c r="S199" i="51"/>
  <c r="S194" i="51"/>
  <c r="S183" i="51"/>
  <c r="S177" i="51"/>
  <c r="S171" i="51"/>
  <c r="S165" i="51"/>
  <c r="S153" i="51"/>
  <c r="S147" i="51"/>
  <c r="S141" i="51"/>
  <c r="S135" i="51"/>
  <c r="S127" i="51"/>
  <c r="S123" i="51"/>
  <c r="S117" i="51"/>
  <c r="S111" i="51"/>
  <c r="S105" i="51"/>
  <c r="S99" i="51"/>
  <c r="S81" i="51"/>
  <c r="S75" i="51"/>
  <c r="S69" i="51"/>
  <c r="S63" i="51"/>
  <c r="S45" i="51"/>
  <c r="S27" i="51"/>
  <c r="S21" i="51"/>
  <c r="S20" i="51"/>
  <c r="S19" i="51"/>
  <c r="S18" i="51"/>
  <c r="S17" i="51"/>
  <c r="S16" i="51"/>
  <c r="S15" i="51"/>
  <c r="S14" i="51"/>
  <c r="S13" i="51"/>
  <c r="S12" i="51"/>
  <c r="S11" i="51"/>
  <c r="S10" i="51"/>
  <c r="S9" i="51"/>
  <c r="S8" i="51"/>
  <c r="S7" i="51"/>
  <c r="S6" i="51"/>
  <c r="S5" i="51"/>
  <c r="S4" i="51"/>
  <c r="Z5" i="52" l="1"/>
  <c r="Z6" i="52"/>
  <c r="Z7" i="52"/>
  <c r="Z8" i="52"/>
  <c r="Z9" i="52"/>
  <c r="Z10" i="52"/>
  <c r="Z11" i="52"/>
  <c r="Z12" i="52"/>
  <c r="Z13" i="52"/>
  <c r="Z14" i="52"/>
  <c r="Z15" i="52"/>
  <c r="Z16" i="52"/>
  <c r="Z17" i="52"/>
  <c r="Z18" i="52"/>
  <c r="Z19" i="52"/>
  <c r="Z20" i="52"/>
  <c r="Z21" i="52"/>
  <c r="Z22" i="52"/>
  <c r="Z23" i="52"/>
  <c r="Z24" i="52"/>
  <c r="Z25" i="52"/>
  <c r="Z26" i="52"/>
  <c r="Z27" i="52"/>
  <c r="Z28" i="52"/>
  <c r="Z29" i="52"/>
  <c r="Z30" i="52"/>
  <c r="Z31" i="52"/>
  <c r="Z32" i="52"/>
  <c r="Z33" i="52"/>
  <c r="Z34" i="52"/>
  <c r="Z35" i="52"/>
  <c r="Z36" i="52"/>
  <c r="Z37" i="52"/>
  <c r="Z38" i="52"/>
  <c r="Z39" i="52"/>
  <c r="Z40" i="52"/>
  <c r="Z41" i="52"/>
  <c r="Z42" i="52"/>
  <c r="Z43" i="52"/>
  <c r="Z44" i="52"/>
  <c r="Z45" i="52"/>
  <c r="Z46" i="52"/>
  <c r="Z47" i="52"/>
  <c r="Z48" i="52"/>
  <c r="Z49" i="52"/>
  <c r="Z50" i="52"/>
  <c r="Z51" i="52"/>
  <c r="Z52" i="52"/>
  <c r="Z53" i="52"/>
  <c r="Z54" i="52"/>
  <c r="Z55" i="52"/>
  <c r="Z56" i="52"/>
  <c r="Z57" i="52"/>
  <c r="Z58" i="52"/>
  <c r="Z59" i="52"/>
  <c r="Z60" i="52"/>
  <c r="Z61" i="52"/>
  <c r="Z62" i="52"/>
  <c r="Z63" i="52"/>
  <c r="Z64" i="52"/>
  <c r="Z65" i="52"/>
  <c r="Z66" i="52"/>
  <c r="Z67" i="52"/>
  <c r="Z68" i="52"/>
  <c r="Z69" i="52"/>
  <c r="Z70" i="52"/>
  <c r="Z71" i="52"/>
  <c r="Z72" i="52"/>
  <c r="Z73" i="52"/>
  <c r="Z74" i="52"/>
  <c r="Z75" i="52"/>
  <c r="Z76" i="52"/>
  <c r="Z77" i="52"/>
  <c r="Z78" i="52"/>
  <c r="Z79" i="52"/>
  <c r="Z80" i="52"/>
  <c r="Z81" i="52"/>
  <c r="Z82" i="52"/>
  <c r="Z83" i="52"/>
  <c r="Z84" i="52"/>
  <c r="Z85" i="52"/>
  <c r="Z86" i="52"/>
  <c r="Z87" i="52"/>
  <c r="Z88" i="52"/>
  <c r="Z89" i="52"/>
  <c r="Z90" i="52"/>
  <c r="Z91" i="52"/>
  <c r="Z92" i="52"/>
  <c r="Z93" i="52"/>
  <c r="Z94" i="52"/>
  <c r="Z95" i="52"/>
  <c r="Z96" i="52"/>
  <c r="Z97" i="52"/>
  <c r="Z98" i="52"/>
  <c r="Z99" i="52"/>
  <c r="Z100" i="52"/>
  <c r="Z101" i="52"/>
  <c r="Z102" i="52"/>
  <c r="Z103" i="52"/>
  <c r="Z104" i="52"/>
  <c r="Z105" i="52"/>
  <c r="Z106" i="52"/>
  <c r="Z107" i="52"/>
  <c r="Z108" i="52"/>
  <c r="Z109" i="52"/>
  <c r="Z110" i="52"/>
  <c r="Z111" i="52"/>
  <c r="Z112" i="52"/>
  <c r="Z113" i="52"/>
  <c r="Z114" i="52"/>
  <c r="Z115" i="52"/>
  <c r="Z116" i="52"/>
  <c r="Z117" i="52"/>
  <c r="Z118" i="52"/>
  <c r="Z119" i="52"/>
  <c r="Z120" i="52"/>
  <c r="Z121" i="52"/>
  <c r="Z122" i="52"/>
  <c r="Z123" i="52"/>
  <c r="Z124" i="52"/>
  <c r="Z125" i="52"/>
  <c r="Z126" i="52"/>
  <c r="Z127" i="52"/>
  <c r="Z128" i="52"/>
  <c r="Z129" i="52"/>
  <c r="Z130" i="52"/>
  <c r="Z131" i="52"/>
  <c r="Z132" i="52"/>
  <c r="Z133" i="52"/>
  <c r="Z134" i="52"/>
  <c r="Z135" i="52"/>
  <c r="Z136" i="52"/>
  <c r="Z137" i="52"/>
  <c r="Z138" i="52"/>
  <c r="Z139" i="52"/>
  <c r="Z140" i="52"/>
  <c r="Z141" i="52"/>
  <c r="Z142" i="52"/>
  <c r="Z143" i="52"/>
  <c r="Z144" i="52"/>
  <c r="Z145" i="52"/>
  <c r="Z146" i="52"/>
  <c r="Z147" i="52"/>
  <c r="Z148" i="52"/>
  <c r="Z149" i="52"/>
  <c r="Z150" i="52"/>
  <c r="Z151" i="52"/>
  <c r="Z152" i="52"/>
  <c r="Z153" i="52"/>
  <c r="Z154" i="52"/>
  <c r="Z155" i="52"/>
  <c r="Z156" i="52"/>
  <c r="Z157" i="52"/>
  <c r="Z158" i="52"/>
  <c r="Z159" i="52"/>
  <c r="Z160" i="52"/>
  <c r="Z161" i="52"/>
  <c r="Z162" i="52"/>
  <c r="Z163" i="52"/>
  <c r="Z164" i="52"/>
  <c r="Z165" i="52"/>
  <c r="Z166" i="52"/>
  <c r="Z167" i="52"/>
  <c r="Z168" i="52"/>
  <c r="Z169" i="52"/>
  <c r="Z170" i="52"/>
  <c r="Z171" i="52"/>
  <c r="Z172" i="52"/>
  <c r="Z173" i="52"/>
  <c r="Z174" i="52"/>
  <c r="Z175" i="52"/>
  <c r="Z176" i="52"/>
  <c r="Z177" i="52"/>
  <c r="Z178" i="52"/>
  <c r="Z179" i="52"/>
  <c r="Z180" i="52"/>
  <c r="Z181" i="52"/>
  <c r="Z182" i="52"/>
  <c r="Z183" i="52"/>
  <c r="Z184" i="52"/>
  <c r="Z185" i="52"/>
  <c r="Z186" i="52"/>
  <c r="Z187" i="52"/>
  <c r="Z188" i="52"/>
  <c r="Z189" i="52"/>
  <c r="Z190" i="52"/>
  <c r="Z191" i="52"/>
  <c r="Z192" i="52"/>
  <c r="Z193" i="52"/>
  <c r="Z194" i="52"/>
  <c r="Z195" i="52"/>
  <c r="Z196" i="52"/>
  <c r="Z197" i="52"/>
  <c r="Z198" i="52"/>
  <c r="Z199" i="52"/>
  <c r="Z200" i="52"/>
  <c r="Z201" i="52"/>
  <c r="Z202" i="52"/>
  <c r="Z203" i="52"/>
  <c r="Z204" i="52"/>
  <c r="Z205" i="52"/>
  <c r="Z206" i="52"/>
  <c r="Z207" i="52"/>
  <c r="Z208" i="52"/>
  <c r="Z209" i="52"/>
  <c r="Z210" i="52"/>
  <c r="Z211" i="52"/>
  <c r="Z212" i="52"/>
  <c r="Z213" i="52"/>
  <c r="Z214" i="52"/>
  <c r="Z215" i="52"/>
  <c r="Z216" i="52"/>
  <c r="Z217" i="52"/>
  <c r="Z218" i="52"/>
  <c r="Z219" i="52"/>
  <c r="Z220" i="52"/>
  <c r="Z221" i="52"/>
  <c r="Z222" i="52"/>
  <c r="Z223" i="52"/>
  <c r="Z224" i="52"/>
  <c r="Z225" i="52"/>
  <c r="Z226" i="52"/>
  <c r="Z227" i="52"/>
  <c r="Z228" i="52"/>
  <c r="Z229" i="52"/>
  <c r="Z230" i="52"/>
  <c r="Z231" i="52"/>
  <c r="Z4" i="52"/>
  <c r="Y5" i="52"/>
  <c r="Y6" i="52"/>
  <c r="Y7" i="52"/>
  <c r="Y8" i="52"/>
  <c r="Y9" i="52"/>
  <c r="Y10" i="52"/>
  <c r="Y11" i="52"/>
  <c r="Y12" i="52"/>
  <c r="Y13" i="52"/>
  <c r="Y14" i="52"/>
  <c r="Y15" i="52"/>
  <c r="Y16" i="52"/>
  <c r="Y17" i="52"/>
  <c r="Y18" i="52"/>
  <c r="Y19" i="52"/>
  <c r="Y20" i="52"/>
  <c r="Y21" i="52"/>
  <c r="Y22" i="52"/>
  <c r="Y23" i="52"/>
  <c r="Y24" i="52"/>
  <c r="Y25" i="52"/>
  <c r="Y26" i="52"/>
  <c r="Y27" i="52"/>
  <c r="Y28" i="52"/>
  <c r="Y29" i="52"/>
  <c r="Y30" i="52"/>
  <c r="Y31" i="52"/>
  <c r="Y32" i="52"/>
  <c r="Y33" i="52"/>
  <c r="Y34" i="52"/>
  <c r="Y35" i="52"/>
  <c r="Y36" i="52"/>
  <c r="Y37" i="52"/>
  <c r="Y38" i="52"/>
  <c r="Y39" i="52"/>
  <c r="Y40" i="52"/>
  <c r="Y41" i="52"/>
  <c r="Y42" i="52"/>
  <c r="Y43" i="52"/>
  <c r="Y44" i="52"/>
  <c r="Y45" i="52"/>
  <c r="Y46" i="52"/>
  <c r="Y47" i="52"/>
  <c r="Y48" i="52"/>
  <c r="Y49" i="52"/>
  <c r="Y50" i="52"/>
  <c r="Y51" i="52"/>
  <c r="Y52" i="52"/>
  <c r="Y53" i="52"/>
  <c r="Y54" i="52"/>
  <c r="Y55" i="52"/>
  <c r="Y56" i="52"/>
  <c r="Y57" i="52"/>
  <c r="Y58" i="52"/>
  <c r="Y59" i="52"/>
  <c r="Y60" i="52"/>
  <c r="Y61" i="52"/>
  <c r="Y62" i="52"/>
  <c r="Y63" i="52"/>
  <c r="Y64" i="52"/>
  <c r="Y65" i="52"/>
  <c r="Y66" i="52"/>
  <c r="Y67" i="52"/>
  <c r="Y68" i="52"/>
  <c r="Y69" i="52"/>
  <c r="Y70" i="52"/>
  <c r="Y71" i="52"/>
  <c r="Y72" i="52"/>
  <c r="Y73" i="52"/>
  <c r="Y74" i="52"/>
  <c r="Y75" i="52"/>
  <c r="Y76" i="52"/>
  <c r="Y77" i="52"/>
  <c r="Y78" i="52"/>
  <c r="Y79" i="52"/>
  <c r="Y80" i="52"/>
  <c r="Y81" i="52"/>
  <c r="Y82" i="52"/>
  <c r="Y83" i="52"/>
  <c r="Y84" i="52"/>
  <c r="Y85" i="52"/>
  <c r="Y86" i="52"/>
  <c r="Y87" i="52"/>
  <c r="Y88" i="52"/>
  <c r="Y89" i="52"/>
  <c r="Y90" i="52"/>
  <c r="Y91" i="52"/>
  <c r="Y92" i="52"/>
  <c r="Y93" i="52"/>
  <c r="Y94" i="52"/>
  <c r="Y95" i="52"/>
  <c r="Y96" i="52"/>
  <c r="Y97" i="52"/>
  <c r="Y98" i="52"/>
  <c r="Y99" i="52"/>
  <c r="Y100" i="52"/>
  <c r="Y101" i="52"/>
  <c r="Y102" i="52"/>
  <c r="Y103" i="52"/>
  <c r="Y104" i="52"/>
  <c r="Y105" i="52"/>
  <c r="Y106" i="52"/>
  <c r="Y107" i="52"/>
  <c r="Y108" i="52"/>
  <c r="Y109" i="52"/>
  <c r="Y110" i="52"/>
  <c r="Y111" i="52"/>
  <c r="Y112" i="52"/>
  <c r="Y113" i="52"/>
  <c r="Y114" i="52"/>
  <c r="Y115" i="52"/>
  <c r="Y116" i="52"/>
  <c r="Y117" i="52"/>
  <c r="Y118" i="52"/>
  <c r="Y119" i="52"/>
  <c r="Y120" i="52"/>
  <c r="Y121" i="52"/>
  <c r="Y122" i="52"/>
  <c r="Y123" i="52"/>
  <c r="Y124" i="52"/>
  <c r="Y125" i="52"/>
  <c r="Y126" i="52"/>
  <c r="Y127" i="52"/>
  <c r="Y128" i="52"/>
  <c r="Y129" i="52"/>
  <c r="Y130" i="52"/>
  <c r="Y131" i="52"/>
  <c r="Y132" i="52"/>
  <c r="Y133" i="52"/>
  <c r="Y134" i="52"/>
  <c r="Y135" i="52"/>
  <c r="Y136" i="52"/>
  <c r="Y137" i="52"/>
  <c r="Y138" i="52"/>
  <c r="Y139" i="52"/>
  <c r="Y140" i="52"/>
  <c r="Y141" i="52"/>
  <c r="Y142" i="52"/>
  <c r="Y143" i="52"/>
  <c r="Y144" i="52"/>
  <c r="Y145" i="52"/>
  <c r="Y146" i="52"/>
  <c r="Y147" i="52"/>
  <c r="Y148" i="52"/>
  <c r="Y149" i="52"/>
  <c r="Y150" i="52"/>
  <c r="Y151" i="52"/>
  <c r="Y152" i="52"/>
  <c r="Y153" i="52"/>
  <c r="Y154" i="52"/>
  <c r="Y155" i="52"/>
  <c r="Y156" i="52"/>
  <c r="Y157" i="52"/>
  <c r="Y158" i="52"/>
  <c r="Y159" i="52"/>
  <c r="Y160" i="52"/>
  <c r="Y161" i="52"/>
  <c r="Y162" i="52"/>
  <c r="Y163" i="52"/>
  <c r="Y164" i="52"/>
  <c r="Y165" i="52"/>
  <c r="Y166" i="52"/>
  <c r="Y167" i="52"/>
  <c r="Y168" i="52"/>
  <c r="Y169" i="52"/>
  <c r="Y170" i="52"/>
  <c r="Y171" i="52"/>
  <c r="Y172" i="52"/>
  <c r="Y173" i="52"/>
  <c r="Y174" i="52"/>
  <c r="Y175" i="52"/>
  <c r="Y176" i="52"/>
  <c r="Y177" i="52"/>
  <c r="Y178" i="52"/>
  <c r="Y179" i="52"/>
  <c r="Y180" i="52"/>
  <c r="Y181" i="52"/>
  <c r="Y182" i="52"/>
  <c r="Y183" i="52"/>
  <c r="Y184" i="52"/>
  <c r="Y185" i="52"/>
  <c r="Y186" i="52"/>
  <c r="Y187" i="52"/>
  <c r="Y188" i="52"/>
  <c r="Y189" i="52"/>
  <c r="Y190" i="52"/>
  <c r="Y191" i="52"/>
  <c r="Y192" i="52"/>
  <c r="Y193" i="52"/>
  <c r="Y194" i="52"/>
  <c r="Y195" i="52"/>
  <c r="Y196" i="52"/>
  <c r="Y197" i="52"/>
  <c r="Y198" i="52"/>
  <c r="Y199" i="52"/>
  <c r="Y200" i="52"/>
  <c r="Y201" i="52"/>
  <c r="Y202" i="52"/>
  <c r="Y203" i="52"/>
  <c r="Y204" i="52"/>
  <c r="Y205" i="52"/>
  <c r="Y206" i="52"/>
  <c r="Y207" i="52"/>
  <c r="Y208" i="52"/>
  <c r="Y209" i="52"/>
  <c r="Y210" i="52"/>
  <c r="Y211" i="52"/>
  <c r="Y212" i="52"/>
  <c r="Y213" i="52"/>
  <c r="Y214" i="52"/>
  <c r="Y215" i="52"/>
  <c r="Y216" i="52"/>
  <c r="Y217" i="52"/>
  <c r="Y218" i="52"/>
  <c r="Y219" i="52"/>
  <c r="Y220" i="52"/>
  <c r="Y221" i="52"/>
  <c r="Y222" i="52"/>
  <c r="Y223" i="52"/>
  <c r="Y224" i="52"/>
  <c r="Y225" i="52"/>
  <c r="Y226" i="52"/>
  <c r="Y227" i="52"/>
  <c r="Y228" i="52"/>
  <c r="Y229" i="52"/>
  <c r="Y230" i="52"/>
  <c r="Y231" i="52"/>
  <c r="Y4" i="52"/>
  <c r="X5" i="52"/>
  <c r="X6" i="52"/>
  <c r="X7" i="52"/>
  <c r="X8" i="52"/>
  <c r="X9" i="52"/>
  <c r="X10" i="52"/>
  <c r="X11" i="52"/>
  <c r="X12" i="52"/>
  <c r="X13" i="52"/>
  <c r="X14" i="52"/>
  <c r="X15" i="52"/>
  <c r="X16" i="52"/>
  <c r="X17" i="52"/>
  <c r="X18" i="52"/>
  <c r="X19" i="52"/>
  <c r="X20" i="52"/>
  <c r="X21" i="52"/>
  <c r="X22" i="52"/>
  <c r="X23" i="52"/>
  <c r="X24" i="52"/>
  <c r="X25" i="52"/>
  <c r="X26" i="52"/>
  <c r="X27" i="52"/>
  <c r="X28" i="52"/>
  <c r="X29" i="52"/>
  <c r="X30" i="52"/>
  <c r="X31" i="52"/>
  <c r="X32" i="52"/>
  <c r="X33" i="52"/>
  <c r="X34" i="52"/>
  <c r="X35" i="52"/>
  <c r="X36" i="52"/>
  <c r="X37" i="52"/>
  <c r="X38" i="52"/>
  <c r="X39" i="52"/>
  <c r="X40" i="52"/>
  <c r="X41" i="52"/>
  <c r="X42" i="52"/>
  <c r="X43" i="52"/>
  <c r="X44" i="52"/>
  <c r="X45" i="52"/>
  <c r="X46" i="52"/>
  <c r="X47" i="52"/>
  <c r="X48" i="52"/>
  <c r="X49" i="52"/>
  <c r="X50" i="52"/>
  <c r="X51" i="52"/>
  <c r="X52" i="52"/>
  <c r="X53" i="52"/>
  <c r="X54" i="52"/>
  <c r="X55" i="52"/>
  <c r="X56" i="52"/>
  <c r="X57" i="52"/>
  <c r="X58" i="52"/>
  <c r="X59" i="52"/>
  <c r="X60" i="52"/>
  <c r="X61" i="52"/>
  <c r="X62" i="52"/>
  <c r="X63" i="52"/>
  <c r="X64" i="52"/>
  <c r="X65" i="52"/>
  <c r="X66" i="52"/>
  <c r="X67" i="52"/>
  <c r="X68" i="52"/>
  <c r="X69" i="52"/>
  <c r="X70" i="52"/>
  <c r="X71" i="52"/>
  <c r="X72" i="52"/>
  <c r="X73" i="52"/>
  <c r="X74" i="52"/>
  <c r="X75" i="52"/>
  <c r="X76" i="52"/>
  <c r="X77" i="52"/>
  <c r="X78" i="52"/>
  <c r="X79" i="52"/>
  <c r="X80" i="52"/>
  <c r="X81" i="52"/>
  <c r="X82" i="52"/>
  <c r="X83" i="52"/>
  <c r="X84" i="52"/>
  <c r="X85" i="52"/>
  <c r="X86" i="52"/>
  <c r="X87" i="52"/>
  <c r="X88" i="52"/>
  <c r="X89" i="52"/>
  <c r="X90" i="52"/>
  <c r="X91" i="52"/>
  <c r="X92" i="52"/>
  <c r="X93" i="52"/>
  <c r="X94" i="52"/>
  <c r="X95" i="52"/>
  <c r="X96" i="52"/>
  <c r="X97" i="52"/>
  <c r="X98" i="52"/>
  <c r="X99" i="52"/>
  <c r="X100" i="52"/>
  <c r="X101" i="52"/>
  <c r="X102" i="52"/>
  <c r="X103" i="52"/>
  <c r="X104" i="52"/>
  <c r="X105" i="52"/>
  <c r="X106" i="52"/>
  <c r="X107" i="52"/>
  <c r="X108" i="52"/>
  <c r="X109" i="52"/>
  <c r="X110" i="52"/>
  <c r="X111" i="52"/>
  <c r="X112" i="52"/>
  <c r="X113" i="52"/>
  <c r="X114" i="52"/>
  <c r="X115" i="52"/>
  <c r="X116" i="52"/>
  <c r="X117" i="52"/>
  <c r="X118" i="52"/>
  <c r="X119" i="52"/>
  <c r="X120" i="52"/>
  <c r="X121" i="52"/>
  <c r="X123" i="52"/>
  <c r="X124" i="52"/>
  <c r="X125" i="52"/>
  <c r="X126" i="52"/>
  <c r="X127" i="52"/>
  <c r="X129" i="52"/>
  <c r="X130" i="52"/>
  <c r="X131" i="52"/>
  <c r="X132" i="52"/>
  <c r="X133" i="52"/>
  <c r="X134" i="52"/>
  <c r="X135" i="52"/>
  <c r="X138" i="52"/>
  <c r="X139" i="52"/>
  <c r="X140" i="52"/>
  <c r="X141" i="52"/>
  <c r="X142" i="52"/>
  <c r="X143" i="52"/>
  <c r="X144" i="52"/>
  <c r="X147" i="52"/>
  <c r="X148" i="52"/>
  <c r="X149" i="52"/>
  <c r="X150" i="52"/>
  <c r="X153" i="52"/>
  <c r="X154" i="52"/>
  <c r="X155" i="52"/>
  <c r="X156" i="52"/>
  <c r="X159" i="52"/>
  <c r="X160" i="52"/>
  <c r="X161" i="52"/>
  <c r="X162" i="52"/>
  <c r="X164" i="52"/>
  <c r="X165" i="52"/>
  <c r="X166" i="52"/>
  <c r="X167" i="52"/>
  <c r="X168" i="52"/>
  <c r="X170" i="52"/>
  <c r="X171" i="52"/>
  <c r="X172" i="52"/>
  <c r="X173" i="52"/>
  <c r="X174" i="52"/>
  <c r="X175" i="52"/>
  <c r="X176" i="52"/>
  <c r="X177" i="52"/>
  <c r="X179" i="52"/>
  <c r="X180" i="52"/>
  <c r="X181" i="52"/>
  <c r="X182" i="52"/>
  <c r="X183" i="52"/>
  <c r="X184" i="52"/>
  <c r="X185" i="52"/>
  <c r="X186" i="52"/>
  <c r="X188" i="52"/>
  <c r="X189" i="52"/>
  <c r="X190" i="52"/>
  <c r="X191" i="52"/>
  <c r="X192" i="52"/>
  <c r="X193" i="52"/>
  <c r="X194" i="52"/>
  <c r="X195" i="52"/>
  <c r="X196" i="52"/>
  <c r="X197" i="52"/>
  <c r="X198" i="52"/>
  <c r="X199" i="52"/>
  <c r="X200" i="52"/>
  <c r="X201" i="52"/>
  <c r="X202" i="52"/>
  <c r="X203" i="52"/>
  <c r="X204" i="52"/>
  <c r="X205" i="52"/>
  <c r="X206" i="52"/>
  <c r="X207" i="52"/>
  <c r="X208" i="52"/>
  <c r="X209" i="52"/>
  <c r="X210" i="52"/>
  <c r="X211" i="52"/>
  <c r="X212" i="52"/>
  <c r="X213" i="52"/>
  <c r="X214" i="52"/>
  <c r="X215" i="52"/>
  <c r="X216" i="52"/>
  <c r="X217" i="52"/>
  <c r="X218" i="52"/>
  <c r="X219" i="52"/>
  <c r="X220" i="52"/>
  <c r="X221" i="52"/>
  <c r="X222" i="52"/>
  <c r="X223" i="52"/>
  <c r="X224" i="52"/>
  <c r="X225" i="52"/>
  <c r="X226" i="52"/>
  <c r="X227" i="52"/>
  <c r="X228" i="52"/>
  <c r="X229" i="52"/>
  <c r="X230" i="52"/>
  <c r="X231" i="52"/>
  <c r="X4" i="52"/>
  <c r="W5" i="52"/>
  <c r="W6" i="52"/>
  <c r="W7" i="52"/>
  <c r="W8" i="52"/>
  <c r="W9" i="52"/>
  <c r="W10" i="52"/>
  <c r="W11" i="52"/>
  <c r="W12" i="52"/>
  <c r="W13" i="52"/>
  <c r="W14" i="52"/>
  <c r="W15" i="52"/>
  <c r="W16" i="52"/>
  <c r="W17" i="52"/>
  <c r="W18" i="52"/>
  <c r="W19" i="52"/>
  <c r="W20" i="52"/>
  <c r="W21" i="52"/>
  <c r="W22" i="52"/>
  <c r="W23" i="52"/>
  <c r="W24" i="52"/>
  <c r="W25" i="52"/>
  <c r="W26" i="52"/>
  <c r="W27" i="52"/>
  <c r="W28" i="52"/>
  <c r="W29" i="52"/>
  <c r="W30" i="52"/>
  <c r="W31" i="52"/>
  <c r="W32" i="52"/>
  <c r="W33" i="52"/>
  <c r="W34" i="52"/>
  <c r="W35" i="52"/>
  <c r="W36" i="52"/>
  <c r="W37" i="52"/>
  <c r="W38" i="52"/>
  <c r="W39" i="52"/>
  <c r="W40" i="52"/>
  <c r="W41" i="52"/>
  <c r="W42" i="52"/>
  <c r="W43" i="52"/>
  <c r="W44" i="52"/>
  <c r="W45" i="52"/>
  <c r="W46" i="52"/>
  <c r="W47" i="52"/>
  <c r="W48" i="52"/>
  <c r="W49" i="52"/>
  <c r="W50" i="52"/>
  <c r="W51" i="52"/>
  <c r="W52" i="52"/>
  <c r="W53" i="52"/>
  <c r="W54" i="52"/>
  <c r="W55" i="52"/>
  <c r="W56" i="52"/>
  <c r="W57" i="52"/>
  <c r="W58" i="52"/>
  <c r="W59" i="52"/>
  <c r="W60" i="52"/>
  <c r="W61" i="52"/>
  <c r="W62" i="52"/>
  <c r="W63" i="52"/>
  <c r="W64" i="52"/>
  <c r="W65" i="52"/>
  <c r="W66" i="52"/>
  <c r="W67" i="52"/>
  <c r="W68" i="52"/>
  <c r="W69" i="52"/>
  <c r="W70" i="52"/>
  <c r="W71" i="52"/>
  <c r="W72" i="52"/>
  <c r="W73" i="52"/>
  <c r="W74" i="52"/>
  <c r="W75" i="52"/>
  <c r="W76" i="52"/>
  <c r="W77" i="52"/>
  <c r="W78" i="52"/>
  <c r="W79" i="52"/>
  <c r="W80" i="52"/>
  <c r="W81" i="52"/>
  <c r="W82" i="52"/>
  <c r="W83" i="52"/>
  <c r="W84" i="52"/>
  <c r="W85" i="52"/>
  <c r="W86" i="52"/>
  <c r="W87" i="52"/>
  <c r="W88" i="52"/>
  <c r="W89" i="52"/>
  <c r="W90" i="52"/>
  <c r="W91" i="52"/>
  <c r="W92" i="52"/>
  <c r="W93" i="52"/>
  <c r="W94" i="52"/>
  <c r="W95" i="52"/>
  <c r="W96" i="52"/>
  <c r="W97" i="52"/>
  <c r="W98" i="52"/>
  <c r="W99" i="52"/>
  <c r="W100" i="52"/>
  <c r="W101" i="52"/>
  <c r="W102" i="52"/>
  <c r="W103" i="52"/>
  <c r="W104" i="52"/>
  <c r="W105" i="52"/>
  <c r="W106" i="52"/>
  <c r="W107" i="52"/>
  <c r="W108" i="52"/>
  <c r="W109" i="52"/>
  <c r="W110" i="52"/>
  <c r="W111" i="52"/>
  <c r="W112" i="52"/>
  <c r="W113" i="52"/>
  <c r="W114" i="52"/>
  <c r="W115" i="52"/>
  <c r="W116" i="52"/>
  <c r="W117" i="52"/>
  <c r="W118" i="52"/>
  <c r="W119" i="52"/>
  <c r="W120" i="52"/>
  <c r="W121" i="52"/>
  <c r="W123" i="52"/>
  <c r="W124" i="52"/>
  <c r="W125" i="52"/>
  <c r="W126" i="52"/>
  <c r="W127" i="52"/>
  <c r="W129" i="52"/>
  <c r="W130" i="52"/>
  <c r="W131" i="52"/>
  <c r="W132" i="52"/>
  <c r="W133" i="52"/>
  <c r="W134" i="52"/>
  <c r="W135" i="52"/>
  <c r="W138" i="52"/>
  <c r="W139" i="52"/>
  <c r="W140" i="52"/>
  <c r="W141" i="52"/>
  <c r="W142" i="52"/>
  <c r="W143" i="52"/>
  <c r="W144" i="52"/>
  <c r="W147" i="52"/>
  <c r="W148" i="52"/>
  <c r="W149" i="52"/>
  <c r="W150" i="52"/>
  <c r="W153" i="52"/>
  <c r="W154" i="52"/>
  <c r="W155" i="52"/>
  <c r="W156" i="52"/>
  <c r="W159" i="52"/>
  <c r="W160" i="52"/>
  <c r="W161" i="52"/>
  <c r="W162" i="52"/>
  <c r="W164" i="52"/>
  <c r="W165" i="52"/>
  <c r="W166" i="52"/>
  <c r="W167" i="52"/>
  <c r="W168" i="52"/>
  <c r="W170" i="52"/>
  <c r="W171" i="52"/>
  <c r="W172" i="52"/>
  <c r="W173" i="52"/>
  <c r="W174" i="52"/>
  <c r="W175" i="52"/>
  <c r="W176" i="52"/>
  <c r="W177" i="52"/>
  <c r="W179" i="52"/>
  <c r="W180" i="52"/>
  <c r="W181" i="52"/>
  <c r="W182" i="52"/>
  <c r="W183" i="52"/>
  <c r="W184" i="52"/>
  <c r="W185" i="52"/>
  <c r="W186" i="52"/>
  <c r="W188" i="52"/>
  <c r="W189" i="52"/>
  <c r="W190" i="52"/>
  <c r="W191" i="52"/>
  <c r="W192" i="52"/>
  <c r="W193" i="52"/>
  <c r="W194" i="52"/>
  <c r="W195" i="52"/>
  <c r="W196" i="52"/>
  <c r="W197" i="52"/>
  <c r="W198" i="52"/>
  <c r="W199" i="52"/>
  <c r="W200" i="52"/>
  <c r="W201" i="52"/>
  <c r="W202" i="52"/>
  <c r="W203" i="52"/>
  <c r="W204" i="52"/>
  <c r="W205" i="52"/>
  <c r="W206" i="52"/>
  <c r="W207" i="52"/>
  <c r="W208" i="52"/>
  <c r="W209" i="52"/>
  <c r="W210" i="52"/>
  <c r="W211" i="52"/>
  <c r="W212" i="52"/>
  <c r="W213" i="52"/>
  <c r="W214" i="52"/>
  <c r="W215" i="52"/>
  <c r="W216" i="52"/>
  <c r="W217" i="52"/>
  <c r="W218" i="52"/>
  <c r="W219" i="52"/>
  <c r="W220" i="52"/>
  <c r="W221" i="52"/>
  <c r="W222" i="52"/>
  <c r="W223" i="52"/>
  <c r="W224" i="52"/>
  <c r="W225" i="52"/>
  <c r="W226" i="52"/>
  <c r="W227" i="52"/>
  <c r="W228" i="52"/>
  <c r="W229" i="52"/>
  <c r="W230" i="52"/>
  <c r="W231" i="52"/>
  <c r="W4" i="52"/>
  <c r="X9" i="48"/>
  <c r="X5" i="48"/>
  <c r="X4" i="48"/>
  <c r="W4" i="48"/>
  <c r="W5" i="48"/>
  <c r="W9" i="48"/>
  <c r="Z5" i="48"/>
  <c r="Z6" i="48"/>
  <c r="Z7" i="48"/>
  <c r="Z8" i="48"/>
  <c r="Z9" i="48"/>
  <c r="Z10" i="48"/>
  <c r="Z11" i="48"/>
  <c r="Z12" i="48"/>
  <c r="Z13" i="48"/>
  <c r="Z14" i="48"/>
  <c r="Z15" i="48"/>
  <c r="Z16" i="48"/>
  <c r="Z17" i="48"/>
  <c r="Z18" i="48"/>
  <c r="Z19" i="48"/>
  <c r="Z20" i="48"/>
  <c r="Z21" i="48"/>
  <c r="Z22" i="48"/>
  <c r="Z23" i="48"/>
  <c r="Z24" i="48"/>
  <c r="Z25" i="48"/>
  <c r="Z26" i="48"/>
  <c r="Z27" i="48"/>
  <c r="Z28" i="48"/>
  <c r="Z29" i="48"/>
  <c r="Z30" i="48"/>
  <c r="Z31" i="48"/>
  <c r="Z32" i="48"/>
  <c r="Z33" i="48"/>
  <c r="Z34" i="48"/>
  <c r="Z35" i="48"/>
  <c r="Z36" i="48"/>
  <c r="Z37" i="48"/>
  <c r="Z38" i="48"/>
  <c r="Z39" i="48"/>
  <c r="Z40" i="48"/>
  <c r="Z41" i="48"/>
  <c r="Z42" i="48"/>
  <c r="Z43" i="48"/>
  <c r="Z44" i="48"/>
  <c r="Z45" i="48"/>
  <c r="Z46" i="48"/>
  <c r="Z47" i="48"/>
  <c r="Z48" i="48"/>
  <c r="Z49" i="48"/>
  <c r="Z50" i="48"/>
  <c r="Z51" i="48"/>
  <c r="Z52" i="48"/>
  <c r="Z53" i="48"/>
  <c r="Z54" i="48"/>
  <c r="Z55" i="48"/>
  <c r="Z56" i="48"/>
  <c r="Z57" i="48"/>
  <c r="Z58" i="48"/>
  <c r="Z59" i="48"/>
  <c r="Z60" i="48"/>
  <c r="Z61" i="48"/>
  <c r="Z62" i="48"/>
  <c r="Z63" i="48"/>
  <c r="Z64" i="48"/>
  <c r="Z65" i="48"/>
  <c r="Z66" i="48"/>
  <c r="Z67" i="48"/>
  <c r="Z68" i="48"/>
  <c r="Z69" i="48"/>
  <c r="Z70" i="48"/>
  <c r="Z71" i="48"/>
  <c r="Z72" i="48"/>
  <c r="Z73" i="48"/>
  <c r="Z74" i="48"/>
  <c r="Z75" i="48"/>
  <c r="Z76" i="48"/>
  <c r="Z77" i="48"/>
  <c r="Z78" i="48"/>
  <c r="Z79" i="48"/>
  <c r="Z80" i="48"/>
  <c r="Z81" i="48"/>
  <c r="Z82" i="48"/>
  <c r="Z83" i="48"/>
  <c r="Z84" i="48"/>
  <c r="Z85" i="48"/>
  <c r="Z86" i="48"/>
  <c r="Z87" i="48"/>
  <c r="Z88" i="48"/>
  <c r="Z89" i="48"/>
  <c r="Z90" i="48"/>
  <c r="Z91" i="48"/>
  <c r="Z92" i="48"/>
  <c r="Z93" i="48"/>
  <c r="Z94" i="48"/>
  <c r="Z95" i="48"/>
  <c r="Z96" i="48"/>
  <c r="Z97" i="48"/>
  <c r="Z98" i="48"/>
  <c r="Z99" i="48"/>
  <c r="Z100" i="48"/>
  <c r="Z101" i="48"/>
  <c r="Z102" i="48"/>
  <c r="Z103" i="48"/>
  <c r="Z104" i="48"/>
  <c r="Z105" i="48"/>
  <c r="Z106" i="48"/>
  <c r="Z107" i="48"/>
  <c r="Z108" i="48"/>
  <c r="Z109" i="48"/>
  <c r="Z110" i="48"/>
  <c r="Z111" i="48"/>
  <c r="Z112" i="48"/>
  <c r="Z113" i="48"/>
  <c r="Z114" i="48"/>
  <c r="Z115" i="48"/>
  <c r="Z116" i="48"/>
  <c r="Z117" i="48"/>
  <c r="Z118" i="48"/>
  <c r="Z119" i="48"/>
  <c r="Z120" i="48"/>
  <c r="Z121" i="48"/>
  <c r="Z122" i="48"/>
  <c r="Z123" i="48"/>
  <c r="Z124" i="48"/>
  <c r="Z125" i="48"/>
  <c r="Z126" i="48"/>
  <c r="Z127" i="48"/>
  <c r="Z128" i="48"/>
  <c r="Z129" i="48"/>
  <c r="Z130" i="48"/>
  <c r="Z131" i="48"/>
  <c r="Z132" i="48"/>
  <c r="Z133" i="48"/>
  <c r="Z134" i="48"/>
  <c r="Z135" i="48"/>
  <c r="Z136" i="48"/>
  <c r="Z137" i="48"/>
  <c r="Z138" i="48"/>
  <c r="Z139" i="48"/>
  <c r="Z140" i="48"/>
  <c r="Z141" i="48"/>
  <c r="Z142" i="48"/>
  <c r="Z143" i="48"/>
  <c r="Z144" i="48"/>
  <c r="Z145" i="48"/>
  <c r="Z146" i="48"/>
  <c r="Z147" i="48"/>
  <c r="Z148" i="48"/>
  <c r="Z149" i="48"/>
  <c r="Z150" i="48"/>
  <c r="Z151" i="48"/>
  <c r="Z152" i="48"/>
  <c r="Z153" i="48"/>
  <c r="Z154" i="48"/>
  <c r="Z155" i="48"/>
  <c r="Z156" i="48"/>
  <c r="Z157" i="48"/>
  <c r="Z158" i="48"/>
  <c r="Z159" i="48"/>
  <c r="Z160" i="48"/>
  <c r="Z161" i="48"/>
  <c r="Z162" i="48"/>
  <c r="Z163" i="48"/>
  <c r="Z164" i="48"/>
  <c r="Z165" i="48"/>
  <c r="Z166" i="48"/>
  <c r="Z167" i="48"/>
  <c r="Z168" i="48"/>
  <c r="Z169" i="48"/>
  <c r="Z170" i="48"/>
  <c r="Z171" i="48"/>
  <c r="Z172" i="48"/>
  <c r="Z173" i="48"/>
  <c r="Z174" i="48"/>
  <c r="Z175" i="48"/>
  <c r="Z176" i="48"/>
  <c r="Z177" i="48"/>
  <c r="Z178" i="48"/>
  <c r="Z179" i="48"/>
  <c r="Z180" i="48"/>
  <c r="Z181" i="48"/>
  <c r="Z182" i="48"/>
  <c r="Z183" i="48"/>
  <c r="Z184" i="48"/>
  <c r="Z185" i="48"/>
  <c r="Z186" i="48"/>
  <c r="Z187" i="48"/>
  <c r="Z188" i="48"/>
  <c r="Z189" i="48"/>
  <c r="Z190" i="48"/>
  <c r="Z191" i="48"/>
  <c r="Z192" i="48"/>
  <c r="Z193" i="48"/>
  <c r="Z194" i="48"/>
  <c r="Z195" i="48"/>
  <c r="Z196" i="48"/>
  <c r="Z197" i="48"/>
  <c r="Z198" i="48"/>
  <c r="Z199" i="48"/>
  <c r="Z200" i="48"/>
  <c r="Z201" i="48"/>
  <c r="Z202" i="48"/>
  <c r="Z203" i="48"/>
  <c r="Z204" i="48"/>
  <c r="Z205" i="48"/>
  <c r="Z206" i="48"/>
  <c r="Z207" i="48"/>
  <c r="Z208" i="48"/>
  <c r="Z209" i="48"/>
  <c r="Z210" i="48"/>
  <c r="Z211" i="48"/>
  <c r="Z212" i="48"/>
  <c r="Z213" i="48"/>
  <c r="Z214" i="48"/>
  <c r="Z215" i="48"/>
  <c r="Z216" i="48"/>
  <c r="Z217" i="48"/>
  <c r="Z218" i="48"/>
  <c r="Z219" i="48"/>
  <c r="Z220" i="48"/>
  <c r="Z221" i="48"/>
  <c r="Z222" i="48"/>
  <c r="Z223" i="48"/>
  <c r="Z224" i="48"/>
  <c r="Z225" i="48"/>
  <c r="Z226" i="48"/>
  <c r="Z227" i="48"/>
  <c r="Z228" i="48"/>
  <c r="Z229" i="48"/>
  <c r="Z230" i="48"/>
  <c r="Z231" i="48"/>
  <c r="Z4" i="48"/>
  <c r="Y6" i="48"/>
  <c r="Y7" i="48"/>
  <c r="Y8" i="48"/>
  <c r="Y9" i="48"/>
  <c r="Y10" i="48"/>
  <c r="Y11" i="48"/>
  <c r="Y12" i="48"/>
  <c r="Y13" i="48"/>
  <c r="Y14" i="48"/>
  <c r="Y15" i="48"/>
  <c r="Y16" i="48"/>
  <c r="Y17" i="48"/>
  <c r="Y18" i="48"/>
  <c r="Y19" i="48"/>
  <c r="Y20" i="48"/>
  <c r="Y21" i="48"/>
  <c r="Y22" i="48"/>
  <c r="Y23" i="48"/>
  <c r="Y24" i="48"/>
  <c r="Y25" i="48"/>
  <c r="Y26" i="48"/>
  <c r="Y27" i="48"/>
  <c r="Y28" i="48"/>
  <c r="Y29" i="48"/>
  <c r="Y30" i="48"/>
  <c r="Y31" i="48"/>
  <c r="Y32" i="48"/>
  <c r="Y33" i="48"/>
  <c r="Y34" i="48"/>
  <c r="Y35" i="48"/>
  <c r="Y36" i="48"/>
  <c r="Y37" i="48"/>
  <c r="Y38" i="48"/>
  <c r="Y39" i="48"/>
  <c r="Y40" i="48"/>
  <c r="Y41" i="48"/>
  <c r="Y42" i="48"/>
  <c r="Y43" i="48"/>
  <c r="Y44" i="48"/>
  <c r="Y45" i="48"/>
  <c r="Y46" i="48"/>
  <c r="Y47" i="48"/>
  <c r="Y48" i="48"/>
  <c r="Y49" i="48"/>
  <c r="Y50" i="48"/>
  <c r="Y51" i="48"/>
  <c r="Y52" i="48"/>
  <c r="Y53" i="48"/>
  <c r="Y54" i="48"/>
  <c r="Y55" i="48"/>
  <c r="Y56" i="48"/>
  <c r="Y57" i="48"/>
  <c r="Y58" i="48"/>
  <c r="Y59" i="48"/>
  <c r="Y60" i="48"/>
  <c r="Y61" i="48"/>
  <c r="Y62" i="48"/>
  <c r="Y63" i="48"/>
  <c r="Y64" i="48"/>
  <c r="Y65" i="48"/>
  <c r="Y66" i="48"/>
  <c r="Y67" i="48"/>
  <c r="Y68" i="48"/>
  <c r="Y69" i="48"/>
  <c r="Y70" i="48"/>
  <c r="Y71" i="48"/>
  <c r="Y72" i="48"/>
  <c r="Y73" i="48"/>
  <c r="Y74" i="48"/>
  <c r="Y75" i="48"/>
  <c r="Y76" i="48"/>
  <c r="Y77" i="48"/>
  <c r="Y78" i="48"/>
  <c r="Y79" i="48"/>
  <c r="Y80" i="48"/>
  <c r="Y81" i="48"/>
  <c r="Y82" i="48"/>
  <c r="Y83" i="48"/>
  <c r="Y84" i="48"/>
  <c r="Y85" i="48"/>
  <c r="Y86" i="48"/>
  <c r="Y87" i="48"/>
  <c r="Y88" i="48"/>
  <c r="Y89" i="48"/>
  <c r="Y90" i="48"/>
  <c r="Y91" i="48"/>
  <c r="Y92" i="48"/>
  <c r="Y93" i="48"/>
  <c r="Y94" i="48"/>
  <c r="Y95" i="48"/>
  <c r="Y96" i="48"/>
  <c r="Y97" i="48"/>
  <c r="Y98" i="48"/>
  <c r="Y99" i="48"/>
  <c r="Y100" i="48"/>
  <c r="Y101" i="48"/>
  <c r="Y102" i="48"/>
  <c r="Y103" i="48"/>
  <c r="Y104" i="48"/>
  <c r="Y105" i="48"/>
  <c r="Y106" i="48"/>
  <c r="Y107" i="48"/>
  <c r="Y108" i="48"/>
  <c r="Y109" i="48"/>
  <c r="Y110" i="48"/>
  <c r="Y111" i="48"/>
  <c r="Y112" i="48"/>
  <c r="Y113" i="48"/>
  <c r="Y114" i="48"/>
  <c r="Y115" i="48"/>
  <c r="Y116" i="48"/>
  <c r="Y117" i="48"/>
  <c r="Y118" i="48"/>
  <c r="Y119" i="48"/>
  <c r="Y120" i="48"/>
  <c r="Y121" i="48"/>
  <c r="Y122" i="48"/>
  <c r="Y123" i="48"/>
  <c r="Y124" i="48"/>
  <c r="Y125" i="48"/>
  <c r="Y126" i="48"/>
  <c r="Y127" i="48"/>
  <c r="Y128" i="48"/>
  <c r="Y129" i="48"/>
  <c r="Y130" i="48"/>
  <c r="Y131" i="48"/>
  <c r="Y132" i="48"/>
  <c r="Y133" i="48"/>
  <c r="Y134" i="48"/>
  <c r="Y135" i="48"/>
  <c r="Y136" i="48"/>
  <c r="Y137" i="48"/>
  <c r="Y138" i="48"/>
  <c r="Y139" i="48"/>
  <c r="Y140" i="48"/>
  <c r="Y141" i="48"/>
  <c r="Y142" i="48"/>
  <c r="Y143" i="48"/>
  <c r="Y144" i="48"/>
  <c r="Y145" i="48"/>
  <c r="Y146" i="48"/>
  <c r="Y147" i="48"/>
  <c r="Y148" i="48"/>
  <c r="Y149" i="48"/>
  <c r="Y150" i="48"/>
  <c r="Y151" i="48"/>
  <c r="Y152" i="48"/>
  <c r="Y153" i="48"/>
  <c r="Y154" i="48"/>
  <c r="Y155" i="48"/>
  <c r="Y156" i="48"/>
  <c r="Y157" i="48"/>
  <c r="Y158" i="48"/>
  <c r="Y159" i="48"/>
  <c r="Y160" i="48"/>
  <c r="Y161" i="48"/>
  <c r="Y162" i="48"/>
  <c r="Y163" i="48"/>
  <c r="Y164" i="48"/>
  <c r="Y165" i="48"/>
  <c r="Y166" i="48"/>
  <c r="Y167" i="48"/>
  <c r="Y168" i="48"/>
  <c r="Y169" i="48"/>
  <c r="Y170" i="48"/>
  <c r="Y171" i="48"/>
  <c r="Y172" i="48"/>
  <c r="Y173" i="48"/>
  <c r="Y174" i="48"/>
  <c r="Y175" i="48"/>
  <c r="Y176" i="48"/>
  <c r="Y177" i="48"/>
  <c r="Y178" i="48"/>
  <c r="Y179" i="48"/>
  <c r="Y180" i="48"/>
  <c r="Y181" i="48"/>
  <c r="Y182" i="48"/>
  <c r="Y183" i="48"/>
  <c r="Y184" i="48"/>
  <c r="Y185" i="48"/>
  <c r="Y186" i="48"/>
  <c r="Y187" i="48"/>
  <c r="Y188" i="48"/>
  <c r="Y189" i="48"/>
  <c r="Y190" i="48"/>
  <c r="Y191" i="48"/>
  <c r="Y192" i="48"/>
  <c r="Y193" i="48"/>
  <c r="Y194" i="48"/>
  <c r="Y195" i="48"/>
  <c r="Y196" i="48"/>
  <c r="Y197" i="48"/>
  <c r="Y198" i="48"/>
  <c r="Y199" i="48"/>
  <c r="Y200" i="48"/>
  <c r="Y201" i="48"/>
  <c r="Y202" i="48"/>
  <c r="Y203" i="48"/>
  <c r="Y204" i="48"/>
  <c r="Y205" i="48"/>
  <c r="Y206" i="48"/>
  <c r="Y207" i="48"/>
  <c r="Y208" i="48"/>
  <c r="Y209" i="48"/>
  <c r="Y210" i="48"/>
  <c r="Y211" i="48"/>
  <c r="Y212" i="48"/>
  <c r="Y213" i="48"/>
  <c r="Y214" i="48"/>
  <c r="Y215" i="48"/>
  <c r="Y216" i="48"/>
  <c r="Y217" i="48"/>
  <c r="Y218" i="48"/>
  <c r="Y219" i="48"/>
  <c r="Y220" i="48"/>
  <c r="Y221" i="48"/>
  <c r="Y222" i="48"/>
  <c r="Y223" i="48"/>
  <c r="Y224" i="48"/>
  <c r="Y225" i="48"/>
  <c r="Y226" i="48"/>
  <c r="Y227" i="48"/>
  <c r="Y228" i="48"/>
  <c r="Y229" i="48"/>
  <c r="Y230" i="48"/>
  <c r="Y231" i="48"/>
  <c r="Y4" i="48"/>
  <c r="Y5" i="48"/>
  <c r="X10" i="48"/>
  <c r="X11" i="48"/>
  <c r="X12" i="48"/>
  <c r="X13" i="48"/>
  <c r="X14" i="48"/>
  <c r="X15" i="48"/>
  <c r="X16" i="48"/>
  <c r="X17" i="48"/>
  <c r="X18" i="48"/>
  <c r="X19" i="48"/>
  <c r="X20" i="48"/>
  <c r="X21" i="48"/>
  <c r="X22" i="48"/>
  <c r="X23" i="48"/>
  <c r="X24" i="48"/>
  <c r="X25" i="48"/>
  <c r="X26" i="48"/>
  <c r="X27" i="48"/>
  <c r="X28" i="48"/>
  <c r="X29" i="48"/>
  <c r="X30" i="48"/>
  <c r="X31" i="48"/>
  <c r="X32" i="48"/>
  <c r="X33" i="48"/>
  <c r="X34" i="48"/>
  <c r="X35" i="48"/>
  <c r="X36" i="48"/>
  <c r="X37" i="48"/>
  <c r="X38" i="48"/>
  <c r="X39" i="48"/>
  <c r="X40" i="48"/>
  <c r="X41" i="48"/>
  <c r="X42" i="48"/>
  <c r="X43" i="48"/>
  <c r="X44" i="48"/>
  <c r="X45" i="48"/>
  <c r="X46" i="48"/>
  <c r="X47" i="48"/>
  <c r="X48" i="48"/>
  <c r="X49" i="48"/>
  <c r="X50" i="48"/>
  <c r="X51" i="48"/>
  <c r="X52" i="48"/>
  <c r="X53" i="48"/>
  <c r="X54" i="48"/>
  <c r="X55" i="48"/>
  <c r="X56" i="48"/>
  <c r="X57" i="48"/>
  <c r="X58" i="48"/>
  <c r="X59" i="48"/>
  <c r="X60" i="48"/>
  <c r="X61" i="48"/>
  <c r="X62" i="48"/>
  <c r="X63" i="48"/>
  <c r="X64" i="48"/>
  <c r="X65" i="48"/>
  <c r="X66" i="48"/>
  <c r="X67" i="48"/>
  <c r="X68" i="48"/>
  <c r="X69" i="48"/>
  <c r="X70" i="48"/>
  <c r="X71" i="48"/>
  <c r="X72" i="48"/>
  <c r="X73" i="48"/>
  <c r="X74" i="48"/>
  <c r="X75" i="48"/>
  <c r="X76" i="48"/>
  <c r="X77" i="48"/>
  <c r="X78" i="48"/>
  <c r="X79" i="48"/>
  <c r="X80" i="48"/>
  <c r="X81" i="48"/>
  <c r="X82" i="48"/>
  <c r="X83" i="48"/>
  <c r="X84" i="48"/>
  <c r="X85" i="48"/>
  <c r="X86" i="48"/>
  <c r="X87" i="48"/>
  <c r="X88" i="48"/>
  <c r="X89" i="48"/>
  <c r="X90" i="48"/>
  <c r="X91" i="48"/>
  <c r="X92" i="48"/>
  <c r="X93" i="48"/>
  <c r="X94" i="48"/>
  <c r="X95" i="48"/>
  <c r="X96" i="48"/>
  <c r="X97" i="48"/>
  <c r="X98" i="48"/>
  <c r="X99" i="48"/>
  <c r="X100" i="48"/>
  <c r="X101" i="48"/>
  <c r="X102" i="48"/>
  <c r="X103" i="48"/>
  <c r="X104" i="48"/>
  <c r="X105" i="48"/>
  <c r="X106" i="48"/>
  <c r="X107" i="48"/>
  <c r="X108" i="48"/>
  <c r="X109" i="48"/>
  <c r="X110" i="48"/>
  <c r="X111" i="48"/>
  <c r="X112" i="48"/>
  <c r="X113" i="48"/>
  <c r="X114" i="48"/>
  <c r="X115" i="48"/>
  <c r="X116" i="48"/>
  <c r="X117" i="48"/>
  <c r="X118" i="48"/>
  <c r="X119" i="48"/>
  <c r="X120" i="48"/>
  <c r="X123" i="48"/>
  <c r="X127" i="48"/>
  <c r="X129" i="48"/>
  <c r="X147" i="48"/>
  <c r="X153" i="48"/>
  <c r="X164" i="48"/>
  <c r="X165" i="48"/>
  <c r="X171" i="48"/>
  <c r="X177" i="48"/>
  <c r="X183" i="48"/>
  <c r="X194" i="48"/>
  <c r="X195" i="48"/>
  <c r="X198" i="48"/>
  <c r="X201" i="48"/>
  <c r="X202" i="48"/>
  <c r="X203" i="48"/>
  <c r="X204" i="48"/>
  <c r="X205" i="48"/>
  <c r="X206" i="48"/>
  <c r="X207" i="48"/>
  <c r="X208" i="48"/>
  <c r="X209" i="48"/>
  <c r="X210" i="48"/>
  <c r="X211" i="48"/>
  <c r="X212" i="48"/>
  <c r="X213" i="48"/>
  <c r="X214" i="48"/>
  <c r="X215" i="48"/>
  <c r="X216" i="48"/>
  <c r="X217" i="48"/>
  <c r="X218" i="48"/>
  <c r="X219" i="48"/>
  <c r="X220" i="48"/>
  <c r="X221" i="48"/>
  <c r="X222" i="48"/>
  <c r="X223" i="48"/>
  <c r="X224" i="48"/>
  <c r="X225" i="48"/>
  <c r="X226" i="48"/>
  <c r="X227" i="48"/>
  <c r="X228" i="48"/>
  <c r="X229" i="48"/>
  <c r="X230" i="48"/>
  <c r="X231" i="48"/>
  <c r="X6" i="48"/>
  <c r="X7" i="48"/>
  <c r="X8" i="48"/>
  <c r="W6" i="48"/>
  <c r="W7" i="48"/>
  <c r="W8" i="48"/>
  <c r="W10" i="48"/>
  <c r="W11" i="48"/>
  <c r="W12" i="48"/>
  <c r="W13" i="48"/>
  <c r="W14" i="48"/>
  <c r="W15" i="48"/>
  <c r="W16" i="48"/>
  <c r="W17" i="48"/>
  <c r="W18" i="48"/>
  <c r="W19" i="48"/>
  <c r="W20" i="48"/>
  <c r="W21" i="48"/>
  <c r="W22" i="48"/>
  <c r="W23" i="48"/>
  <c r="W24" i="48"/>
  <c r="W25" i="48"/>
  <c r="W26" i="48"/>
  <c r="W27" i="48"/>
  <c r="W28" i="48"/>
  <c r="W29" i="48"/>
  <c r="W30" i="48"/>
  <c r="W31" i="48"/>
  <c r="W32" i="48"/>
  <c r="W33" i="48"/>
  <c r="W34" i="48"/>
  <c r="W35" i="48"/>
  <c r="W36" i="48"/>
  <c r="W37" i="48"/>
  <c r="W38" i="48"/>
  <c r="W39" i="48"/>
  <c r="W40" i="48"/>
  <c r="W41" i="48"/>
  <c r="W42" i="48"/>
  <c r="W43" i="48"/>
  <c r="W44" i="48"/>
  <c r="W45" i="48"/>
  <c r="W46" i="48"/>
  <c r="W47" i="48"/>
  <c r="W48" i="48"/>
  <c r="W49" i="48"/>
  <c r="W50" i="48"/>
  <c r="W51" i="48"/>
  <c r="W52" i="48"/>
  <c r="W53" i="48"/>
  <c r="W54" i="48"/>
  <c r="W55" i="48"/>
  <c r="W56" i="48"/>
  <c r="W57" i="48"/>
  <c r="W58" i="48"/>
  <c r="W59" i="48"/>
  <c r="W60" i="48"/>
  <c r="W61" i="48"/>
  <c r="W62" i="48"/>
  <c r="W63" i="48"/>
  <c r="W64" i="48"/>
  <c r="W65" i="48"/>
  <c r="W66" i="48"/>
  <c r="W67" i="48"/>
  <c r="W68" i="48"/>
  <c r="W69" i="48"/>
  <c r="W70" i="48"/>
  <c r="W71" i="48"/>
  <c r="W72" i="48"/>
  <c r="W73" i="48"/>
  <c r="W74" i="48"/>
  <c r="W75" i="48"/>
  <c r="W76" i="48"/>
  <c r="W77" i="48"/>
  <c r="W78" i="48"/>
  <c r="W79" i="48"/>
  <c r="W80" i="48"/>
  <c r="W81" i="48"/>
  <c r="W82" i="48"/>
  <c r="W83" i="48"/>
  <c r="W84" i="48"/>
  <c r="W85" i="48"/>
  <c r="W86" i="48"/>
  <c r="W87" i="48"/>
  <c r="W88" i="48"/>
  <c r="W89" i="48"/>
  <c r="W90" i="48"/>
  <c r="W91" i="48"/>
  <c r="W92" i="48"/>
  <c r="W93" i="48"/>
  <c r="W94" i="48"/>
  <c r="W95" i="48"/>
  <c r="W96" i="48"/>
  <c r="W97" i="48"/>
  <c r="W98" i="48"/>
  <c r="W99" i="48"/>
  <c r="W100" i="48"/>
  <c r="W101" i="48"/>
  <c r="W102" i="48"/>
  <c r="W103" i="48"/>
  <c r="W104" i="48"/>
  <c r="W105" i="48"/>
  <c r="W106" i="48"/>
  <c r="W107" i="48"/>
  <c r="W108" i="48"/>
  <c r="W109" i="48"/>
  <c r="W110" i="48"/>
  <c r="W111" i="48"/>
  <c r="W112" i="48"/>
  <c r="W113" i="48"/>
  <c r="W114" i="48"/>
  <c r="W115" i="48"/>
  <c r="W116" i="48"/>
  <c r="W118" i="48"/>
  <c r="W119" i="48"/>
  <c r="W120" i="48"/>
  <c r="W123" i="48"/>
  <c r="W127" i="48"/>
  <c r="W129" i="48"/>
  <c r="W147" i="48"/>
  <c r="W153" i="48"/>
  <c r="W164" i="48"/>
  <c r="W165" i="48"/>
  <c r="W171" i="48"/>
  <c r="W177" i="48"/>
  <c r="W183" i="48"/>
  <c r="W194" i="48"/>
  <c r="W195" i="48"/>
  <c r="W198" i="48"/>
  <c r="W201" i="48"/>
  <c r="W202" i="48"/>
  <c r="W203" i="48"/>
  <c r="W204" i="48"/>
  <c r="W205" i="48"/>
  <c r="W206" i="48"/>
  <c r="W207" i="48"/>
  <c r="W208" i="48"/>
  <c r="W209" i="48"/>
  <c r="W210" i="48"/>
  <c r="W211" i="48"/>
  <c r="W212" i="48"/>
  <c r="W213" i="48"/>
  <c r="W214" i="48"/>
  <c r="W215" i="48"/>
  <c r="W216" i="48"/>
  <c r="W217" i="48"/>
  <c r="W218" i="48"/>
  <c r="W219" i="48"/>
  <c r="W220" i="48"/>
  <c r="W221" i="48"/>
  <c r="W222" i="48"/>
  <c r="W223" i="48"/>
  <c r="W224" i="48"/>
  <c r="W225" i="48"/>
  <c r="W226" i="48"/>
  <c r="W227" i="48"/>
  <c r="W228" i="48"/>
  <c r="W229" i="48"/>
  <c r="W230" i="48"/>
  <c r="W231" i="48"/>
  <c r="W117" i="48"/>
  <c r="C121" i="48"/>
  <c r="H121" i="52"/>
  <c r="C121" i="52"/>
  <c r="L121" i="51"/>
  <c r="F121" i="51"/>
  <c r="C121" i="51"/>
  <c r="F121" i="19"/>
  <c r="F121" i="45"/>
  <c r="F120" i="45" l="1"/>
  <c r="C120" i="45"/>
  <c r="L120" i="19"/>
  <c r="F120" i="19"/>
  <c r="C120" i="19"/>
  <c r="L120" i="51"/>
  <c r="F120" i="51"/>
  <c r="C120" i="51"/>
  <c r="H120" i="48"/>
  <c r="C120" i="48"/>
  <c r="F119" i="45" l="1"/>
  <c r="C119" i="45"/>
  <c r="F118" i="45"/>
  <c r="N118" i="19"/>
  <c r="F119" i="19"/>
  <c r="C118" i="19"/>
  <c r="P119" i="51"/>
  <c r="L118" i="51"/>
  <c r="C119" i="51"/>
  <c r="F119" i="51"/>
  <c r="F118" i="51"/>
  <c r="C118" i="51"/>
  <c r="H118" i="48"/>
  <c r="H119" i="48"/>
  <c r="C119" i="48"/>
  <c r="I118" i="48" l="1"/>
  <c r="C118" i="48"/>
  <c r="P116" i="19" l="1"/>
  <c r="N116" i="19"/>
  <c r="L116" i="19"/>
  <c r="L116" i="51" l="1"/>
  <c r="F116" i="51"/>
  <c r="C116" i="51"/>
  <c r="J116" i="45" l="1"/>
  <c r="F116" i="45"/>
  <c r="C116" i="45"/>
  <c r="H116" i="48"/>
  <c r="C116" i="48"/>
  <c r="F115" i="51" l="1"/>
  <c r="F115" i="45"/>
  <c r="F115" i="19"/>
  <c r="C115" i="19"/>
  <c r="P115" i="51"/>
  <c r="L115" i="51"/>
  <c r="C115" i="51"/>
  <c r="H115" i="48"/>
  <c r="C115" i="52"/>
  <c r="C115" i="48"/>
  <c r="C106" i="48" l="1"/>
  <c r="C110" i="45"/>
  <c r="F106" i="51"/>
  <c r="F110" i="51"/>
  <c r="C110" i="51"/>
  <c r="G92" i="19" l="1"/>
  <c r="G93" i="19"/>
  <c r="AA231" i="19" l="1"/>
  <c r="AA230" i="19"/>
  <c r="AA229" i="19"/>
  <c r="AA228" i="19"/>
  <c r="AA227" i="19"/>
  <c r="AA226" i="19"/>
  <c r="AA225" i="19"/>
  <c r="AA224" i="19"/>
  <c r="AA223" i="19"/>
  <c r="AA222" i="19"/>
  <c r="AA221" i="19"/>
  <c r="AA220" i="19"/>
  <c r="AA219" i="19"/>
  <c r="AA218" i="19"/>
  <c r="AA217" i="19"/>
  <c r="AA216" i="19"/>
  <c r="AA215" i="19"/>
  <c r="AA214" i="19"/>
  <c r="AA213" i="19"/>
  <c r="AA212" i="19"/>
  <c r="AA211" i="19"/>
  <c r="AA210" i="19"/>
  <c r="AA209" i="19"/>
  <c r="AA208" i="19"/>
  <c r="AA207" i="19"/>
  <c r="AA206" i="19"/>
  <c r="AA205" i="19"/>
  <c r="AA204" i="19"/>
  <c r="AA203" i="19"/>
  <c r="AA202" i="19"/>
  <c r="AA201" i="19"/>
  <c r="AA200" i="19"/>
  <c r="AA199" i="19"/>
  <c r="AA198" i="19"/>
  <c r="AA197" i="19"/>
  <c r="AA196" i="19"/>
  <c r="AA195" i="19"/>
  <c r="AA194" i="19"/>
  <c r="AA193" i="19"/>
  <c r="AA192" i="19"/>
  <c r="AA191" i="19"/>
  <c r="AA190" i="19"/>
  <c r="AA189" i="19"/>
  <c r="AA188" i="19"/>
  <c r="AA187" i="19"/>
  <c r="AA186" i="19"/>
  <c r="AA185" i="19"/>
  <c r="AA184" i="19"/>
  <c r="AA183" i="19"/>
  <c r="AA182" i="19"/>
  <c r="AA181" i="19"/>
  <c r="AA180" i="19"/>
  <c r="AA179" i="19"/>
  <c r="AA178" i="19"/>
  <c r="AA177" i="19"/>
  <c r="AA176" i="19"/>
  <c r="AA175" i="19"/>
  <c r="AA174" i="19"/>
  <c r="AA173" i="19"/>
  <c r="AA172" i="19"/>
  <c r="AA171" i="19"/>
  <c r="AA170" i="19"/>
  <c r="AA169" i="19"/>
  <c r="AA168" i="19"/>
  <c r="AA167" i="19"/>
  <c r="AA166" i="19"/>
  <c r="AA165" i="19"/>
  <c r="AA164" i="19"/>
  <c r="AA163" i="19"/>
  <c r="AA162" i="19"/>
  <c r="AA161" i="19"/>
  <c r="AA160" i="19"/>
  <c r="AA159" i="19"/>
  <c r="AA158" i="19"/>
  <c r="AA157" i="19"/>
  <c r="AA156" i="19"/>
  <c r="AA155" i="19"/>
  <c r="AA154" i="19"/>
  <c r="AA153" i="19"/>
  <c r="AA152" i="19"/>
  <c r="AA151" i="19"/>
  <c r="AA150" i="19"/>
  <c r="AA149" i="19"/>
  <c r="AA148" i="19"/>
  <c r="AA147" i="19"/>
  <c r="AA146" i="19"/>
  <c r="AA145" i="19"/>
  <c r="AA144" i="19"/>
  <c r="AA143" i="19"/>
  <c r="AA142" i="19"/>
  <c r="AA141" i="19"/>
  <c r="AA140" i="19"/>
  <c r="AA139" i="19"/>
  <c r="AA138" i="19"/>
  <c r="AA137" i="19"/>
  <c r="AA136" i="19"/>
  <c r="AA135" i="19"/>
  <c r="AA134" i="19"/>
  <c r="AA133" i="19"/>
  <c r="AA132" i="19"/>
  <c r="AA131" i="19"/>
  <c r="AA130" i="19"/>
  <c r="AA129" i="19"/>
  <c r="AA128" i="19"/>
  <c r="AA127" i="19"/>
  <c r="AA126" i="19"/>
  <c r="AA125" i="19"/>
  <c r="AA124" i="19"/>
  <c r="AA123" i="19"/>
  <c r="AA122" i="19"/>
  <c r="AA121" i="19"/>
  <c r="AA120" i="19"/>
  <c r="AA119" i="19"/>
  <c r="AA118" i="19"/>
  <c r="AA117" i="19"/>
  <c r="AA116" i="19"/>
  <c r="AA115" i="19"/>
  <c r="AA114" i="19"/>
  <c r="AA113" i="19"/>
  <c r="AA112" i="19"/>
  <c r="AA111" i="19"/>
  <c r="AA110" i="19"/>
  <c r="AA109" i="19"/>
  <c r="AA108" i="19"/>
  <c r="AA107" i="19"/>
  <c r="AA106" i="19"/>
  <c r="AA105" i="19"/>
  <c r="AA104" i="19"/>
  <c r="AA103" i="19"/>
  <c r="AA102" i="19"/>
  <c r="AA101" i="19"/>
  <c r="AA100" i="19"/>
  <c r="AA99" i="19"/>
  <c r="AA98" i="19"/>
  <c r="AA97" i="19"/>
  <c r="AA96" i="19"/>
  <c r="AA95" i="19"/>
  <c r="AA94" i="19"/>
  <c r="AA93" i="19"/>
  <c r="AA92" i="19"/>
  <c r="AA91" i="19"/>
  <c r="AA90" i="19"/>
  <c r="AA89" i="19"/>
  <c r="AA88" i="19"/>
  <c r="AA87" i="19"/>
  <c r="AA86" i="19"/>
  <c r="AA85" i="19"/>
  <c r="AA84" i="19"/>
  <c r="AA83" i="19"/>
  <c r="AA82" i="19"/>
  <c r="AA81" i="19"/>
  <c r="AA80" i="19"/>
  <c r="AA79" i="19"/>
  <c r="AA78" i="19"/>
  <c r="AA77" i="19"/>
  <c r="AA76" i="19"/>
  <c r="AA75" i="19"/>
  <c r="AA74" i="19"/>
  <c r="AA73" i="19"/>
  <c r="AA72" i="19"/>
  <c r="AA71" i="19"/>
  <c r="AA70" i="19"/>
  <c r="AA69" i="19"/>
  <c r="AA68" i="19"/>
  <c r="AA67" i="19"/>
  <c r="AA66" i="19"/>
  <c r="AA65" i="19"/>
  <c r="AA64" i="19"/>
  <c r="AA63" i="19"/>
  <c r="AA62" i="19"/>
  <c r="AA61" i="19"/>
  <c r="AA60" i="19"/>
  <c r="AA59" i="19"/>
  <c r="AA58" i="19"/>
  <c r="AA57" i="19"/>
  <c r="AA56" i="19"/>
  <c r="AA55" i="19"/>
  <c r="AA54" i="19"/>
  <c r="AA53" i="19"/>
  <c r="AA52" i="19"/>
  <c r="AA51" i="19"/>
  <c r="AA50" i="19"/>
  <c r="AA49" i="19"/>
  <c r="AA48" i="19"/>
  <c r="AA47" i="19"/>
  <c r="AA46" i="19"/>
  <c r="AA45" i="19"/>
  <c r="AA44" i="19"/>
  <c r="AA43" i="19"/>
  <c r="AA42" i="19"/>
  <c r="AA41" i="19"/>
  <c r="AA40" i="19"/>
  <c r="AA39" i="19"/>
  <c r="AA38" i="19"/>
  <c r="AA37" i="19"/>
  <c r="AA36" i="19"/>
  <c r="AA35" i="19"/>
  <c r="AA34" i="19"/>
  <c r="AA30" i="19"/>
  <c r="AA29" i="19"/>
  <c r="AA28" i="19"/>
  <c r="AA27" i="19"/>
  <c r="AA26" i="19"/>
  <c r="AA25" i="19"/>
  <c r="AA24" i="19"/>
  <c r="AA23" i="19"/>
  <c r="AA22" i="19"/>
  <c r="AA21" i="19"/>
  <c r="AA20" i="19"/>
  <c r="AA19" i="19"/>
  <c r="AA18" i="19"/>
  <c r="AA17" i="19"/>
  <c r="AA16" i="19"/>
  <c r="AA15" i="19"/>
  <c r="AA14" i="19"/>
  <c r="AA13" i="19"/>
  <c r="AA12" i="19"/>
  <c r="AA11" i="19"/>
  <c r="AA10" i="19"/>
  <c r="AA9" i="19"/>
  <c r="AA8" i="19"/>
  <c r="AA7" i="19"/>
  <c r="AA6" i="19"/>
  <c r="AA5" i="19"/>
  <c r="AA4" i="19"/>
  <c r="Y231" i="19"/>
  <c r="Y230" i="19"/>
  <c r="Y229" i="19"/>
  <c r="Y228" i="19"/>
  <c r="Y227" i="19"/>
  <c r="Y226" i="19"/>
  <c r="Y225" i="19"/>
  <c r="Y224" i="19"/>
  <c r="Y223" i="19"/>
  <c r="Y222" i="19"/>
  <c r="Y221" i="19"/>
  <c r="Y220" i="19"/>
  <c r="Y219" i="19"/>
  <c r="Y218" i="19"/>
  <c r="Y217" i="19"/>
  <c r="Y216" i="19"/>
  <c r="Y215" i="19"/>
  <c r="Y214" i="19"/>
  <c r="Y213" i="19"/>
  <c r="Y212" i="19"/>
  <c r="Y211" i="19"/>
  <c r="Y210" i="19"/>
  <c r="Y209" i="19"/>
  <c r="Y208" i="19"/>
  <c r="Y207" i="19"/>
  <c r="Y206" i="19"/>
  <c r="Y205" i="19"/>
  <c r="Y204" i="19"/>
  <c r="Y203" i="19"/>
  <c r="Y202" i="19"/>
  <c r="Y201" i="19"/>
  <c r="Y200" i="19"/>
  <c r="Y199" i="19"/>
  <c r="Y198" i="19"/>
  <c r="Y197" i="19"/>
  <c r="Y196" i="19"/>
  <c r="Y195" i="19"/>
  <c r="Y194" i="19"/>
  <c r="Y193" i="19"/>
  <c r="Y192" i="19"/>
  <c r="Y191" i="19"/>
  <c r="Y190" i="19"/>
  <c r="Y189" i="19"/>
  <c r="Y188" i="19"/>
  <c r="Y187" i="19"/>
  <c r="Y186" i="19"/>
  <c r="Y185" i="19"/>
  <c r="Y184" i="19"/>
  <c r="Y183" i="19"/>
  <c r="Y182" i="19"/>
  <c r="Y181" i="19"/>
  <c r="Y180" i="19"/>
  <c r="Y179" i="19"/>
  <c r="Y178" i="19"/>
  <c r="Y177" i="19"/>
  <c r="Y176" i="19"/>
  <c r="Y175" i="19"/>
  <c r="Y174" i="19"/>
  <c r="Y173" i="19"/>
  <c r="Y172" i="19"/>
  <c r="Y171" i="19"/>
  <c r="Y170" i="19"/>
  <c r="Y169" i="19"/>
  <c r="Y168" i="19"/>
  <c r="Y167" i="19"/>
  <c r="Y166" i="19"/>
  <c r="Y165" i="19"/>
  <c r="Y164" i="19"/>
  <c r="Y163" i="19"/>
  <c r="Y162" i="19"/>
  <c r="Y161" i="19"/>
  <c r="Y160" i="19"/>
  <c r="Y159" i="19"/>
  <c r="Y158" i="19"/>
  <c r="Y157" i="19"/>
  <c r="Y156" i="19"/>
  <c r="Y155" i="19"/>
  <c r="Y154" i="19"/>
  <c r="Y153" i="19"/>
  <c r="Y152" i="19"/>
  <c r="Y151" i="19"/>
  <c r="Y150" i="19"/>
  <c r="Y149" i="19"/>
  <c r="Y148" i="19"/>
  <c r="Y147" i="19"/>
  <c r="Y146" i="19"/>
  <c r="Y145" i="19"/>
  <c r="Y144" i="19"/>
  <c r="Y143" i="19"/>
  <c r="Y142" i="19"/>
  <c r="Y141" i="19"/>
  <c r="Y140" i="19"/>
  <c r="Y139" i="19"/>
  <c r="Y138" i="19"/>
  <c r="Y137" i="19"/>
  <c r="Y136" i="19"/>
  <c r="Y135" i="19"/>
  <c r="Y134" i="19"/>
  <c r="Y133" i="19"/>
  <c r="Y132" i="19"/>
  <c r="Y131" i="19"/>
  <c r="Y130" i="19"/>
  <c r="Y129" i="19"/>
  <c r="Y128" i="19"/>
  <c r="Y127" i="19"/>
  <c r="Y126" i="19"/>
  <c r="Y125" i="19"/>
  <c r="Y124" i="19"/>
  <c r="Y123" i="19"/>
  <c r="Y122" i="19"/>
  <c r="Y121" i="19"/>
  <c r="Y120" i="19"/>
  <c r="Y119" i="19"/>
  <c r="Y118" i="19"/>
  <c r="Y117" i="19"/>
  <c r="Y116" i="19"/>
  <c r="Y115" i="19"/>
  <c r="Y114" i="19"/>
  <c r="Y113" i="19"/>
  <c r="Y112" i="19"/>
  <c r="Y111" i="19"/>
  <c r="Y110" i="19"/>
  <c r="Y109" i="19"/>
  <c r="Y108" i="19"/>
  <c r="Y107" i="19"/>
  <c r="Y106" i="19"/>
  <c r="Y105" i="19"/>
  <c r="Y104" i="19"/>
  <c r="Y103" i="19"/>
  <c r="Y102" i="19"/>
  <c r="Y101" i="19"/>
  <c r="Y100" i="19"/>
  <c r="Y99" i="19"/>
  <c r="Y98" i="19"/>
  <c r="Y97" i="19"/>
  <c r="Y96" i="19"/>
  <c r="Y95" i="19"/>
  <c r="Y94" i="19"/>
  <c r="Y93" i="19"/>
  <c r="Y92" i="19"/>
  <c r="Y91" i="19"/>
  <c r="Y90" i="19"/>
  <c r="Y89" i="19"/>
  <c r="Y88" i="19"/>
  <c r="Y87" i="19"/>
  <c r="Y86" i="19"/>
  <c r="Y85" i="19"/>
  <c r="Y84" i="19"/>
  <c r="Y83" i="19"/>
  <c r="Y82" i="19"/>
  <c r="Y81" i="19"/>
  <c r="Y80" i="19"/>
  <c r="Y79" i="19"/>
  <c r="Y78" i="19"/>
  <c r="Y77" i="19"/>
  <c r="Y76" i="19"/>
  <c r="Y75" i="19"/>
  <c r="Y74" i="19"/>
  <c r="Y73" i="19"/>
  <c r="Y72" i="19"/>
  <c r="Y71" i="19"/>
  <c r="Y70" i="19"/>
  <c r="Y69" i="19"/>
  <c r="Y68" i="19"/>
  <c r="Y67" i="19"/>
  <c r="Y66" i="19"/>
  <c r="Y65" i="19"/>
  <c r="Y64" i="19"/>
  <c r="Y63" i="19"/>
  <c r="Y62" i="19"/>
  <c r="Y61" i="19"/>
  <c r="Y60" i="19"/>
  <c r="Y59" i="19"/>
  <c r="Y58" i="19"/>
  <c r="Y57" i="19"/>
  <c r="Y56" i="19"/>
  <c r="Y55" i="19"/>
  <c r="Y54" i="19"/>
  <c r="Y53" i="19"/>
  <c r="Y52" i="19"/>
  <c r="Y51" i="19"/>
  <c r="Y50" i="19"/>
  <c r="Y49" i="19"/>
  <c r="Y48" i="19"/>
  <c r="Y47" i="19"/>
  <c r="Y46" i="19"/>
  <c r="Y45" i="19"/>
  <c r="Y44" i="19"/>
  <c r="Y43" i="19"/>
  <c r="Y42" i="19"/>
  <c r="Y41" i="19"/>
  <c r="Y40" i="19"/>
  <c r="Y39" i="19"/>
  <c r="Y38" i="19"/>
  <c r="Y37" i="19"/>
  <c r="Y36" i="19"/>
  <c r="Y35" i="19"/>
  <c r="Y34" i="19"/>
  <c r="Y30" i="19"/>
  <c r="Y29" i="19"/>
  <c r="Y28" i="19"/>
  <c r="Y27" i="19"/>
  <c r="Y26" i="19"/>
  <c r="Y25" i="19"/>
  <c r="Y24" i="19"/>
  <c r="Y23" i="19"/>
  <c r="Y22" i="19"/>
  <c r="Y21" i="19"/>
  <c r="Y20" i="19"/>
  <c r="Y19" i="19"/>
  <c r="Y18" i="19"/>
  <c r="Y17" i="19"/>
  <c r="Y16" i="19"/>
  <c r="Y15" i="19"/>
  <c r="Y14" i="19"/>
  <c r="Y13" i="19"/>
  <c r="Y12" i="19"/>
  <c r="Y11" i="19"/>
  <c r="Y10" i="19"/>
  <c r="Y9" i="19"/>
  <c r="Y8" i="19"/>
  <c r="Y7" i="19"/>
  <c r="Y6" i="19"/>
  <c r="Y5" i="19"/>
  <c r="Y4" i="19"/>
  <c r="AA3" i="19" l="1"/>
  <c r="Y3" i="19"/>
  <c r="AA231" i="51"/>
  <c r="AA230" i="51"/>
  <c r="AA229" i="51"/>
  <c r="AA228" i="51"/>
  <c r="AA227" i="51"/>
  <c r="AA226" i="51"/>
  <c r="AA225" i="51"/>
  <c r="AA224" i="51"/>
  <c r="AA223" i="51"/>
  <c r="AA222" i="51"/>
  <c r="AA221" i="51"/>
  <c r="AA220" i="51"/>
  <c r="AA219" i="51"/>
  <c r="AA218" i="51"/>
  <c r="AA217" i="51"/>
  <c r="AA216" i="51"/>
  <c r="AA215" i="51"/>
  <c r="AA214" i="51"/>
  <c r="AA213" i="51"/>
  <c r="AA212" i="51"/>
  <c r="AA211" i="51"/>
  <c r="AA210" i="51"/>
  <c r="AA209" i="51"/>
  <c r="AA208" i="51"/>
  <c r="AA207" i="51"/>
  <c r="AA206" i="51"/>
  <c r="AA205" i="51"/>
  <c r="AA204" i="51"/>
  <c r="AA203" i="51"/>
  <c r="AA202" i="51"/>
  <c r="AA201" i="51"/>
  <c r="AA200" i="51"/>
  <c r="AA199" i="51"/>
  <c r="AA198" i="51"/>
  <c r="AA197" i="51"/>
  <c r="AA196" i="51"/>
  <c r="AA195" i="51"/>
  <c r="AA194" i="51"/>
  <c r="AA193" i="51"/>
  <c r="AA192" i="51"/>
  <c r="AA191" i="51"/>
  <c r="AA190" i="51"/>
  <c r="AA189" i="51"/>
  <c r="AA188" i="51"/>
  <c r="AA187" i="51"/>
  <c r="AA186" i="51"/>
  <c r="AA185" i="51"/>
  <c r="AA184" i="51"/>
  <c r="AA183" i="51"/>
  <c r="AA182" i="51"/>
  <c r="AA181" i="51"/>
  <c r="AA180" i="51"/>
  <c r="AA179" i="51"/>
  <c r="AA178" i="51"/>
  <c r="AA177" i="51"/>
  <c r="AA176" i="51"/>
  <c r="AA175" i="51"/>
  <c r="AA174" i="51"/>
  <c r="AA173" i="51"/>
  <c r="AA172" i="51"/>
  <c r="AA171" i="51"/>
  <c r="AA170" i="51"/>
  <c r="AA169" i="51"/>
  <c r="AA168" i="51"/>
  <c r="AA167" i="51"/>
  <c r="AA166" i="51"/>
  <c r="AA165" i="51"/>
  <c r="AA164" i="51"/>
  <c r="AA163" i="51"/>
  <c r="AA162" i="51"/>
  <c r="AA161" i="51"/>
  <c r="AA160" i="51"/>
  <c r="AA159" i="51"/>
  <c r="AA158" i="51"/>
  <c r="AA157" i="51"/>
  <c r="AA156" i="51"/>
  <c r="AA155" i="51"/>
  <c r="AA154" i="51"/>
  <c r="AA153" i="51"/>
  <c r="AA152" i="51"/>
  <c r="AA151" i="51"/>
  <c r="AA150" i="51"/>
  <c r="AA149" i="51"/>
  <c r="AA148" i="51"/>
  <c r="AA147" i="51"/>
  <c r="AA146" i="51"/>
  <c r="AA145" i="51"/>
  <c r="AA144" i="51"/>
  <c r="AA143" i="51"/>
  <c r="AA142" i="51"/>
  <c r="AA141" i="51"/>
  <c r="AA140" i="51"/>
  <c r="AA139" i="51"/>
  <c r="AA138" i="51"/>
  <c r="AA137" i="51"/>
  <c r="AA136" i="51"/>
  <c r="AA135" i="51"/>
  <c r="AA134" i="51"/>
  <c r="AA133" i="51"/>
  <c r="AA132" i="51"/>
  <c r="AA131" i="51"/>
  <c r="AA130" i="51"/>
  <c r="AA129" i="51"/>
  <c r="AA128" i="51"/>
  <c r="AA127" i="51"/>
  <c r="AA126" i="51"/>
  <c r="AA125" i="51"/>
  <c r="AA124" i="51"/>
  <c r="AA123" i="51"/>
  <c r="AA122" i="51"/>
  <c r="AA121" i="51"/>
  <c r="AA120" i="51"/>
  <c r="AA119" i="51"/>
  <c r="AA118" i="51"/>
  <c r="AA117" i="51"/>
  <c r="AA116" i="51"/>
  <c r="AA115" i="51"/>
  <c r="AA114" i="51"/>
  <c r="AA113" i="51"/>
  <c r="AA112" i="51"/>
  <c r="AA111" i="51"/>
  <c r="AA110" i="51"/>
  <c r="AA109" i="51"/>
  <c r="AA108" i="51"/>
  <c r="AA107" i="51"/>
  <c r="AA106" i="51"/>
  <c r="AA105" i="51"/>
  <c r="AA104" i="51"/>
  <c r="AA103" i="51"/>
  <c r="AA102" i="51"/>
  <c r="AA101" i="51"/>
  <c r="AA100" i="51"/>
  <c r="AA99" i="51"/>
  <c r="AA98" i="51"/>
  <c r="AA97" i="51"/>
  <c r="AA96" i="51"/>
  <c r="AA95" i="51"/>
  <c r="AA94" i="51"/>
  <c r="AA93" i="51"/>
  <c r="AA92" i="51"/>
  <c r="AA91" i="51"/>
  <c r="AA90" i="51"/>
  <c r="AA89" i="51"/>
  <c r="AA88" i="51"/>
  <c r="AA87" i="51"/>
  <c r="AA86" i="51"/>
  <c r="AA85" i="51"/>
  <c r="AA84" i="51"/>
  <c r="AA83" i="51"/>
  <c r="AA82" i="51"/>
  <c r="AA81" i="51"/>
  <c r="AA80" i="51"/>
  <c r="AA79" i="51"/>
  <c r="AA78" i="51"/>
  <c r="AA77" i="51"/>
  <c r="AA76" i="51"/>
  <c r="AA75" i="51"/>
  <c r="AA74" i="51"/>
  <c r="AA73" i="51"/>
  <c r="AA72" i="51"/>
  <c r="AA71" i="51"/>
  <c r="AA70" i="51"/>
  <c r="AA69" i="51"/>
  <c r="AA68" i="51"/>
  <c r="AA67" i="51"/>
  <c r="AA66" i="51"/>
  <c r="AA65" i="51"/>
  <c r="AA64" i="51"/>
  <c r="AA63" i="51"/>
  <c r="AA62" i="51"/>
  <c r="AA61" i="51"/>
  <c r="AA60" i="51"/>
  <c r="AA59" i="51"/>
  <c r="AA58" i="51"/>
  <c r="AA57" i="51"/>
  <c r="AA56" i="51"/>
  <c r="AA55" i="51"/>
  <c r="AA54" i="51"/>
  <c r="AA53" i="51"/>
  <c r="AA52" i="51"/>
  <c r="AA51" i="51"/>
  <c r="AA50" i="51"/>
  <c r="AA49" i="51"/>
  <c r="AA48" i="51"/>
  <c r="AA47" i="51"/>
  <c r="AA46" i="51"/>
  <c r="AA45" i="51"/>
  <c r="AA44" i="51"/>
  <c r="AA43" i="51"/>
  <c r="AA42" i="51"/>
  <c r="AA41" i="51"/>
  <c r="AA40" i="51"/>
  <c r="AA39" i="51"/>
  <c r="AA38" i="51"/>
  <c r="AA37" i="51"/>
  <c r="AA36" i="51"/>
  <c r="AA35" i="51"/>
  <c r="AA34" i="51"/>
  <c r="AA33" i="51"/>
  <c r="AA32" i="51"/>
  <c r="AA31" i="51"/>
  <c r="AA30" i="51"/>
  <c r="AA29" i="51"/>
  <c r="AA28" i="51"/>
  <c r="AA27" i="51"/>
  <c r="AA26" i="51"/>
  <c r="AA25" i="51"/>
  <c r="AA24" i="51"/>
  <c r="AA23" i="51"/>
  <c r="AA22" i="51"/>
  <c r="AA21" i="51"/>
  <c r="AA20" i="51"/>
  <c r="AA19" i="51"/>
  <c r="AA18" i="51"/>
  <c r="AA17" i="51"/>
  <c r="AA16" i="51"/>
  <c r="AA15" i="51"/>
  <c r="AA14" i="51"/>
  <c r="AA13" i="51"/>
  <c r="AA12" i="51"/>
  <c r="AA11" i="51"/>
  <c r="AA10" i="51"/>
  <c r="AA3" i="51" s="1"/>
  <c r="AA9" i="51"/>
  <c r="AA8" i="51"/>
  <c r="AA7" i="51"/>
  <c r="AA6" i="51"/>
  <c r="AA5" i="51"/>
  <c r="AA4" i="51"/>
  <c r="Y20" i="51"/>
  <c r="Y21" i="51"/>
  <c r="Y22" i="51"/>
  <c r="Y23" i="51"/>
  <c r="Y24" i="51"/>
  <c r="Y25" i="51"/>
  <c r="Y26" i="51"/>
  <c r="Y27" i="51"/>
  <c r="Y231" i="51"/>
  <c r="Y230" i="51"/>
  <c r="Y229" i="51"/>
  <c r="Y228" i="51"/>
  <c r="Y227" i="51"/>
  <c r="Y226" i="51"/>
  <c r="Y225" i="51"/>
  <c r="Y224" i="51"/>
  <c r="Y223" i="51"/>
  <c r="Y222" i="51"/>
  <c r="Y221" i="51"/>
  <c r="Y220" i="51"/>
  <c r="Y219" i="51"/>
  <c r="Y218" i="51"/>
  <c r="Y217" i="51"/>
  <c r="Y216" i="51"/>
  <c r="Y215" i="51"/>
  <c r="Y214" i="51"/>
  <c r="Y213" i="51"/>
  <c r="Y212" i="51"/>
  <c r="Y211" i="51"/>
  <c r="Y210" i="51"/>
  <c r="Y209" i="51"/>
  <c r="Y208" i="51"/>
  <c r="Y207" i="51"/>
  <c r="Y206" i="51"/>
  <c r="Y205" i="51"/>
  <c r="Y204" i="51"/>
  <c r="Y203" i="51"/>
  <c r="Y202" i="51"/>
  <c r="Y201" i="51"/>
  <c r="Y200" i="51"/>
  <c r="Y199" i="51"/>
  <c r="Y198" i="51"/>
  <c r="Y197" i="51"/>
  <c r="Y196" i="51"/>
  <c r="Y195" i="51"/>
  <c r="Y194" i="51"/>
  <c r="Y193" i="51"/>
  <c r="Y192" i="51"/>
  <c r="Y191" i="51"/>
  <c r="Y190" i="51"/>
  <c r="Y189" i="51"/>
  <c r="Y188" i="51"/>
  <c r="Y187" i="51"/>
  <c r="Y186" i="51"/>
  <c r="Y185" i="51"/>
  <c r="Y184" i="51"/>
  <c r="Y183" i="51"/>
  <c r="Y182" i="51"/>
  <c r="Y181" i="51"/>
  <c r="Y180" i="51"/>
  <c r="Y179" i="51"/>
  <c r="Y178" i="51"/>
  <c r="Y177" i="51"/>
  <c r="Y176" i="51"/>
  <c r="Y175" i="51"/>
  <c r="Y174" i="51"/>
  <c r="Y173" i="51"/>
  <c r="Y172" i="51"/>
  <c r="Y171" i="51"/>
  <c r="Y170" i="51"/>
  <c r="Y169" i="51"/>
  <c r="Y168" i="51"/>
  <c r="Y167" i="51"/>
  <c r="Y166" i="51"/>
  <c r="Y165" i="51"/>
  <c r="Y164" i="51"/>
  <c r="Y163" i="51"/>
  <c r="Y162" i="51"/>
  <c r="Y161" i="51"/>
  <c r="Y160" i="51"/>
  <c r="Y159" i="51"/>
  <c r="Y158" i="51"/>
  <c r="Y157" i="51"/>
  <c r="Y156" i="51"/>
  <c r="Y155" i="51"/>
  <c r="Y154" i="51"/>
  <c r="Y153" i="51"/>
  <c r="Y152" i="51"/>
  <c r="Y151" i="51"/>
  <c r="Y150" i="51"/>
  <c r="Y149" i="51"/>
  <c r="Y148" i="51"/>
  <c r="Y147" i="51"/>
  <c r="Y146" i="51"/>
  <c r="Y145" i="51"/>
  <c r="Y144" i="51"/>
  <c r="Y143" i="51"/>
  <c r="Y142" i="51"/>
  <c r="Y141" i="51"/>
  <c r="Y140" i="51"/>
  <c r="Y139" i="51"/>
  <c r="Y138" i="51"/>
  <c r="Y137" i="51"/>
  <c r="Y136" i="51"/>
  <c r="Y135" i="51"/>
  <c r="Y134" i="51"/>
  <c r="Y133" i="51"/>
  <c r="Y132" i="51"/>
  <c r="Y131" i="51"/>
  <c r="Y130" i="51"/>
  <c r="Y129" i="51"/>
  <c r="Y128" i="51"/>
  <c r="Y127" i="51"/>
  <c r="Y126" i="51"/>
  <c r="Y125" i="51"/>
  <c r="Y124" i="51"/>
  <c r="Y123" i="51"/>
  <c r="Y122" i="51"/>
  <c r="Y121" i="51"/>
  <c r="Y120" i="51"/>
  <c r="Y119" i="51"/>
  <c r="Y118" i="51"/>
  <c r="Y117" i="51"/>
  <c r="Y116" i="51"/>
  <c r="Y115" i="51"/>
  <c r="Y114" i="51"/>
  <c r="Y113" i="51"/>
  <c r="Y112" i="51"/>
  <c r="Y111" i="51"/>
  <c r="Y110" i="51"/>
  <c r="Y109" i="51"/>
  <c r="Y108" i="51"/>
  <c r="Y107" i="51"/>
  <c r="Y106" i="51"/>
  <c r="Y105" i="51"/>
  <c r="Y104" i="51"/>
  <c r="Y103" i="51"/>
  <c r="Y102" i="51"/>
  <c r="Y101" i="51"/>
  <c r="Y100" i="51"/>
  <c r="Y99" i="51"/>
  <c r="Y98" i="51"/>
  <c r="Y97" i="51"/>
  <c r="Y96" i="51"/>
  <c r="Y95" i="51"/>
  <c r="Y94" i="51"/>
  <c r="Y93" i="51"/>
  <c r="Y92" i="51"/>
  <c r="Y91" i="51"/>
  <c r="Y90" i="51"/>
  <c r="Y89" i="51"/>
  <c r="Y88" i="51"/>
  <c r="Y87" i="51"/>
  <c r="Y86" i="51"/>
  <c r="Y85" i="51"/>
  <c r="Y84" i="51"/>
  <c r="Y83" i="51"/>
  <c r="Y82" i="51"/>
  <c r="Y81" i="51"/>
  <c r="Y80" i="51"/>
  <c r="Y79" i="51"/>
  <c r="Y78" i="51"/>
  <c r="Y77" i="51"/>
  <c r="Y76" i="51"/>
  <c r="Y75" i="51"/>
  <c r="Y74" i="51"/>
  <c r="Y73" i="51"/>
  <c r="Y72" i="51"/>
  <c r="Y71" i="51"/>
  <c r="Y70" i="51"/>
  <c r="Y69" i="51"/>
  <c r="Y68" i="51"/>
  <c r="Y67" i="51"/>
  <c r="Y66" i="51"/>
  <c r="Y65" i="51"/>
  <c r="Y64" i="51"/>
  <c r="Y63" i="51"/>
  <c r="Y62" i="51"/>
  <c r="Y61" i="51"/>
  <c r="Y60" i="51"/>
  <c r="Y59" i="51"/>
  <c r="Y58" i="51"/>
  <c r="Y57" i="51"/>
  <c r="Y56" i="51"/>
  <c r="Y55" i="51"/>
  <c r="Y54" i="51"/>
  <c r="Y53" i="51"/>
  <c r="Y52" i="51"/>
  <c r="Y51" i="51"/>
  <c r="Y50" i="51"/>
  <c r="Y49" i="51"/>
  <c r="Y48" i="51"/>
  <c r="Y47" i="51"/>
  <c r="Y46" i="51"/>
  <c r="Y45" i="51"/>
  <c r="Y44" i="51"/>
  <c r="Y43" i="51"/>
  <c r="Y42" i="51"/>
  <c r="Y41" i="51"/>
  <c r="Y40" i="51"/>
  <c r="Y39" i="51"/>
  <c r="Y38" i="51"/>
  <c r="Y37" i="51"/>
  <c r="Y36" i="51"/>
  <c r="Y35" i="51"/>
  <c r="Y34" i="51"/>
  <c r="Y33" i="51"/>
  <c r="Y32" i="51"/>
  <c r="Y31" i="51"/>
  <c r="Y30" i="51"/>
  <c r="Y29" i="51"/>
  <c r="Y28" i="51"/>
  <c r="Y19" i="51"/>
  <c r="Y18" i="51"/>
  <c r="Y17" i="51"/>
  <c r="Y16" i="51"/>
  <c r="Y15" i="51"/>
  <c r="Y14" i="51"/>
  <c r="Y13" i="51"/>
  <c r="Y12" i="51"/>
  <c r="Y11" i="51"/>
  <c r="Y10" i="51"/>
  <c r="Y9" i="51"/>
  <c r="Y8" i="51"/>
  <c r="Y7" i="51"/>
  <c r="Y6" i="51"/>
  <c r="Y5" i="51"/>
  <c r="Y4" i="51"/>
  <c r="Y3" i="51" l="1"/>
  <c r="K145" i="19" l="1"/>
  <c r="D7" i="3"/>
  <c r="C7" i="3"/>
  <c r="B7" i="3"/>
  <c r="G123" i="45" l="1"/>
  <c r="K3" i="52" l="1"/>
  <c r="F1" i="19" l="1"/>
  <c r="H1" i="52"/>
  <c r="U231" i="52" l="1"/>
  <c r="S231" i="52"/>
  <c r="Q231" i="52"/>
  <c r="O231" i="52"/>
  <c r="M231" i="52"/>
  <c r="K231" i="52"/>
  <c r="I231" i="52"/>
  <c r="U230" i="52"/>
  <c r="S230" i="52"/>
  <c r="Q230" i="52"/>
  <c r="O230" i="52"/>
  <c r="M230" i="52"/>
  <c r="K230" i="52"/>
  <c r="I230" i="52"/>
  <c r="U229" i="52"/>
  <c r="S229" i="52"/>
  <c r="Q229" i="52"/>
  <c r="O229" i="52"/>
  <c r="M229" i="52"/>
  <c r="K229" i="52"/>
  <c r="I229" i="52"/>
  <c r="U228" i="52"/>
  <c r="S228" i="52"/>
  <c r="Q228" i="52"/>
  <c r="O228" i="52"/>
  <c r="M228" i="52"/>
  <c r="K228" i="52"/>
  <c r="I228" i="52"/>
  <c r="U227" i="52"/>
  <c r="S227" i="52"/>
  <c r="Q227" i="52"/>
  <c r="O227" i="52"/>
  <c r="M227" i="52"/>
  <c r="K227" i="52"/>
  <c r="I227" i="52"/>
  <c r="U226" i="52"/>
  <c r="S226" i="52"/>
  <c r="Q226" i="52"/>
  <c r="O226" i="52"/>
  <c r="M226" i="52"/>
  <c r="K226" i="52"/>
  <c r="I226" i="52"/>
  <c r="U225" i="52"/>
  <c r="S225" i="52"/>
  <c r="Q225" i="52"/>
  <c r="O225" i="52"/>
  <c r="M225" i="52"/>
  <c r="K225" i="52"/>
  <c r="I225" i="52"/>
  <c r="U224" i="52"/>
  <c r="S224" i="52"/>
  <c r="Q224" i="52"/>
  <c r="O224" i="52"/>
  <c r="M224" i="52"/>
  <c r="K224" i="52"/>
  <c r="I224" i="52"/>
  <c r="U223" i="52"/>
  <c r="S223" i="52"/>
  <c r="Q223" i="52"/>
  <c r="O223" i="52"/>
  <c r="M223" i="52"/>
  <c r="K223" i="52"/>
  <c r="I223" i="52"/>
  <c r="U222" i="52"/>
  <c r="S222" i="52"/>
  <c r="Q222" i="52"/>
  <c r="O222" i="52"/>
  <c r="M222" i="52"/>
  <c r="K222" i="52"/>
  <c r="I222" i="52"/>
  <c r="U221" i="52"/>
  <c r="S221" i="52"/>
  <c r="Q221" i="52"/>
  <c r="O221" i="52"/>
  <c r="M221" i="52"/>
  <c r="K221" i="52"/>
  <c r="I221" i="52"/>
  <c r="AA220" i="52"/>
  <c r="U220" i="52"/>
  <c r="S220" i="52"/>
  <c r="Q220" i="52"/>
  <c r="O220" i="52"/>
  <c r="M220" i="52"/>
  <c r="K220" i="52"/>
  <c r="I220" i="52"/>
  <c r="U219" i="52"/>
  <c r="S219" i="52"/>
  <c r="Q219" i="52"/>
  <c r="O219" i="52"/>
  <c r="M219" i="52"/>
  <c r="K219" i="52"/>
  <c r="I219" i="52"/>
  <c r="U218" i="52"/>
  <c r="S218" i="52"/>
  <c r="Q218" i="52"/>
  <c r="O218" i="52"/>
  <c r="M218" i="52"/>
  <c r="K218" i="52"/>
  <c r="I218" i="52"/>
  <c r="U217" i="52"/>
  <c r="S217" i="52"/>
  <c r="Q217" i="52"/>
  <c r="O217" i="52"/>
  <c r="M217" i="52"/>
  <c r="K217" i="52"/>
  <c r="I217" i="52"/>
  <c r="U216" i="52"/>
  <c r="S216" i="52"/>
  <c r="Q216" i="52"/>
  <c r="O216" i="52"/>
  <c r="M216" i="52"/>
  <c r="K216" i="52"/>
  <c r="I216" i="52"/>
  <c r="U215" i="52"/>
  <c r="S215" i="52"/>
  <c r="Q215" i="52"/>
  <c r="O215" i="52"/>
  <c r="M215" i="52"/>
  <c r="K215" i="52"/>
  <c r="I215" i="52"/>
  <c r="U214" i="52"/>
  <c r="S214" i="52"/>
  <c r="Q214" i="52"/>
  <c r="O214" i="52"/>
  <c r="M214" i="52"/>
  <c r="K214" i="52"/>
  <c r="I214" i="52"/>
  <c r="U213" i="52"/>
  <c r="S213" i="52"/>
  <c r="Q213" i="52"/>
  <c r="O213" i="52"/>
  <c r="M213" i="52"/>
  <c r="K213" i="52"/>
  <c r="I213" i="52"/>
  <c r="U212" i="52"/>
  <c r="S212" i="52"/>
  <c r="Q212" i="52"/>
  <c r="O212" i="52"/>
  <c r="M212" i="52"/>
  <c r="K212" i="52"/>
  <c r="I212" i="52"/>
  <c r="U211" i="52"/>
  <c r="S211" i="52"/>
  <c r="Q211" i="52"/>
  <c r="O211" i="52"/>
  <c r="M211" i="52"/>
  <c r="K211" i="52"/>
  <c r="I211" i="52"/>
  <c r="U210" i="52"/>
  <c r="S210" i="52"/>
  <c r="Q210" i="52"/>
  <c r="O210" i="52"/>
  <c r="M210" i="52"/>
  <c r="K210" i="52"/>
  <c r="I210" i="52"/>
  <c r="U209" i="52"/>
  <c r="S209" i="52"/>
  <c r="Q209" i="52"/>
  <c r="O209" i="52"/>
  <c r="M209" i="52"/>
  <c r="K209" i="52"/>
  <c r="I209" i="52"/>
  <c r="U208" i="52"/>
  <c r="S208" i="52"/>
  <c r="Q208" i="52"/>
  <c r="O208" i="52"/>
  <c r="M208" i="52"/>
  <c r="K208" i="52"/>
  <c r="I208" i="52"/>
  <c r="U207" i="52"/>
  <c r="S207" i="52"/>
  <c r="Q207" i="52"/>
  <c r="O207" i="52"/>
  <c r="M207" i="52"/>
  <c r="K207" i="52"/>
  <c r="I207" i="52"/>
  <c r="U206" i="52"/>
  <c r="S206" i="52"/>
  <c r="Q206" i="52"/>
  <c r="O206" i="52"/>
  <c r="M206" i="52"/>
  <c r="K206" i="52"/>
  <c r="I206" i="52"/>
  <c r="U205" i="52"/>
  <c r="S205" i="52"/>
  <c r="Q205" i="52"/>
  <c r="O205" i="52"/>
  <c r="M205" i="52"/>
  <c r="K205" i="52"/>
  <c r="I205" i="52"/>
  <c r="U204" i="52"/>
  <c r="S204" i="52"/>
  <c r="Q204" i="52"/>
  <c r="O204" i="52"/>
  <c r="M204" i="52"/>
  <c r="K204" i="52"/>
  <c r="I204" i="52"/>
  <c r="U203" i="52"/>
  <c r="S203" i="52"/>
  <c r="Q203" i="52"/>
  <c r="O203" i="52"/>
  <c r="M203" i="52"/>
  <c r="K203" i="52"/>
  <c r="I203" i="52"/>
  <c r="U202" i="52"/>
  <c r="S202" i="52"/>
  <c r="Q202" i="52"/>
  <c r="O202" i="52"/>
  <c r="M202" i="52"/>
  <c r="K202" i="52"/>
  <c r="I202" i="52"/>
  <c r="U201" i="52"/>
  <c r="S201" i="52"/>
  <c r="Q201" i="52"/>
  <c r="O201" i="52"/>
  <c r="M201" i="52"/>
  <c r="K201" i="52"/>
  <c r="I201" i="52"/>
  <c r="U200" i="52"/>
  <c r="S200" i="52"/>
  <c r="Q200" i="52"/>
  <c r="O200" i="52"/>
  <c r="M200" i="52"/>
  <c r="K200" i="52"/>
  <c r="I200" i="52"/>
  <c r="U199" i="52"/>
  <c r="S199" i="52"/>
  <c r="Q199" i="52"/>
  <c r="O199" i="52"/>
  <c r="M199" i="52"/>
  <c r="K199" i="52"/>
  <c r="I199" i="52"/>
  <c r="U198" i="52"/>
  <c r="S198" i="52"/>
  <c r="Q198" i="52"/>
  <c r="O198" i="52"/>
  <c r="M198" i="52"/>
  <c r="K198" i="52"/>
  <c r="I198" i="52"/>
  <c r="U197" i="52"/>
  <c r="S197" i="52"/>
  <c r="Q197" i="52"/>
  <c r="O197" i="52"/>
  <c r="M197" i="52"/>
  <c r="K197" i="52"/>
  <c r="I197" i="52"/>
  <c r="U196" i="52"/>
  <c r="S196" i="52"/>
  <c r="Q196" i="52"/>
  <c r="O196" i="52"/>
  <c r="M196" i="52"/>
  <c r="K196" i="52"/>
  <c r="I196" i="52"/>
  <c r="U195" i="52"/>
  <c r="S195" i="52"/>
  <c r="Q195" i="52"/>
  <c r="O195" i="52"/>
  <c r="M195" i="52"/>
  <c r="K195" i="52"/>
  <c r="I195" i="52"/>
  <c r="U194" i="52"/>
  <c r="S194" i="52"/>
  <c r="Q194" i="52"/>
  <c r="O194" i="52"/>
  <c r="M194" i="52"/>
  <c r="K194" i="52"/>
  <c r="I194" i="52"/>
  <c r="U193" i="52"/>
  <c r="S193" i="52"/>
  <c r="Q193" i="52"/>
  <c r="O193" i="52"/>
  <c r="M193" i="52"/>
  <c r="K193" i="52"/>
  <c r="I193" i="52"/>
  <c r="U192" i="52"/>
  <c r="S192" i="52"/>
  <c r="Q192" i="52"/>
  <c r="O192" i="52"/>
  <c r="M192" i="52"/>
  <c r="K192" i="52"/>
  <c r="I192" i="52"/>
  <c r="U191" i="52"/>
  <c r="S191" i="52"/>
  <c r="Q191" i="52"/>
  <c r="O191" i="52"/>
  <c r="M191" i="52"/>
  <c r="K191" i="52"/>
  <c r="I191" i="52"/>
  <c r="U190" i="52"/>
  <c r="S190" i="52"/>
  <c r="Q190" i="52"/>
  <c r="O190" i="52"/>
  <c r="M190" i="52"/>
  <c r="K190" i="52"/>
  <c r="I190" i="52"/>
  <c r="U189" i="52"/>
  <c r="S189" i="52"/>
  <c r="Q189" i="52"/>
  <c r="O189" i="52"/>
  <c r="M189" i="52"/>
  <c r="K189" i="52"/>
  <c r="I189" i="52"/>
  <c r="U188" i="52"/>
  <c r="S188" i="52"/>
  <c r="Q188" i="52"/>
  <c r="O188" i="52"/>
  <c r="M188" i="52"/>
  <c r="K188" i="52"/>
  <c r="I188" i="52"/>
  <c r="U187" i="52"/>
  <c r="S187" i="52"/>
  <c r="Q187" i="52"/>
  <c r="O187" i="52"/>
  <c r="M187" i="52"/>
  <c r="K187" i="52"/>
  <c r="I187" i="52"/>
  <c r="U186" i="52"/>
  <c r="S186" i="52"/>
  <c r="Q186" i="52"/>
  <c r="O186" i="52"/>
  <c r="M186" i="52"/>
  <c r="K186" i="52"/>
  <c r="I186" i="52"/>
  <c r="U185" i="52"/>
  <c r="S185" i="52"/>
  <c r="Q185" i="52"/>
  <c r="O185" i="52"/>
  <c r="M185" i="52"/>
  <c r="K185" i="52"/>
  <c r="I185" i="52"/>
  <c r="U184" i="52"/>
  <c r="S184" i="52"/>
  <c r="Q184" i="52"/>
  <c r="O184" i="52"/>
  <c r="M184" i="52"/>
  <c r="K184" i="52"/>
  <c r="I184" i="52"/>
  <c r="U183" i="52"/>
  <c r="S183" i="52"/>
  <c r="Q183" i="52"/>
  <c r="O183" i="52"/>
  <c r="M183" i="52"/>
  <c r="K183" i="52"/>
  <c r="I183" i="52"/>
  <c r="U182" i="52"/>
  <c r="S182" i="52"/>
  <c r="Q182" i="52"/>
  <c r="O182" i="52"/>
  <c r="M182" i="52"/>
  <c r="K182" i="52"/>
  <c r="I182" i="52"/>
  <c r="U181" i="52"/>
  <c r="S181" i="52"/>
  <c r="Q181" i="52"/>
  <c r="O181" i="52"/>
  <c r="M181" i="52"/>
  <c r="K181" i="52"/>
  <c r="I181" i="52"/>
  <c r="U180" i="52"/>
  <c r="S180" i="52"/>
  <c r="Q180" i="52"/>
  <c r="O180" i="52"/>
  <c r="M180" i="52"/>
  <c r="K180" i="52"/>
  <c r="I180" i="52"/>
  <c r="U179" i="52"/>
  <c r="S179" i="52"/>
  <c r="Q179" i="52"/>
  <c r="O179" i="52"/>
  <c r="M179" i="52"/>
  <c r="K179" i="52"/>
  <c r="I179" i="52"/>
  <c r="U178" i="52"/>
  <c r="S178" i="52"/>
  <c r="Q178" i="52"/>
  <c r="O178" i="52"/>
  <c r="M178" i="52"/>
  <c r="K178" i="52"/>
  <c r="I178" i="52"/>
  <c r="U177" i="52"/>
  <c r="S177" i="52"/>
  <c r="Q177" i="52"/>
  <c r="O177" i="52"/>
  <c r="M177" i="52"/>
  <c r="K177" i="52"/>
  <c r="I177" i="52"/>
  <c r="U176" i="52"/>
  <c r="S176" i="52"/>
  <c r="Q176" i="52"/>
  <c r="O176" i="52"/>
  <c r="M176" i="52"/>
  <c r="K176" i="52"/>
  <c r="I176" i="52"/>
  <c r="U175" i="52"/>
  <c r="S175" i="52"/>
  <c r="Q175" i="52"/>
  <c r="O175" i="52"/>
  <c r="M175" i="52"/>
  <c r="K175" i="52"/>
  <c r="I175" i="52"/>
  <c r="U174" i="52"/>
  <c r="S174" i="52"/>
  <c r="Q174" i="52"/>
  <c r="O174" i="52"/>
  <c r="M174" i="52"/>
  <c r="K174" i="52"/>
  <c r="I174" i="52"/>
  <c r="U173" i="52"/>
  <c r="S173" i="52"/>
  <c r="Q173" i="52"/>
  <c r="O173" i="52"/>
  <c r="M173" i="52"/>
  <c r="K173" i="52"/>
  <c r="I173" i="52"/>
  <c r="U172" i="52"/>
  <c r="S172" i="52"/>
  <c r="Q172" i="52"/>
  <c r="O172" i="52"/>
  <c r="M172" i="52"/>
  <c r="K172" i="52"/>
  <c r="I172" i="52"/>
  <c r="U171" i="52"/>
  <c r="S171" i="52"/>
  <c r="Q171" i="52"/>
  <c r="O171" i="52"/>
  <c r="M171" i="52"/>
  <c r="K171" i="52"/>
  <c r="I171" i="52"/>
  <c r="U170" i="52"/>
  <c r="S170" i="52"/>
  <c r="Q170" i="52"/>
  <c r="O170" i="52"/>
  <c r="M170" i="52"/>
  <c r="K170" i="52"/>
  <c r="I170" i="52"/>
  <c r="U169" i="52"/>
  <c r="S169" i="52"/>
  <c r="Q169" i="52"/>
  <c r="O169" i="52"/>
  <c r="M169" i="52"/>
  <c r="K169" i="52"/>
  <c r="I169" i="52"/>
  <c r="U168" i="52"/>
  <c r="S168" i="52"/>
  <c r="Q168" i="52"/>
  <c r="O168" i="52"/>
  <c r="M168" i="52"/>
  <c r="K168" i="52"/>
  <c r="I168" i="52"/>
  <c r="U167" i="52"/>
  <c r="S167" i="52"/>
  <c r="Q167" i="52"/>
  <c r="O167" i="52"/>
  <c r="M167" i="52"/>
  <c r="K167" i="52"/>
  <c r="I167" i="52"/>
  <c r="U166" i="52"/>
  <c r="S166" i="52"/>
  <c r="Q166" i="52"/>
  <c r="O166" i="52"/>
  <c r="M166" i="52"/>
  <c r="K166" i="52"/>
  <c r="I166" i="52"/>
  <c r="U165" i="52"/>
  <c r="S165" i="52"/>
  <c r="Q165" i="52"/>
  <c r="O165" i="52"/>
  <c r="M165" i="52"/>
  <c r="K165" i="52"/>
  <c r="I165" i="52"/>
  <c r="U164" i="52"/>
  <c r="S164" i="52"/>
  <c r="Q164" i="52"/>
  <c r="O164" i="52"/>
  <c r="M164" i="52"/>
  <c r="K164" i="52"/>
  <c r="I164" i="52"/>
  <c r="U163" i="52"/>
  <c r="S163" i="52"/>
  <c r="Q163" i="52"/>
  <c r="O163" i="52"/>
  <c r="M163" i="52"/>
  <c r="K163" i="52"/>
  <c r="I163" i="52"/>
  <c r="U162" i="52"/>
  <c r="S162" i="52"/>
  <c r="Q162" i="52"/>
  <c r="O162" i="52"/>
  <c r="M162" i="52"/>
  <c r="K162" i="52"/>
  <c r="I162" i="52"/>
  <c r="U161" i="52"/>
  <c r="S161" i="52"/>
  <c r="Q161" i="52"/>
  <c r="O161" i="52"/>
  <c r="M161" i="52"/>
  <c r="K161" i="52"/>
  <c r="I161" i="52"/>
  <c r="U160" i="52"/>
  <c r="S160" i="52"/>
  <c r="Q160" i="52"/>
  <c r="O160" i="52"/>
  <c r="M160" i="52"/>
  <c r="K160" i="52"/>
  <c r="I160" i="52"/>
  <c r="U159" i="52"/>
  <c r="S159" i="52"/>
  <c r="Q159" i="52"/>
  <c r="O159" i="52"/>
  <c r="M159" i="52"/>
  <c r="K159" i="52"/>
  <c r="I159" i="52"/>
  <c r="U158" i="52"/>
  <c r="S158" i="52"/>
  <c r="Q158" i="52"/>
  <c r="O158" i="52"/>
  <c r="M158" i="52"/>
  <c r="K158" i="52"/>
  <c r="I158" i="52"/>
  <c r="U157" i="52"/>
  <c r="S157" i="52"/>
  <c r="Q157" i="52"/>
  <c r="O157" i="52"/>
  <c r="M157" i="52"/>
  <c r="K157" i="52"/>
  <c r="I157" i="52"/>
  <c r="U156" i="52"/>
  <c r="S156" i="52"/>
  <c r="Q156" i="52"/>
  <c r="O156" i="52"/>
  <c r="M156" i="52"/>
  <c r="K156" i="52"/>
  <c r="I156" i="52"/>
  <c r="U155" i="52"/>
  <c r="S155" i="52"/>
  <c r="Q155" i="52"/>
  <c r="O155" i="52"/>
  <c r="M155" i="52"/>
  <c r="K155" i="52"/>
  <c r="I155" i="52"/>
  <c r="U154" i="52"/>
  <c r="S154" i="52"/>
  <c r="Q154" i="52"/>
  <c r="O154" i="52"/>
  <c r="M154" i="52"/>
  <c r="K154" i="52"/>
  <c r="I154" i="52"/>
  <c r="U153" i="52"/>
  <c r="S153" i="52"/>
  <c r="Q153" i="52"/>
  <c r="O153" i="52"/>
  <c r="M153" i="52"/>
  <c r="K153" i="52"/>
  <c r="I153" i="52"/>
  <c r="U152" i="52"/>
  <c r="S152" i="52"/>
  <c r="Q152" i="52"/>
  <c r="O152" i="52"/>
  <c r="M152" i="52"/>
  <c r="K152" i="52"/>
  <c r="I152" i="52"/>
  <c r="U151" i="52"/>
  <c r="S151" i="52"/>
  <c r="Q151" i="52"/>
  <c r="O151" i="52"/>
  <c r="M151" i="52"/>
  <c r="K151" i="52"/>
  <c r="I151" i="52"/>
  <c r="U150" i="52"/>
  <c r="S150" i="52"/>
  <c r="Q150" i="52"/>
  <c r="O150" i="52"/>
  <c r="M150" i="52"/>
  <c r="K150" i="52"/>
  <c r="I150" i="52"/>
  <c r="U149" i="52"/>
  <c r="S149" i="52"/>
  <c r="Q149" i="52"/>
  <c r="O149" i="52"/>
  <c r="M149" i="52"/>
  <c r="K149" i="52"/>
  <c r="I149" i="52"/>
  <c r="U148" i="52"/>
  <c r="S148" i="52"/>
  <c r="Q148" i="52"/>
  <c r="O148" i="52"/>
  <c r="M148" i="52"/>
  <c r="K148" i="52"/>
  <c r="I148" i="52"/>
  <c r="U147" i="52"/>
  <c r="S147" i="52"/>
  <c r="Q147" i="52"/>
  <c r="O147" i="52"/>
  <c r="M147" i="52"/>
  <c r="K147" i="52"/>
  <c r="I147" i="52"/>
  <c r="U146" i="52"/>
  <c r="S146" i="52"/>
  <c r="Q146" i="52"/>
  <c r="O146" i="52"/>
  <c r="M146" i="52"/>
  <c r="K146" i="52"/>
  <c r="I146" i="52"/>
  <c r="U145" i="52"/>
  <c r="S145" i="52"/>
  <c r="Q145" i="52"/>
  <c r="O145" i="52"/>
  <c r="M145" i="52"/>
  <c r="K145" i="52"/>
  <c r="I145" i="52"/>
  <c r="U144" i="52"/>
  <c r="S144" i="52"/>
  <c r="Q144" i="52"/>
  <c r="O144" i="52"/>
  <c r="M144" i="52"/>
  <c r="K144" i="52"/>
  <c r="I144" i="52"/>
  <c r="U143" i="52"/>
  <c r="S143" i="52"/>
  <c r="Q143" i="52"/>
  <c r="O143" i="52"/>
  <c r="M143" i="52"/>
  <c r="K143" i="52"/>
  <c r="I143" i="52"/>
  <c r="U142" i="52"/>
  <c r="S142" i="52"/>
  <c r="Q142" i="52"/>
  <c r="O142" i="52"/>
  <c r="M142" i="52"/>
  <c r="K142" i="52"/>
  <c r="I142" i="52"/>
  <c r="U141" i="52"/>
  <c r="S141" i="52"/>
  <c r="Q141" i="52"/>
  <c r="O141" i="52"/>
  <c r="M141" i="52"/>
  <c r="K141" i="52"/>
  <c r="I141" i="52"/>
  <c r="U140" i="52"/>
  <c r="S140" i="52"/>
  <c r="Q140" i="52"/>
  <c r="O140" i="52"/>
  <c r="M140" i="52"/>
  <c r="K140" i="52"/>
  <c r="I140" i="52"/>
  <c r="U139" i="52"/>
  <c r="S139" i="52"/>
  <c r="Q139" i="52"/>
  <c r="O139" i="52"/>
  <c r="M139" i="52"/>
  <c r="K139" i="52"/>
  <c r="I139" i="52"/>
  <c r="U138" i="52"/>
  <c r="S138" i="52"/>
  <c r="Q138" i="52"/>
  <c r="O138" i="52"/>
  <c r="M138" i="52"/>
  <c r="K138" i="52"/>
  <c r="I138" i="52"/>
  <c r="U137" i="52"/>
  <c r="S137" i="52"/>
  <c r="Q137" i="52"/>
  <c r="O137" i="52"/>
  <c r="M137" i="52"/>
  <c r="K137" i="52"/>
  <c r="I137" i="52"/>
  <c r="U136" i="52"/>
  <c r="S136" i="52"/>
  <c r="Q136" i="52"/>
  <c r="O136" i="52"/>
  <c r="M136" i="52"/>
  <c r="K136" i="52"/>
  <c r="I136" i="52"/>
  <c r="U135" i="52"/>
  <c r="S135" i="52"/>
  <c r="Q135" i="52"/>
  <c r="O135" i="52"/>
  <c r="M135" i="52"/>
  <c r="K135" i="52"/>
  <c r="I135" i="52"/>
  <c r="U134" i="52"/>
  <c r="S134" i="52"/>
  <c r="Q134" i="52"/>
  <c r="O134" i="52"/>
  <c r="M134" i="52"/>
  <c r="K134" i="52"/>
  <c r="I134" i="52"/>
  <c r="U133" i="52"/>
  <c r="S133" i="52"/>
  <c r="Q133" i="52"/>
  <c r="O133" i="52"/>
  <c r="M133" i="52"/>
  <c r="K133" i="52"/>
  <c r="I133" i="52"/>
  <c r="U132" i="52"/>
  <c r="S132" i="52"/>
  <c r="Q132" i="52"/>
  <c r="O132" i="52"/>
  <c r="M132" i="52"/>
  <c r="K132" i="52"/>
  <c r="I132" i="52"/>
  <c r="U131" i="52"/>
  <c r="S131" i="52"/>
  <c r="Q131" i="52"/>
  <c r="O131" i="52"/>
  <c r="M131" i="52"/>
  <c r="K131" i="52"/>
  <c r="I131" i="52"/>
  <c r="U130" i="52"/>
  <c r="S130" i="52"/>
  <c r="Q130" i="52"/>
  <c r="O130" i="52"/>
  <c r="M130" i="52"/>
  <c r="K130" i="52"/>
  <c r="I130" i="52"/>
  <c r="U129" i="52"/>
  <c r="S129" i="52"/>
  <c r="Q129" i="52"/>
  <c r="O129" i="52"/>
  <c r="M129" i="52"/>
  <c r="K129" i="52"/>
  <c r="I129" i="52"/>
  <c r="U128" i="52"/>
  <c r="S128" i="52"/>
  <c r="Q128" i="52"/>
  <c r="O128" i="52"/>
  <c r="M128" i="52"/>
  <c r="K128" i="52"/>
  <c r="I128" i="52"/>
  <c r="U127" i="52"/>
  <c r="S127" i="52"/>
  <c r="Q127" i="52"/>
  <c r="O127" i="52"/>
  <c r="M127" i="52"/>
  <c r="K127" i="52"/>
  <c r="I127" i="52"/>
  <c r="U126" i="52"/>
  <c r="S126" i="52"/>
  <c r="Q126" i="52"/>
  <c r="O126" i="52"/>
  <c r="M126" i="52"/>
  <c r="K126" i="52"/>
  <c r="I126" i="52"/>
  <c r="U125" i="52"/>
  <c r="S125" i="52"/>
  <c r="Q125" i="52"/>
  <c r="O125" i="52"/>
  <c r="M125" i="52"/>
  <c r="K125" i="52"/>
  <c r="I125" i="52"/>
  <c r="U124" i="52"/>
  <c r="S124" i="52"/>
  <c r="Q124" i="52"/>
  <c r="O124" i="52"/>
  <c r="M124" i="52"/>
  <c r="K124" i="52"/>
  <c r="I124" i="52"/>
  <c r="U123" i="52"/>
  <c r="S123" i="52"/>
  <c r="Q123" i="52"/>
  <c r="O123" i="52"/>
  <c r="M123" i="52"/>
  <c r="K123" i="52"/>
  <c r="I123" i="52"/>
  <c r="U122" i="52"/>
  <c r="S122" i="52"/>
  <c r="Q122" i="52"/>
  <c r="O122" i="52"/>
  <c r="M122" i="52"/>
  <c r="K122" i="52"/>
  <c r="I122" i="52"/>
  <c r="U121" i="52"/>
  <c r="S121" i="52"/>
  <c r="Q121" i="52"/>
  <c r="O121" i="52"/>
  <c r="M121" i="52"/>
  <c r="K121" i="52"/>
  <c r="I121" i="52"/>
  <c r="U120" i="52"/>
  <c r="S120" i="52"/>
  <c r="Q120" i="52"/>
  <c r="O120" i="52"/>
  <c r="M120" i="52"/>
  <c r="K120" i="52"/>
  <c r="I120" i="52"/>
  <c r="U119" i="52"/>
  <c r="S119" i="52"/>
  <c r="Q119" i="52"/>
  <c r="O119" i="52"/>
  <c r="M119" i="52"/>
  <c r="K119" i="52"/>
  <c r="I119" i="52"/>
  <c r="U118" i="52"/>
  <c r="S118" i="52"/>
  <c r="Q118" i="52"/>
  <c r="O118" i="52"/>
  <c r="M118" i="52"/>
  <c r="K118" i="52"/>
  <c r="I118" i="52"/>
  <c r="U117" i="52"/>
  <c r="S117" i="52"/>
  <c r="Q117" i="52"/>
  <c r="O117" i="52"/>
  <c r="M117" i="52"/>
  <c r="K117" i="52"/>
  <c r="I117" i="52"/>
  <c r="U116" i="52"/>
  <c r="S116" i="52"/>
  <c r="Q116" i="52"/>
  <c r="O116" i="52"/>
  <c r="M116" i="52"/>
  <c r="K116" i="52"/>
  <c r="I116" i="52"/>
  <c r="U115" i="52"/>
  <c r="S115" i="52"/>
  <c r="Q115" i="52"/>
  <c r="O115" i="52"/>
  <c r="M115" i="52"/>
  <c r="K115" i="52"/>
  <c r="I115" i="52"/>
  <c r="U114" i="52"/>
  <c r="S114" i="52"/>
  <c r="Q114" i="52"/>
  <c r="O114" i="52"/>
  <c r="M114" i="52"/>
  <c r="K114" i="52"/>
  <c r="I114" i="52"/>
  <c r="U113" i="52"/>
  <c r="S113" i="52"/>
  <c r="Q113" i="52"/>
  <c r="O113" i="52"/>
  <c r="M113" i="52"/>
  <c r="K113" i="52"/>
  <c r="I113" i="52"/>
  <c r="U112" i="52"/>
  <c r="S112" i="52"/>
  <c r="Q112" i="52"/>
  <c r="O112" i="52"/>
  <c r="M112" i="52"/>
  <c r="K112" i="52"/>
  <c r="I112" i="52"/>
  <c r="U111" i="52"/>
  <c r="S111" i="52"/>
  <c r="Q111" i="52"/>
  <c r="O111" i="52"/>
  <c r="M111" i="52"/>
  <c r="K111" i="52"/>
  <c r="I111" i="52"/>
  <c r="U110" i="52"/>
  <c r="S110" i="52"/>
  <c r="Q110" i="52"/>
  <c r="O110" i="52"/>
  <c r="M110" i="52"/>
  <c r="K110" i="52"/>
  <c r="I110" i="52"/>
  <c r="U109" i="52"/>
  <c r="S109" i="52"/>
  <c r="Q109" i="52"/>
  <c r="O109" i="52"/>
  <c r="M109" i="52"/>
  <c r="K109" i="52"/>
  <c r="I109" i="52"/>
  <c r="U108" i="52"/>
  <c r="S108" i="52"/>
  <c r="Q108" i="52"/>
  <c r="O108" i="52"/>
  <c r="M108" i="52"/>
  <c r="K108" i="52"/>
  <c r="I108" i="52"/>
  <c r="U107" i="52"/>
  <c r="S107" i="52"/>
  <c r="Q107" i="52"/>
  <c r="O107" i="52"/>
  <c r="M107" i="52"/>
  <c r="K107" i="52"/>
  <c r="I107" i="52"/>
  <c r="U106" i="52"/>
  <c r="S106" i="52"/>
  <c r="Q106" i="52"/>
  <c r="O106" i="52"/>
  <c r="M106" i="52"/>
  <c r="K106" i="52"/>
  <c r="I106" i="52"/>
  <c r="U105" i="52"/>
  <c r="S105" i="52"/>
  <c r="Q105" i="52"/>
  <c r="O105" i="52"/>
  <c r="M105" i="52"/>
  <c r="K105" i="52"/>
  <c r="I105" i="52"/>
  <c r="U104" i="52"/>
  <c r="S104" i="52"/>
  <c r="Q104" i="52"/>
  <c r="O104" i="52"/>
  <c r="M104" i="52"/>
  <c r="K104" i="52"/>
  <c r="I104" i="52"/>
  <c r="U103" i="52"/>
  <c r="S103" i="52"/>
  <c r="Q103" i="52"/>
  <c r="O103" i="52"/>
  <c r="M103" i="52"/>
  <c r="K103" i="52"/>
  <c r="I103" i="52"/>
  <c r="U102" i="52"/>
  <c r="S102" i="52"/>
  <c r="Q102" i="52"/>
  <c r="O102" i="52"/>
  <c r="M102" i="52"/>
  <c r="K102" i="52"/>
  <c r="I102" i="52"/>
  <c r="U101" i="52"/>
  <c r="S101" i="52"/>
  <c r="Q101" i="52"/>
  <c r="O101" i="52"/>
  <c r="M101" i="52"/>
  <c r="K101" i="52"/>
  <c r="I101" i="52"/>
  <c r="U100" i="52"/>
  <c r="S100" i="52"/>
  <c r="Q100" i="52"/>
  <c r="O100" i="52"/>
  <c r="M100" i="52"/>
  <c r="K100" i="52"/>
  <c r="I100" i="52"/>
  <c r="U99" i="52"/>
  <c r="S99" i="52"/>
  <c r="Q99" i="52"/>
  <c r="O99" i="52"/>
  <c r="M99" i="52"/>
  <c r="K99" i="52"/>
  <c r="I99" i="52"/>
  <c r="U98" i="52"/>
  <c r="S98" i="52"/>
  <c r="Q98" i="52"/>
  <c r="O98" i="52"/>
  <c r="M98" i="52"/>
  <c r="K98" i="52"/>
  <c r="I98" i="52"/>
  <c r="U97" i="52"/>
  <c r="S97" i="52"/>
  <c r="Q97" i="52"/>
  <c r="O97" i="52"/>
  <c r="M97" i="52"/>
  <c r="K97" i="52"/>
  <c r="I97" i="52"/>
  <c r="U96" i="52"/>
  <c r="S96" i="52"/>
  <c r="Q96" i="52"/>
  <c r="O96" i="52"/>
  <c r="M96" i="52"/>
  <c r="K96" i="52"/>
  <c r="I96" i="52"/>
  <c r="U95" i="52"/>
  <c r="S95" i="52"/>
  <c r="Q95" i="52"/>
  <c r="O95" i="52"/>
  <c r="M95" i="52"/>
  <c r="K95" i="52"/>
  <c r="I95" i="52"/>
  <c r="U94" i="52"/>
  <c r="S94" i="52"/>
  <c r="Q94" i="52"/>
  <c r="O94" i="52"/>
  <c r="M94" i="52"/>
  <c r="K94" i="52"/>
  <c r="I94" i="52"/>
  <c r="U93" i="52"/>
  <c r="S93" i="52"/>
  <c r="Q93" i="52"/>
  <c r="O93" i="52"/>
  <c r="M93" i="52"/>
  <c r="K93" i="52"/>
  <c r="I93" i="52"/>
  <c r="U92" i="52"/>
  <c r="S92" i="52"/>
  <c r="Q92" i="52"/>
  <c r="O92" i="52"/>
  <c r="M92" i="52"/>
  <c r="K92" i="52"/>
  <c r="I92" i="52"/>
  <c r="U91" i="52"/>
  <c r="S91" i="52"/>
  <c r="Q91" i="52"/>
  <c r="O91" i="52"/>
  <c r="M91" i="52"/>
  <c r="K91" i="52"/>
  <c r="I91" i="52"/>
  <c r="U90" i="52"/>
  <c r="S90" i="52"/>
  <c r="Q90" i="52"/>
  <c r="O90" i="52"/>
  <c r="M90" i="52"/>
  <c r="K90" i="52"/>
  <c r="I90" i="52"/>
  <c r="U89" i="52"/>
  <c r="S89" i="52"/>
  <c r="Q89" i="52"/>
  <c r="O89" i="52"/>
  <c r="M89" i="52"/>
  <c r="K89" i="52"/>
  <c r="I89" i="52"/>
  <c r="U88" i="52"/>
  <c r="S88" i="52"/>
  <c r="Q88" i="52"/>
  <c r="O88" i="52"/>
  <c r="M88" i="52"/>
  <c r="K88" i="52"/>
  <c r="I88" i="52"/>
  <c r="U87" i="52"/>
  <c r="S87" i="52"/>
  <c r="Q87" i="52"/>
  <c r="O87" i="52"/>
  <c r="M87" i="52"/>
  <c r="K87" i="52"/>
  <c r="I87" i="52"/>
  <c r="U86" i="52"/>
  <c r="S86" i="52"/>
  <c r="Q86" i="52"/>
  <c r="O86" i="52"/>
  <c r="M86" i="52"/>
  <c r="K86" i="52"/>
  <c r="I86" i="52"/>
  <c r="U85" i="52"/>
  <c r="S85" i="52"/>
  <c r="Q85" i="52"/>
  <c r="O85" i="52"/>
  <c r="M85" i="52"/>
  <c r="K85" i="52"/>
  <c r="I85" i="52"/>
  <c r="U84" i="52"/>
  <c r="S84" i="52"/>
  <c r="Q84" i="52"/>
  <c r="O84" i="52"/>
  <c r="M84" i="52"/>
  <c r="K84" i="52"/>
  <c r="I84" i="52"/>
  <c r="U83" i="52"/>
  <c r="S83" i="52"/>
  <c r="Q83" i="52"/>
  <c r="O83" i="52"/>
  <c r="M83" i="52"/>
  <c r="K83" i="52"/>
  <c r="I83" i="52"/>
  <c r="U82" i="52"/>
  <c r="S82" i="52"/>
  <c r="Q82" i="52"/>
  <c r="O82" i="52"/>
  <c r="M82" i="52"/>
  <c r="K82" i="52"/>
  <c r="I82" i="52"/>
  <c r="U81" i="52"/>
  <c r="S81" i="52"/>
  <c r="Q81" i="52"/>
  <c r="O81" i="52"/>
  <c r="M81" i="52"/>
  <c r="K81" i="52"/>
  <c r="I81" i="52"/>
  <c r="U80" i="52"/>
  <c r="S80" i="52"/>
  <c r="Q80" i="52"/>
  <c r="O80" i="52"/>
  <c r="M80" i="52"/>
  <c r="K80" i="52"/>
  <c r="I80" i="52"/>
  <c r="U79" i="52"/>
  <c r="S79" i="52"/>
  <c r="Q79" i="52"/>
  <c r="O79" i="52"/>
  <c r="M79" i="52"/>
  <c r="K79" i="52"/>
  <c r="I79" i="52"/>
  <c r="U78" i="52"/>
  <c r="S78" i="52"/>
  <c r="Q78" i="52"/>
  <c r="O78" i="52"/>
  <c r="M78" i="52"/>
  <c r="K78" i="52"/>
  <c r="I78" i="52"/>
  <c r="U77" i="52"/>
  <c r="S77" i="52"/>
  <c r="Q77" i="52"/>
  <c r="O77" i="52"/>
  <c r="M77" i="52"/>
  <c r="K77" i="52"/>
  <c r="I77" i="52"/>
  <c r="U76" i="52"/>
  <c r="S76" i="52"/>
  <c r="Q76" i="52"/>
  <c r="O76" i="52"/>
  <c r="M76" i="52"/>
  <c r="K76" i="52"/>
  <c r="I76" i="52"/>
  <c r="U75" i="52"/>
  <c r="S75" i="52"/>
  <c r="Q75" i="52"/>
  <c r="O75" i="52"/>
  <c r="M75" i="52"/>
  <c r="K75" i="52"/>
  <c r="I75" i="52"/>
  <c r="U74" i="52"/>
  <c r="S74" i="52"/>
  <c r="Q74" i="52"/>
  <c r="O74" i="52"/>
  <c r="M74" i="52"/>
  <c r="K74" i="52"/>
  <c r="I74" i="52"/>
  <c r="U73" i="52"/>
  <c r="S73" i="52"/>
  <c r="Q73" i="52"/>
  <c r="O73" i="52"/>
  <c r="M73" i="52"/>
  <c r="K73" i="52"/>
  <c r="I73" i="52"/>
  <c r="U72" i="52"/>
  <c r="S72" i="52"/>
  <c r="Q72" i="52"/>
  <c r="O72" i="52"/>
  <c r="M72" i="52"/>
  <c r="K72" i="52"/>
  <c r="I72" i="52"/>
  <c r="U71" i="52"/>
  <c r="S71" i="52"/>
  <c r="Q71" i="52"/>
  <c r="O71" i="52"/>
  <c r="M71" i="52"/>
  <c r="K71" i="52"/>
  <c r="I71" i="52"/>
  <c r="U70" i="52"/>
  <c r="S70" i="52"/>
  <c r="Q70" i="52"/>
  <c r="O70" i="52"/>
  <c r="M70" i="52"/>
  <c r="K70" i="52"/>
  <c r="I70" i="52"/>
  <c r="U69" i="52"/>
  <c r="S69" i="52"/>
  <c r="Q69" i="52"/>
  <c r="O69" i="52"/>
  <c r="M69" i="52"/>
  <c r="K69" i="52"/>
  <c r="I69" i="52"/>
  <c r="U68" i="52"/>
  <c r="S68" i="52"/>
  <c r="Q68" i="52"/>
  <c r="O68" i="52"/>
  <c r="M68" i="52"/>
  <c r="K68" i="52"/>
  <c r="I68" i="52"/>
  <c r="U67" i="52"/>
  <c r="S67" i="52"/>
  <c r="Q67" i="52"/>
  <c r="O67" i="52"/>
  <c r="M67" i="52"/>
  <c r="K67" i="52"/>
  <c r="I67" i="52"/>
  <c r="U66" i="52"/>
  <c r="S66" i="52"/>
  <c r="Q66" i="52"/>
  <c r="O66" i="52"/>
  <c r="M66" i="52"/>
  <c r="K66" i="52"/>
  <c r="I66" i="52"/>
  <c r="U65" i="52"/>
  <c r="S65" i="52"/>
  <c r="Q65" i="52"/>
  <c r="O65" i="52"/>
  <c r="M65" i="52"/>
  <c r="K65" i="52"/>
  <c r="I65" i="52"/>
  <c r="U64" i="52"/>
  <c r="S64" i="52"/>
  <c r="Q64" i="52"/>
  <c r="O64" i="52"/>
  <c r="M64" i="52"/>
  <c r="K64" i="52"/>
  <c r="I64" i="52"/>
  <c r="U63" i="52"/>
  <c r="S63" i="52"/>
  <c r="Q63" i="52"/>
  <c r="O63" i="52"/>
  <c r="M63" i="52"/>
  <c r="K63" i="52"/>
  <c r="I63" i="52"/>
  <c r="U62" i="52"/>
  <c r="S62" i="52"/>
  <c r="Q62" i="52"/>
  <c r="O62" i="52"/>
  <c r="M62" i="52"/>
  <c r="K62" i="52"/>
  <c r="I62" i="52"/>
  <c r="U61" i="52"/>
  <c r="S61" i="52"/>
  <c r="Q61" i="52"/>
  <c r="O61" i="52"/>
  <c r="M61" i="52"/>
  <c r="K61" i="52"/>
  <c r="I61" i="52"/>
  <c r="U60" i="52"/>
  <c r="S60" i="52"/>
  <c r="Q60" i="52"/>
  <c r="O60" i="52"/>
  <c r="M60" i="52"/>
  <c r="K60" i="52"/>
  <c r="I60" i="52"/>
  <c r="U59" i="52"/>
  <c r="S59" i="52"/>
  <c r="Q59" i="52"/>
  <c r="O59" i="52"/>
  <c r="M59" i="52"/>
  <c r="K59" i="52"/>
  <c r="I59" i="52"/>
  <c r="U58" i="52"/>
  <c r="S58" i="52"/>
  <c r="Q58" i="52"/>
  <c r="O58" i="52"/>
  <c r="M58" i="52"/>
  <c r="K58" i="52"/>
  <c r="I58" i="52"/>
  <c r="U57" i="52"/>
  <c r="S57" i="52"/>
  <c r="Q57" i="52"/>
  <c r="O57" i="52"/>
  <c r="M57" i="52"/>
  <c r="K57" i="52"/>
  <c r="I57" i="52"/>
  <c r="U56" i="52"/>
  <c r="S56" i="52"/>
  <c r="Q56" i="52"/>
  <c r="O56" i="52"/>
  <c r="M56" i="52"/>
  <c r="K56" i="52"/>
  <c r="I56" i="52"/>
  <c r="U55" i="52"/>
  <c r="S55" i="52"/>
  <c r="Q55" i="52"/>
  <c r="O55" i="52"/>
  <c r="M55" i="52"/>
  <c r="K55" i="52"/>
  <c r="I55" i="52"/>
  <c r="U54" i="52"/>
  <c r="S54" i="52"/>
  <c r="Q54" i="52"/>
  <c r="O54" i="52"/>
  <c r="M54" i="52"/>
  <c r="K54" i="52"/>
  <c r="I54" i="52"/>
  <c r="U53" i="52"/>
  <c r="S53" i="52"/>
  <c r="Q53" i="52"/>
  <c r="O53" i="52"/>
  <c r="M53" i="52"/>
  <c r="K53" i="52"/>
  <c r="I53" i="52"/>
  <c r="U52" i="52"/>
  <c r="S52" i="52"/>
  <c r="Q52" i="52"/>
  <c r="O52" i="52"/>
  <c r="M52" i="52"/>
  <c r="K52" i="52"/>
  <c r="I52" i="52"/>
  <c r="U51" i="52"/>
  <c r="S51" i="52"/>
  <c r="Q51" i="52"/>
  <c r="O51" i="52"/>
  <c r="M51" i="52"/>
  <c r="K51" i="52"/>
  <c r="I51" i="52"/>
  <c r="U50" i="52"/>
  <c r="S50" i="52"/>
  <c r="Q50" i="52"/>
  <c r="O50" i="52"/>
  <c r="M50" i="52"/>
  <c r="K50" i="52"/>
  <c r="I50" i="52"/>
  <c r="U49" i="52"/>
  <c r="S49" i="52"/>
  <c r="Q49" i="52"/>
  <c r="O49" i="52"/>
  <c r="M49" i="52"/>
  <c r="K49" i="52"/>
  <c r="I49" i="52"/>
  <c r="U48" i="52"/>
  <c r="S48" i="52"/>
  <c r="Q48" i="52"/>
  <c r="O48" i="52"/>
  <c r="M48" i="52"/>
  <c r="K48" i="52"/>
  <c r="I48" i="52"/>
  <c r="U47" i="52"/>
  <c r="S47" i="52"/>
  <c r="Q47" i="52"/>
  <c r="O47" i="52"/>
  <c r="M47" i="52"/>
  <c r="K47" i="52"/>
  <c r="I47" i="52"/>
  <c r="U46" i="52"/>
  <c r="S46" i="52"/>
  <c r="Q46" i="52"/>
  <c r="O46" i="52"/>
  <c r="M46" i="52"/>
  <c r="K46" i="52"/>
  <c r="I46" i="52"/>
  <c r="U45" i="52"/>
  <c r="S45" i="52"/>
  <c r="Q45" i="52"/>
  <c r="O45" i="52"/>
  <c r="M45" i="52"/>
  <c r="K45" i="52"/>
  <c r="I45" i="52"/>
  <c r="U44" i="52"/>
  <c r="S44" i="52"/>
  <c r="Q44" i="52"/>
  <c r="O44" i="52"/>
  <c r="M44" i="52"/>
  <c r="K44" i="52"/>
  <c r="I44" i="52"/>
  <c r="U43" i="52"/>
  <c r="S43" i="52"/>
  <c r="Q43" i="52"/>
  <c r="O43" i="52"/>
  <c r="M43" i="52"/>
  <c r="K43" i="52"/>
  <c r="I43" i="52"/>
  <c r="U42" i="52"/>
  <c r="S42" i="52"/>
  <c r="Q42" i="52"/>
  <c r="O42" i="52"/>
  <c r="M42" i="52"/>
  <c r="K42" i="52"/>
  <c r="I42" i="52"/>
  <c r="U41" i="52"/>
  <c r="S41" i="52"/>
  <c r="Q41" i="52"/>
  <c r="O41" i="52"/>
  <c r="M41" i="52"/>
  <c r="K41" i="52"/>
  <c r="I41" i="52"/>
  <c r="U40" i="52"/>
  <c r="S40" i="52"/>
  <c r="Q40" i="52"/>
  <c r="O40" i="52"/>
  <c r="M40" i="52"/>
  <c r="K40" i="52"/>
  <c r="I40" i="52"/>
  <c r="U39" i="52"/>
  <c r="S39" i="52"/>
  <c r="Q39" i="52"/>
  <c r="O39" i="52"/>
  <c r="M39" i="52"/>
  <c r="K39" i="52"/>
  <c r="I39" i="52"/>
  <c r="U38" i="52"/>
  <c r="S38" i="52"/>
  <c r="Q38" i="52"/>
  <c r="O38" i="52"/>
  <c r="M38" i="52"/>
  <c r="K38" i="52"/>
  <c r="I38" i="52"/>
  <c r="U37" i="52"/>
  <c r="S37" i="52"/>
  <c r="Q37" i="52"/>
  <c r="O37" i="52"/>
  <c r="M37" i="52"/>
  <c r="K37" i="52"/>
  <c r="I37" i="52"/>
  <c r="U36" i="52"/>
  <c r="S36" i="52"/>
  <c r="Q36" i="52"/>
  <c r="O36" i="52"/>
  <c r="M36" i="52"/>
  <c r="K36" i="52"/>
  <c r="I36" i="52"/>
  <c r="U35" i="52"/>
  <c r="S35" i="52"/>
  <c r="Q35" i="52"/>
  <c r="O35" i="52"/>
  <c r="M35" i="52"/>
  <c r="K35" i="52"/>
  <c r="I35" i="52"/>
  <c r="U34" i="52"/>
  <c r="S34" i="52"/>
  <c r="Q34" i="52"/>
  <c r="O34" i="52"/>
  <c r="M34" i="52"/>
  <c r="K34" i="52"/>
  <c r="I34" i="52"/>
  <c r="U33" i="52"/>
  <c r="S33" i="52"/>
  <c r="Q33" i="52"/>
  <c r="O33" i="52"/>
  <c r="M33" i="52"/>
  <c r="K33" i="52"/>
  <c r="I33" i="52"/>
  <c r="U32" i="52"/>
  <c r="S32" i="52"/>
  <c r="Q32" i="52"/>
  <c r="O32" i="52"/>
  <c r="M32" i="52"/>
  <c r="K32" i="52"/>
  <c r="I32" i="52"/>
  <c r="U31" i="52"/>
  <c r="S31" i="52"/>
  <c r="Q31" i="52"/>
  <c r="O31" i="52"/>
  <c r="M31" i="52"/>
  <c r="K31" i="52"/>
  <c r="I31" i="52"/>
  <c r="U30" i="52"/>
  <c r="S30" i="52"/>
  <c r="Q30" i="52"/>
  <c r="O30" i="52"/>
  <c r="M30" i="52"/>
  <c r="K30" i="52"/>
  <c r="I30" i="52"/>
  <c r="U29" i="52"/>
  <c r="S29" i="52"/>
  <c r="Q29" i="52"/>
  <c r="O29" i="52"/>
  <c r="M29" i="52"/>
  <c r="K29" i="52"/>
  <c r="I29" i="52"/>
  <c r="U28" i="52"/>
  <c r="S28" i="52"/>
  <c r="Q28" i="52"/>
  <c r="O28" i="52"/>
  <c r="M28" i="52"/>
  <c r="K28" i="52"/>
  <c r="I28" i="52"/>
  <c r="U27" i="52"/>
  <c r="S27" i="52"/>
  <c r="Q27" i="52"/>
  <c r="O27" i="52"/>
  <c r="M27" i="52"/>
  <c r="K27" i="52"/>
  <c r="I27" i="52"/>
  <c r="U26" i="52"/>
  <c r="S26" i="52"/>
  <c r="Q26" i="52"/>
  <c r="O26" i="52"/>
  <c r="M26" i="52"/>
  <c r="K26" i="52"/>
  <c r="I26" i="52"/>
  <c r="U25" i="52"/>
  <c r="S25" i="52"/>
  <c r="Q25" i="52"/>
  <c r="O25" i="52"/>
  <c r="M25" i="52"/>
  <c r="K25" i="52"/>
  <c r="I25" i="52"/>
  <c r="U24" i="52"/>
  <c r="S24" i="52"/>
  <c r="Q24" i="52"/>
  <c r="O24" i="52"/>
  <c r="M24" i="52"/>
  <c r="K24" i="52"/>
  <c r="I24" i="52"/>
  <c r="U23" i="52"/>
  <c r="S23" i="52"/>
  <c r="Q23" i="52"/>
  <c r="O23" i="52"/>
  <c r="M23" i="52"/>
  <c r="K23" i="52"/>
  <c r="I23" i="52"/>
  <c r="U22" i="52"/>
  <c r="S22" i="52"/>
  <c r="Q22" i="52"/>
  <c r="O22" i="52"/>
  <c r="M22" i="52"/>
  <c r="K22" i="52"/>
  <c r="I22" i="52"/>
  <c r="U21" i="52"/>
  <c r="S21" i="52"/>
  <c r="Q21" i="52"/>
  <c r="O21" i="52"/>
  <c r="M21" i="52"/>
  <c r="K21" i="52"/>
  <c r="I21" i="52"/>
  <c r="U20" i="52"/>
  <c r="S20" i="52"/>
  <c r="Q20" i="52"/>
  <c r="O20" i="52"/>
  <c r="M20" i="52"/>
  <c r="K20" i="52"/>
  <c r="U19" i="52"/>
  <c r="S19" i="52"/>
  <c r="Q19" i="52"/>
  <c r="O19" i="52"/>
  <c r="M19" i="52"/>
  <c r="K19" i="52"/>
  <c r="I19" i="52"/>
  <c r="U18" i="52"/>
  <c r="S18" i="52"/>
  <c r="Q18" i="52"/>
  <c r="O18" i="52"/>
  <c r="M18" i="52"/>
  <c r="K18" i="52"/>
  <c r="I18" i="52"/>
  <c r="U17" i="52"/>
  <c r="S17" i="52"/>
  <c r="Q17" i="52"/>
  <c r="O17" i="52"/>
  <c r="M17" i="52"/>
  <c r="K17" i="52"/>
  <c r="I17" i="52"/>
  <c r="U16" i="52"/>
  <c r="S16" i="52"/>
  <c r="Q16" i="52"/>
  <c r="O16" i="52"/>
  <c r="M16" i="52"/>
  <c r="K16" i="52"/>
  <c r="I16" i="52"/>
  <c r="U15" i="52"/>
  <c r="S15" i="52"/>
  <c r="Q15" i="52"/>
  <c r="O15" i="52"/>
  <c r="M15" i="52"/>
  <c r="K15" i="52"/>
  <c r="I15" i="52"/>
  <c r="U14" i="52"/>
  <c r="S14" i="52"/>
  <c r="Q14" i="52"/>
  <c r="O14" i="52"/>
  <c r="M14" i="52"/>
  <c r="K14" i="52"/>
  <c r="I14" i="52"/>
  <c r="U13" i="52"/>
  <c r="S13" i="52"/>
  <c r="Q13" i="52"/>
  <c r="O13" i="52"/>
  <c r="M13" i="52"/>
  <c r="K13" i="52"/>
  <c r="I13" i="52"/>
  <c r="U12" i="52"/>
  <c r="S12" i="52"/>
  <c r="Q12" i="52"/>
  <c r="O12" i="52"/>
  <c r="M12" i="52"/>
  <c r="K12" i="52"/>
  <c r="I12" i="52"/>
  <c r="U11" i="52"/>
  <c r="S11" i="52"/>
  <c r="Q11" i="52"/>
  <c r="O11" i="52"/>
  <c r="M11" i="52"/>
  <c r="K11" i="52"/>
  <c r="I11" i="52"/>
  <c r="U10" i="52"/>
  <c r="S10" i="52"/>
  <c r="Q10" i="52"/>
  <c r="O10" i="52"/>
  <c r="M10" i="52"/>
  <c r="K10" i="52"/>
  <c r="I10" i="52"/>
  <c r="U9" i="52"/>
  <c r="S9" i="52"/>
  <c r="Q9" i="52"/>
  <c r="O9" i="52"/>
  <c r="M9" i="52"/>
  <c r="K9" i="52"/>
  <c r="I9" i="52"/>
  <c r="U8" i="52"/>
  <c r="S8" i="52"/>
  <c r="Q8" i="52"/>
  <c r="O8" i="52"/>
  <c r="M8" i="52"/>
  <c r="K8" i="52"/>
  <c r="I8" i="52"/>
  <c r="U7" i="52"/>
  <c r="S7" i="52"/>
  <c r="Q7" i="52"/>
  <c r="O7" i="52"/>
  <c r="M7" i="52"/>
  <c r="K7" i="52"/>
  <c r="I7" i="52"/>
  <c r="U6" i="52"/>
  <c r="S6" i="52"/>
  <c r="Q6" i="52"/>
  <c r="O6" i="52"/>
  <c r="M6" i="52"/>
  <c r="K6" i="52"/>
  <c r="I6" i="52"/>
  <c r="U5" i="52"/>
  <c r="S5" i="52"/>
  <c r="Q5" i="52"/>
  <c r="O5" i="52"/>
  <c r="M5" i="52"/>
  <c r="K5" i="52"/>
  <c r="I5" i="52"/>
  <c r="U4" i="52"/>
  <c r="S4" i="52"/>
  <c r="Q4" i="52"/>
  <c r="O4" i="52"/>
  <c r="M4" i="52"/>
  <c r="K4" i="52"/>
  <c r="I4" i="52"/>
  <c r="AC3" i="52"/>
  <c r="E3" i="52"/>
  <c r="D3" i="52"/>
  <c r="C3" i="52"/>
  <c r="V3" i="3"/>
  <c r="R3" i="3"/>
  <c r="W187" i="52" l="1"/>
  <c r="X187" i="52"/>
  <c r="W178" i="52"/>
  <c r="X178" i="52"/>
  <c r="X169" i="52"/>
  <c r="W169" i="52"/>
  <c r="W163" i="52"/>
  <c r="X163" i="52"/>
  <c r="W158" i="52"/>
  <c r="X158" i="52"/>
  <c r="W157" i="52"/>
  <c r="X157" i="52"/>
  <c r="W152" i="52"/>
  <c r="X152" i="52"/>
  <c r="W151" i="52"/>
  <c r="X151" i="52"/>
  <c r="W146" i="52"/>
  <c r="X146" i="52"/>
  <c r="X145" i="52"/>
  <c r="W145" i="52"/>
  <c r="X137" i="52"/>
  <c r="W137" i="52"/>
  <c r="X136" i="52"/>
  <c r="W136" i="52"/>
  <c r="X128" i="52"/>
  <c r="W128" i="52"/>
  <c r="W122" i="52"/>
  <c r="X122" i="52"/>
  <c r="Y3" i="3"/>
  <c r="AA226" i="52"/>
  <c r="G118" i="52"/>
  <c r="AA112" i="52"/>
  <c r="F94" i="52"/>
  <c r="AA94" i="52"/>
  <c r="F70" i="52"/>
  <c r="AA40" i="52"/>
  <c r="I3" i="52"/>
  <c r="M3" i="3" s="1"/>
  <c r="N3" i="3" s="1"/>
  <c r="G58" i="52"/>
  <c r="AA190" i="52"/>
  <c r="G4" i="52"/>
  <c r="X3" i="3"/>
  <c r="G160" i="52"/>
  <c r="G190" i="52"/>
  <c r="AA88" i="52"/>
  <c r="AA160" i="52"/>
  <c r="G226" i="52"/>
  <c r="F226" i="52"/>
  <c r="G28" i="52"/>
  <c r="G52" i="52"/>
  <c r="F52" i="52"/>
  <c r="G82" i="52"/>
  <c r="AA154" i="52"/>
  <c r="F160" i="52"/>
  <c r="G94" i="52"/>
  <c r="G196" i="52"/>
  <c r="F196" i="52"/>
  <c r="AA196" i="52"/>
  <c r="F202" i="52"/>
  <c r="F4" i="52"/>
  <c r="AA70" i="52"/>
  <c r="F172" i="52"/>
  <c r="AA46" i="52"/>
  <c r="F28" i="52"/>
  <c r="F58" i="52"/>
  <c r="G208" i="52"/>
  <c r="G220" i="52"/>
  <c r="G10" i="52"/>
  <c r="F10" i="52"/>
  <c r="M3" i="52"/>
  <c r="AA64" i="52"/>
  <c r="G76" i="52"/>
  <c r="F76" i="52"/>
  <c r="G184" i="52"/>
  <c r="F40" i="52"/>
  <c r="AA4" i="52"/>
  <c r="O3" i="52"/>
  <c r="G100" i="52"/>
  <c r="F100" i="52"/>
  <c r="AA124" i="52"/>
  <c r="AA130" i="52"/>
  <c r="AA58" i="52"/>
  <c r="G136" i="52"/>
  <c r="F142" i="52"/>
  <c r="AA166" i="52"/>
  <c r="AA202" i="52"/>
  <c r="F208" i="52"/>
  <c r="S3" i="52"/>
  <c r="G34" i="52"/>
  <c r="G214" i="52"/>
  <c r="F214" i="52"/>
  <c r="Q3" i="52"/>
  <c r="Z3" i="52" s="1"/>
  <c r="U3" i="52"/>
  <c r="W3" i="3" s="1"/>
  <c r="F34" i="52"/>
  <c r="G64" i="52"/>
  <c r="G88" i="52"/>
  <c r="AA142" i="52"/>
  <c r="G142" i="52"/>
  <c r="AA214" i="52"/>
  <c r="F220" i="52"/>
  <c r="F46" i="52"/>
  <c r="G148" i="52"/>
  <c r="G178" i="52"/>
  <c r="F178" i="52"/>
  <c r="AA178" i="52"/>
  <c r="F184" i="52"/>
  <c r="G112" i="52"/>
  <c r="AA82" i="52"/>
  <c r="AA136" i="52"/>
  <c r="AA148" i="52"/>
  <c r="F154" i="52"/>
  <c r="AA172" i="52"/>
  <c r="G16" i="52"/>
  <c r="F16" i="52"/>
  <c r="F124" i="52"/>
  <c r="G154" i="52"/>
  <c r="G46" i="52"/>
  <c r="G70" i="52"/>
  <c r="F130" i="52"/>
  <c r="G172" i="52"/>
  <c r="F190" i="52"/>
  <c r="G130" i="52"/>
  <c r="F22" i="52"/>
  <c r="G22" i="52"/>
  <c r="F64" i="52"/>
  <c r="F88" i="52"/>
  <c r="F112" i="52"/>
  <c r="F148" i="52"/>
  <c r="F118" i="52"/>
  <c r="F166" i="52"/>
  <c r="G40" i="52"/>
  <c r="G124" i="52"/>
  <c r="G166" i="52"/>
  <c r="F106" i="52"/>
  <c r="AA28" i="52"/>
  <c r="F82" i="52"/>
  <c r="G106" i="52"/>
  <c r="G202" i="52"/>
  <c r="AA208" i="52"/>
  <c r="AA184" i="52"/>
  <c r="F136" i="52"/>
  <c r="P3" i="3"/>
  <c r="T3" i="3"/>
  <c r="Q113" i="48"/>
  <c r="K113" i="45"/>
  <c r="I113" i="48"/>
  <c r="G76" i="51"/>
  <c r="G63" i="19"/>
  <c r="G57" i="19"/>
  <c r="I57" i="19"/>
  <c r="M57" i="19"/>
  <c r="O57" i="19"/>
  <c r="Q57" i="19"/>
  <c r="Q48" i="51"/>
  <c r="O48" i="51"/>
  <c r="S48" i="51" s="1"/>
  <c r="M48" i="51"/>
  <c r="M50" i="51"/>
  <c r="O50" i="51"/>
  <c r="S50" i="51" s="1"/>
  <c r="Q50" i="51"/>
  <c r="Q49" i="51"/>
  <c r="G52" i="19"/>
  <c r="G53" i="19"/>
  <c r="G54" i="19"/>
  <c r="G55" i="19"/>
  <c r="G56" i="19"/>
  <c r="G58" i="19"/>
  <c r="G59" i="19"/>
  <c r="G60" i="19"/>
  <c r="G61" i="19"/>
  <c r="G62" i="19"/>
  <c r="I52" i="19"/>
  <c r="I53" i="19"/>
  <c r="I54" i="19"/>
  <c r="I55" i="19"/>
  <c r="I56" i="19"/>
  <c r="I58" i="19"/>
  <c r="I59" i="19"/>
  <c r="I60" i="19"/>
  <c r="I61" i="19"/>
  <c r="I62" i="19"/>
  <c r="I63" i="19"/>
  <c r="G52" i="45"/>
  <c r="G53" i="45"/>
  <c r="G54" i="45"/>
  <c r="G55" i="45"/>
  <c r="G56" i="45"/>
  <c r="G57" i="45"/>
  <c r="G58" i="45"/>
  <c r="G59" i="45"/>
  <c r="G60" i="45"/>
  <c r="G61" i="45"/>
  <c r="G62" i="45"/>
  <c r="G63" i="45"/>
  <c r="V101" i="52"/>
  <c r="I52" i="48"/>
  <c r="I53" i="48"/>
  <c r="I54" i="48"/>
  <c r="I55" i="48"/>
  <c r="I56" i="48"/>
  <c r="I57" i="48"/>
  <c r="I58" i="48"/>
  <c r="I59" i="48"/>
  <c r="I60" i="48"/>
  <c r="I61" i="48"/>
  <c r="I62" i="48"/>
  <c r="I63" i="48"/>
  <c r="F1" i="51"/>
  <c r="G52" i="51"/>
  <c r="G53" i="51"/>
  <c r="G54" i="51"/>
  <c r="G55" i="51"/>
  <c r="G56" i="51"/>
  <c r="G58" i="51"/>
  <c r="G59" i="51"/>
  <c r="G60" i="51"/>
  <c r="G61" i="51"/>
  <c r="G62" i="51"/>
  <c r="G63" i="51"/>
  <c r="I52" i="51"/>
  <c r="I53" i="51"/>
  <c r="I54" i="51"/>
  <c r="I55" i="51"/>
  <c r="I56" i="51"/>
  <c r="I58" i="51"/>
  <c r="I59" i="51"/>
  <c r="I60" i="51"/>
  <c r="I61" i="51"/>
  <c r="I62" i="51"/>
  <c r="I63" i="51"/>
  <c r="G51" i="19"/>
  <c r="I51" i="19"/>
  <c r="M51" i="19"/>
  <c r="O51" i="19"/>
  <c r="Q51" i="19"/>
  <c r="G46" i="19"/>
  <c r="G47" i="19"/>
  <c r="G48" i="19"/>
  <c r="G49" i="19"/>
  <c r="G50" i="19"/>
  <c r="I46" i="19"/>
  <c r="I47" i="19"/>
  <c r="I49" i="19"/>
  <c r="I48" i="19"/>
  <c r="I50" i="19"/>
  <c r="G46" i="45"/>
  <c r="G47" i="45"/>
  <c r="G48" i="45"/>
  <c r="G49" i="45"/>
  <c r="G50" i="45"/>
  <c r="G51" i="45"/>
  <c r="I46" i="48"/>
  <c r="I47" i="48"/>
  <c r="I48" i="48"/>
  <c r="I49" i="48"/>
  <c r="I50" i="48"/>
  <c r="I51" i="48"/>
  <c r="G46" i="51"/>
  <c r="G47" i="51"/>
  <c r="G49" i="51"/>
  <c r="G50" i="51"/>
  <c r="Q9" i="19"/>
  <c r="O9" i="19"/>
  <c r="M9" i="19"/>
  <c r="K9" i="19"/>
  <c r="I9" i="19"/>
  <c r="G9" i="19"/>
  <c r="Q8" i="19"/>
  <c r="O8" i="19"/>
  <c r="M8" i="19"/>
  <c r="K8" i="19"/>
  <c r="I8" i="19"/>
  <c r="G8" i="19"/>
  <c r="Q7" i="19"/>
  <c r="O7" i="19"/>
  <c r="M7" i="19"/>
  <c r="K7" i="19"/>
  <c r="I7" i="19"/>
  <c r="G7" i="19"/>
  <c r="Q6" i="19"/>
  <c r="O6" i="19"/>
  <c r="M6" i="19"/>
  <c r="K6" i="19"/>
  <c r="I6" i="19"/>
  <c r="G6" i="19"/>
  <c r="Q5" i="19"/>
  <c r="O5" i="19"/>
  <c r="M5" i="19"/>
  <c r="K5" i="19"/>
  <c r="I5" i="19"/>
  <c r="G5" i="19"/>
  <c r="Q4" i="19"/>
  <c r="O4" i="19"/>
  <c r="M4" i="19"/>
  <c r="K4" i="19"/>
  <c r="I4" i="19"/>
  <c r="G4" i="19"/>
  <c r="K9" i="45"/>
  <c r="I9" i="45"/>
  <c r="G9" i="45"/>
  <c r="K8" i="45"/>
  <c r="I8" i="45"/>
  <c r="G8" i="45"/>
  <c r="K7" i="45"/>
  <c r="I7" i="45"/>
  <c r="G7" i="45"/>
  <c r="K6" i="45"/>
  <c r="I6" i="45"/>
  <c r="G6" i="45"/>
  <c r="K5" i="45"/>
  <c r="I5" i="45"/>
  <c r="G5" i="45"/>
  <c r="K4" i="45"/>
  <c r="I4" i="45"/>
  <c r="G4" i="45"/>
  <c r="D4" i="45" s="1"/>
  <c r="D2" i="34" s="1"/>
  <c r="Q9" i="51"/>
  <c r="O9" i="51"/>
  <c r="M9" i="51"/>
  <c r="K9" i="51"/>
  <c r="I9" i="51"/>
  <c r="G9" i="51"/>
  <c r="Q8" i="51"/>
  <c r="O8" i="51"/>
  <c r="M8" i="51"/>
  <c r="K8" i="51"/>
  <c r="I8" i="51"/>
  <c r="G8" i="51"/>
  <c r="Q7" i="51"/>
  <c r="O7" i="51"/>
  <c r="M7" i="51"/>
  <c r="K7" i="51"/>
  <c r="I7" i="51"/>
  <c r="G7" i="51"/>
  <c r="Q6" i="51"/>
  <c r="O6" i="51"/>
  <c r="M6" i="51"/>
  <c r="K6" i="51"/>
  <c r="I6" i="51"/>
  <c r="G6" i="51"/>
  <c r="Q5" i="51"/>
  <c r="O5" i="51"/>
  <c r="M5" i="51"/>
  <c r="K5" i="51"/>
  <c r="I5" i="51"/>
  <c r="G5" i="51"/>
  <c r="Q4" i="51"/>
  <c r="O4" i="51"/>
  <c r="M4" i="51"/>
  <c r="K4" i="51"/>
  <c r="I4" i="51"/>
  <c r="G4" i="51"/>
  <c r="U9" i="48"/>
  <c r="S9" i="48"/>
  <c r="Q9" i="48"/>
  <c r="O9" i="48"/>
  <c r="M9" i="48"/>
  <c r="K9" i="48"/>
  <c r="I9" i="48"/>
  <c r="U8" i="48"/>
  <c r="S8" i="48"/>
  <c r="Q8" i="48"/>
  <c r="O8" i="48"/>
  <c r="M8" i="48"/>
  <c r="K8" i="48"/>
  <c r="I8" i="48"/>
  <c r="U7" i="48"/>
  <c r="S7" i="48"/>
  <c r="Q7" i="48"/>
  <c r="O7" i="48"/>
  <c r="M7" i="48"/>
  <c r="K7" i="48"/>
  <c r="I7" i="48"/>
  <c r="U6" i="48"/>
  <c r="S6" i="48"/>
  <c r="Q6" i="48"/>
  <c r="O6" i="48"/>
  <c r="M6" i="48"/>
  <c r="K6" i="48"/>
  <c r="I6" i="48"/>
  <c r="U5" i="48"/>
  <c r="S5" i="48"/>
  <c r="Q5" i="48"/>
  <c r="O5" i="48"/>
  <c r="M5" i="48"/>
  <c r="K5" i="48"/>
  <c r="I5" i="48"/>
  <c r="U4" i="48"/>
  <c r="S4" i="48"/>
  <c r="Q4" i="48"/>
  <c r="O4" i="48"/>
  <c r="M4" i="48"/>
  <c r="K4" i="48"/>
  <c r="I4" i="48"/>
  <c r="R6" i="3"/>
  <c r="R2" i="3"/>
  <c r="K80" i="48"/>
  <c r="M80" i="48"/>
  <c r="K79" i="48"/>
  <c r="M79" i="48"/>
  <c r="K78" i="48"/>
  <c r="M78" i="48"/>
  <c r="K77" i="48"/>
  <c r="M77" i="48"/>
  <c r="K76" i="48"/>
  <c r="M76" i="48"/>
  <c r="K75" i="48"/>
  <c r="M75" i="48"/>
  <c r="O75" i="48"/>
  <c r="K74" i="48"/>
  <c r="M74" i="48"/>
  <c r="O74" i="48"/>
  <c r="K73" i="48"/>
  <c r="M73" i="48"/>
  <c r="O73" i="48"/>
  <c r="K72" i="48"/>
  <c r="O72" i="48"/>
  <c r="M71" i="48"/>
  <c r="K71" i="48"/>
  <c r="O71" i="48"/>
  <c r="M70" i="48"/>
  <c r="K70" i="48"/>
  <c r="O70" i="48"/>
  <c r="M69" i="48"/>
  <c r="K69" i="48"/>
  <c r="O69" i="48"/>
  <c r="M68" i="48"/>
  <c r="K68" i="48"/>
  <c r="O68" i="48"/>
  <c r="M67" i="48"/>
  <c r="K67" i="48"/>
  <c r="O67" i="48"/>
  <c r="M66" i="48"/>
  <c r="K66" i="48"/>
  <c r="O66" i="48"/>
  <c r="M65" i="48"/>
  <c r="K65" i="48"/>
  <c r="O65" i="48"/>
  <c r="M64" i="48"/>
  <c r="K64" i="48"/>
  <c r="O64" i="48"/>
  <c r="M63" i="48"/>
  <c r="K63" i="48"/>
  <c r="M62" i="48"/>
  <c r="M61" i="48"/>
  <c r="K61" i="48"/>
  <c r="M60" i="48"/>
  <c r="K60" i="48"/>
  <c r="M59" i="48"/>
  <c r="K59" i="48"/>
  <c r="M58" i="48"/>
  <c r="K58" i="48"/>
  <c r="M57" i="48"/>
  <c r="K57" i="48"/>
  <c r="M56" i="48"/>
  <c r="K56" i="48"/>
  <c r="O55" i="48"/>
  <c r="M55" i="48"/>
  <c r="K55" i="48"/>
  <c r="O54" i="48"/>
  <c r="M54" i="48"/>
  <c r="K54" i="48"/>
  <c r="O53" i="48"/>
  <c r="M53" i="48"/>
  <c r="K53" i="48"/>
  <c r="M52" i="48"/>
  <c r="K52" i="48"/>
  <c r="K51" i="48"/>
  <c r="K50" i="48"/>
  <c r="K49" i="48"/>
  <c r="K48" i="48"/>
  <c r="K47" i="48"/>
  <c r="K46" i="48"/>
  <c r="K45" i="48"/>
  <c r="K44" i="48"/>
  <c r="O44" i="48"/>
  <c r="K43" i="48"/>
  <c r="O43" i="48"/>
  <c r="K42" i="48"/>
  <c r="K41" i="48"/>
  <c r="M41" i="48"/>
  <c r="K40" i="48"/>
  <c r="K39" i="48"/>
  <c r="K38" i="48"/>
  <c r="K37" i="48"/>
  <c r="K36" i="48"/>
  <c r="K35" i="48"/>
  <c r="G181" i="51"/>
  <c r="G182" i="51"/>
  <c r="G183" i="51"/>
  <c r="G184" i="51"/>
  <c r="G185" i="51"/>
  <c r="G186" i="51"/>
  <c r="G187" i="51"/>
  <c r="G188" i="51"/>
  <c r="M188" i="51"/>
  <c r="O188" i="51"/>
  <c r="Q188" i="51"/>
  <c r="G189" i="51"/>
  <c r="S189" i="51" s="1"/>
  <c r="G190" i="51"/>
  <c r="S190" i="51" s="1"/>
  <c r="G191" i="51"/>
  <c r="G192" i="51"/>
  <c r="G193" i="51"/>
  <c r="G194" i="51"/>
  <c r="G195" i="51"/>
  <c r="G196" i="51"/>
  <c r="G197" i="51"/>
  <c r="G198" i="51"/>
  <c r="G199" i="51"/>
  <c r="G200" i="51"/>
  <c r="G201" i="51"/>
  <c r="G202" i="51"/>
  <c r="G203" i="51"/>
  <c r="G204" i="51"/>
  <c r="G205" i="51"/>
  <c r="G206" i="51"/>
  <c r="G207" i="51"/>
  <c r="G208" i="51"/>
  <c r="G209" i="51"/>
  <c r="G174" i="51"/>
  <c r="G175" i="51"/>
  <c r="G176" i="51"/>
  <c r="G177" i="51"/>
  <c r="G178" i="51"/>
  <c r="G179" i="51"/>
  <c r="G180" i="51"/>
  <c r="G165" i="51"/>
  <c r="G166" i="51"/>
  <c r="G167" i="51"/>
  <c r="G168" i="51"/>
  <c r="G169" i="51"/>
  <c r="G170" i="51"/>
  <c r="G171" i="51"/>
  <c r="G172" i="51"/>
  <c r="G173" i="51"/>
  <c r="G151" i="51"/>
  <c r="G152" i="51"/>
  <c r="G153" i="51"/>
  <c r="G154" i="51"/>
  <c r="G155" i="51"/>
  <c r="G156" i="51"/>
  <c r="G157" i="51"/>
  <c r="G158" i="51"/>
  <c r="G159" i="51"/>
  <c r="G160" i="51"/>
  <c r="G161" i="51"/>
  <c r="G162" i="51"/>
  <c r="G163" i="51"/>
  <c r="G164" i="51"/>
  <c r="G140" i="51"/>
  <c r="G141" i="51"/>
  <c r="G142" i="51"/>
  <c r="G143" i="51"/>
  <c r="G144" i="51"/>
  <c r="G145" i="51"/>
  <c r="G146" i="51"/>
  <c r="G147" i="51"/>
  <c r="G148" i="51"/>
  <c r="G149" i="51"/>
  <c r="G150" i="51"/>
  <c r="G125" i="51"/>
  <c r="G126" i="51"/>
  <c r="G127" i="51"/>
  <c r="G128" i="51"/>
  <c r="G129" i="51"/>
  <c r="G130" i="51"/>
  <c r="G131" i="51"/>
  <c r="G132" i="51"/>
  <c r="G133" i="51"/>
  <c r="G134" i="51"/>
  <c r="G135" i="51"/>
  <c r="G136" i="51"/>
  <c r="G137" i="51"/>
  <c r="G138" i="51"/>
  <c r="G139" i="51"/>
  <c r="G112" i="51"/>
  <c r="G113" i="51"/>
  <c r="G114" i="51"/>
  <c r="G115" i="51"/>
  <c r="G116" i="51"/>
  <c r="G117" i="51"/>
  <c r="G118" i="51"/>
  <c r="G119" i="51"/>
  <c r="G120" i="51"/>
  <c r="G121" i="51"/>
  <c r="G122" i="51"/>
  <c r="G123" i="51"/>
  <c r="G124" i="51"/>
  <c r="G98" i="51"/>
  <c r="G99" i="51"/>
  <c r="G100" i="51"/>
  <c r="G101" i="51"/>
  <c r="G102" i="51"/>
  <c r="G103" i="51"/>
  <c r="G104" i="51"/>
  <c r="G105" i="51"/>
  <c r="G106" i="51"/>
  <c r="G107" i="51"/>
  <c r="G108" i="51"/>
  <c r="G109" i="51"/>
  <c r="G110" i="51"/>
  <c r="G111" i="51"/>
  <c r="G88" i="51"/>
  <c r="G89" i="51"/>
  <c r="G90" i="51"/>
  <c r="G91" i="51"/>
  <c r="G92" i="51"/>
  <c r="G93" i="51"/>
  <c r="G94" i="51"/>
  <c r="G95" i="51"/>
  <c r="G96" i="51"/>
  <c r="G97" i="51"/>
  <c r="G73" i="51"/>
  <c r="G74" i="51"/>
  <c r="G75" i="51"/>
  <c r="G77" i="51"/>
  <c r="G78" i="51"/>
  <c r="G79" i="51"/>
  <c r="G80" i="51"/>
  <c r="G81" i="51"/>
  <c r="G82" i="51"/>
  <c r="G83" i="51"/>
  <c r="G84" i="51"/>
  <c r="G85" i="51"/>
  <c r="G86" i="51"/>
  <c r="G87" i="51"/>
  <c r="M55" i="51"/>
  <c r="Q55" i="51"/>
  <c r="M56" i="51"/>
  <c r="O56" i="51"/>
  <c r="S56" i="51" s="1"/>
  <c r="Q56" i="51"/>
  <c r="G57" i="51"/>
  <c r="M60" i="51"/>
  <c r="Q60" i="51"/>
  <c r="M61" i="51"/>
  <c r="Q61" i="51"/>
  <c r="G64" i="51"/>
  <c r="G65" i="51"/>
  <c r="G66" i="51"/>
  <c r="G67" i="51"/>
  <c r="G68" i="51"/>
  <c r="G69" i="51"/>
  <c r="G70" i="51"/>
  <c r="G71" i="51"/>
  <c r="G72" i="51"/>
  <c r="G41" i="51"/>
  <c r="G42" i="51"/>
  <c r="G43" i="51"/>
  <c r="G44" i="51"/>
  <c r="G45" i="51"/>
  <c r="M47" i="51"/>
  <c r="O47" i="51"/>
  <c r="S47" i="51" s="1"/>
  <c r="Q47" i="51"/>
  <c r="G48" i="51"/>
  <c r="G51" i="51"/>
  <c r="M53" i="51"/>
  <c r="O53" i="51"/>
  <c r="S53" i="51" s="1"/>
  <c r="Q53" i="51"/>
  <c r="G33" i="51"/>
  <c r="G34" i="51"/>
  <c r="G35" i="51"/>
  <c r="G36" i="51"/>
  <c r="G37" i="51"/>
  <c r="G38" i="51"/>
  <c r="G39" i="51"/>
  <c r="G40" i="51"/>
  <c r="G27" i="51"/>
  <c r="G28" i="51"/>
  <c r="G29" i="51"/>
  <c r="G30" i="51"/>
  <c r="G31" i="51"/>
  <c r="G32" i="51"/>
  <c r="I190" i="51"/>
  <c r="I191" i="51"/>
  <c r="I192" i="51"/>
  <c r="I193" i="51"/>
  <c r="I194" i="51"/>
  <c r="I195" i="51"/>
  <c r="I196" i="51"/>
  <c r="I197" i="51"/>
  <c r="I198" i="51"/>
  <c r="I199" i="51"/>
  <c r="I200" i="51"/>
  <c r="I201" i="51"/>
  <c r="I202" i="51"/>
  <c r="I203" i="51"/>
  <c r="I204" i="51"/>
  <c r="I175" i="51"/>
  <c r="I176" i="51"/>
  <c r="I177" i="51"/>
  <c r="I178" i="51"/>
  <c r="I179" i="51"/>
  <c r="I180" i="51"/>
  <c r="I181" i="51"/>
  <c r="I182" i="51"/>
  <c r="I183" i="51"/>
  <c r="I184" i="51"/>
  <c r="I185" i="51"/>
  <c r="I186" i="51"/>
  <c r="I187" i="51"/>
  <c r="I188" i="51"/>
  <c r="I189" i="51"/>
  <c r="I165" i="51"/>
  <c r="I166" i="51"/>
  <c r="I167" i="51"/>
  <c r="I168" i="51"/>
  <c r="I169" i="51"/>
  <c r="I170" i="51"/>
  <c r="I171" i="51"/>
  <c r="I172" i="51"/>
  <c r="I173" i="51"/>
  <c r="I174" i="51"/>
  <c r="I151" i="51"/>
  <c r="I152" i="51"/>
  <c r="I153" i="51"/>
  <c r="I154" i="51"/>
  <c r="I155" i="51"/>
  <c r="I156" i="51"/>
  <c r="I157" i="51"/>
  <c r="I158" i="51"/>
  <c r="I159" i="51"/>
  <c r="I160" i="51"/>
  <c r="I161" i="51"/>
  <c r="I162" i="51"/>
  <c r="I163" i="51"/>
  <c r="I139" i="51"/>
  <c r="I140" i="51"/>
  <c r="I141" i="51"/>
  <c r="I142" i="51"/>
  <c r="I143" i="51"/>
  <c r="I144" i="51"/>
  <c r="I145" i="51"/>
  <c r="I146" i="51"/>
  <c r="I147" i="51"/>
  <c r="I148" i="51"/>
  <c r="I149" i="51"/>
  <c r="I150" i="51"/>
  <c r="I125" i="51"/>
  <c r="I126" i="51"/>
  <c r="I127" i="51"/>
  <c r="I128" i="51"/>
  <c r="I129" i="51"/>
  <c r="I130" i="51"/>
  <c r="I131" i="51"/>
  <c r="I132" i="51"/>
  <c r="I133" i="51"/>
  <c r="I134" i="51"/>
  <c r="I135" i="51"/>
  <c r="I136" i="51"/>
  <c r="I137" i="51"/>
  <c r="I138" i="51"/>
  <c r="I110" i="51"/>
  <c r="I111" i="51"/>
  <c r="I112" i="51"/>
  <c r="I113" i="51"/>
  <c r="I114" i="51"/>
  <c r="I115" i="51"/>
  <c r="I116" i="51"/>
  <c r="I117" i="51"/>
  <c r="I118" i="51"/>
  <c r="I119" i="51"/>
  <c r="I120" i="51"/>
  <c r="I121" i="51"/>
  <c r="I122" i="51"/>
  <c r="I123" i="51"/>
  <c r="I124" i="51"/>
  <c r="I98" i="51"/>
  <c r="I99" i="51"/>
  <c r="I100" i="51"/>
  <c r="I101" i="51"/>
  <c r="I102" i="51"/>
  <c r="I103" i="51"/>
  <c r="I104" i="51"/>
  <c r="I105" i="51"/>
  <c r="I106" i="51"/>
  <c r="I107" i="51"/>
  <c r="I108" i="51"/>
  <c r="I109" i="51"/>
  <c r="I87" i="51"/>
  <c r="I88" i="51"/>
  <c r="I89" i="51"/>
  <c r="I90" i="51"/>
  <c r="I91" i="51"/>
  <c r="I92" i="51"/>
  <c r="I93" i="51"/>
  <c r="I94" i="51"/>
  <c r="I95" i="51"/>
  <c r="I96" i="51"/>
  <c r="I97" i="51"/>
  <c r="I73" i="51"/>
  <c r="I74" i="51"/>
  <c r="I75" i="51"/>
  <c r="I76" i="51"/>
  <c r="I77" i="51"/>
  <c r="I78" i="51"/>
  <c r="I79" i="51"/>
  <c r="I80" i="51"/>
  <c r="I81" i="51"/>
  <c r="I82" i="51"/>
  <c r="I83" i="51"/>
  <c r="I84" i="51"/>
  <c r="I85" i="51"/>
  <c r="I86" i="51"/>
  <c r="I64" i="51"/>
  <c r="I65" i="51"/>
  <c r="I66" i="51"/>
  <c r="I67" i="51"/>
  <c r="I68" i="51"/>
  <c r="I69" i="51"/>
  <c r="I70" i="51"/>
  <c r="I71" i="51"/>
  <c r="I72" i="51"/>
  <c r="I43" i="51"/>
  <c r="I44" i="51"/>
  <c r="I45" i="51"/>
  <c r="I46" i="51"/>
  <c r="I47" i="51"/>
  <c r="I48" i="51"/>
  <c r="I49" i="51"/>
  <c r="I50" i="51"/>
  <c r="I51" i="51"/>
  <c r="I57" i="51"/>
  <c r="I33" i="51"/>
  <c r="I34" i="51"/>
  <c r="I35" i="51"/>
  <c r="I36" i="51"/>
  <c r="I37" i="51"/>
  <c r="I38" i="51"/>
  <c r="I39" i="51"/>
  <c r="I40" i="51"/>
  <c r="I41" i="51"/>
  <c r="I42" i="51"/>
  <c r="I26" i="51"/>
  <c r="I27" i="51"/>
  <c r="I28" i="51"/>
  <c r="I29" i="51"/>
  <c r="I30" i="51"/>
  <c r="I31" i="51"/>
  <c r="I32" i="51"/>
  <c r="K191" i="51"/>
  <c r="K192" i="51"/>
  <c r="K193" i="51"/>
  <c r="K194" i="51"/>
  <c r="K195" i="51"/>
  <c r="K196" i="51"/>
  <c r="K197" i="51"/>
  <c r="K198" i="51"/>
  <c r="K199" i="51"/>
  <c r="K200" i="51"/>
  <c r="K201" i="51"/>
  <c r="K202" i="51"/>
  <c r="K203" i="51"/>
  <c r="K204" i="51"/>
  <c r="C3" i="51"/>
  <c r="Y4" i="3" s="1"/>
  <c r="Q26" i="51"/>
  <c r="Q27" i="51"/>
  <c r="Q28" i="51"/>
  <c r="Q29" i="51"/>
  <c r="Q30" i="51"/>
  <c r="Q31" i="51"/>
  <c r="Q32" i="51"/>
  <c r="Q33" i="51"/>
  <c r="Q34" i="51"/>
  <c r="Q35" i="51"/>
  <c r="Q36" i="51"/>
  <c r="Q37" i="51"/>
  <c r="Q38" i="51"/>
  <c r="Q39" i="51"/>
  <c r="Q40" i="51"/>
  <c r="Q41" i="51"/>
  <c r="Q42" i="51"/>
  <c r="Q43" i="51"/>
  <c r="Q44" i="51"/>
  <c r="Q45" i="51"/>
  <c r="Q46" i="51"/>
  <c r="Q51" i="51"/>
  <c r="Q52" i="51"/>
  <c r="Q54" i="51"/>
  <c r="Q57" i="51"/>
  <c r="Q58" i="51"/>
  <c r="Q59" i="51"/>
  <c r="Q62" i="51"/>
  <c r="Q63" i="51"/>
  <c r="Q64" i="51"/>
  <c r="Q65" i="51"/>
  <c r="Q66" i="51"/>
  <c r="Q67" i="51"/>
  <c r="Q68" i="51"/>
  <c r="Q69" i="51"/>
  <c r="Q70" i="51"/>
  <c r="Q71" i="51"/>
  <c r="Q72" i="51"/>
  <c r="Q73" i="51"/>
  <c r="Q74" i="51"/>
  <c r="Q75" i="51"/>
  <c r="Q76" i="51"/>
  <c r="Q77" i="51"/>
  <c r="Q78" i="51"/>
  <c r="Q79" i="51"/>
  <c r="Q80" i="51"/>
  <c r="Q81" i="51"/>
  <c r="Q82" i="51"/>
  <c r="Q83" i="51"/>
  <c r="Q84" i="51"/>
  <c r="Q85" i="51"/>
  <c r="Q86" i="51"/>
  <c r="Q87" i="51"/>
  <c r="Q88" i="51"/>
  <c r="Q89" i="51"/>
  <c r="Q90" i="51"/>
  <c r="Q91" i="51"/>
  <c r="Q92" i="51"/>
  <c r="Q93" i="51"/>
  <c r="Q94" i="51"/>
  <c r="Q95" i="51"/>
  <c r="Q96" i="51"/>
  <c r="Q97" i="51"/>
  <c r="Q98" i="51"/>
  <c r="Q99" i="51"/>
  <c r="Q100" i="51"/>
  <c r="Q101" i="51"/>
  <c r="Q102" i="51"/>
  <c r="Q103" i="51"/>
  <c r="Q104" i="51"/>
  <c r="Q105" i="51"/>
  <c r="Q106" i="51"/>
  <c r="Q107" i="51"/>
  <c r="Q108" i="51"/>
  <c r="Q109" i="51"/>
  <c r="Q110" i="51"/>
  <c r="Q111" i="51"/>
  <c r="Q112" i="51"/>
  <c r="Q113" i="51"/>
  <c r="Q114" i="51"/>
  <c r="Q115" i="51"/>
  <c r="Q116" i="51"/>
  <c r="Q117" i="51"/>
  <c r="Q118" i="51"/>
  <c r="Q119" i="51"/>
  <c r="Q120" i="51"/>
  <c r="Q121" i="51"/>
  <c r="Q122" i="51"/>
  <c r="Q123" i="51"/>
  <c r="Q124" i="51"/>
  <c r="Q125" i="51"/>
  <c r="Q126" i="51"/>
  <c r="Q127" i="51"/>
  <c r="Q128" i="51"/>
  <c r="Q129" i="51"/>
  <c r="Q130" i="51"/>
  <c r="Q131" i="51"/>
  <c r="Q132" i="51"/>
  <c r="Q133" i="51"/>
  <c r="Q134" i="51"/>
  <c r="Q135" i="51"/>
  <c r="Q136" i="51"/>
  <c r="Q137" i="51"/>
  <c r="Q138" i="51"/>
  <c r="Q139" i="51"/>
  <c r="Q140" i="51"/>
  <c r="Q142" i="51"/>
  <c r="Q143" i="51"/>
  <c r="Q144" i="51"/>
  <c r="Q145" i="51"/>
  <c r="Q146" i="51"/>
  <c r="Q147" i="51"/>
  <c r="Q148" i="51"/>
  <c r="Q149" i="51"/>
  <c r="Q150" i="51"/>
  <c r="Q151" i="51"/>
  <c r="Q152" i="51"/>
  <c r="Q153" i="51"/>
  <c r="Q154" i="51"/>
  <c r="Q155" i="51"/>
  <c r="Q156" i="51"/>
  <c r="Q157" i="51"/>
  <c r="Q158" i="51"/>
  <c r="Q159" i="51"/>
  <c r="Q160" i="51"/>
  <c r="Q161" i="51"/>
  <c r="Q162" i="51"/>
  <c r="Q163" i="51"/>
  <c r="Q164" i="51"/>
  <c r="Q165" i="51"/>
  <c r="Q166" i="51"/>
  <c r="Q167" i="51"/>
  <c r="Q168" i="51"/>
  <c r="Q169" i="51"/>
  <c r="Q170" i="51"/>
  <c r="Q171" i="51"/>
  <c r="Q172" i="51"/>
  <c r="Q173" i="51"/>
  <c r="Q174" i="51"/>
  <c r="Q175" i="51"/>
  <c r="Q176" i="51"/>
  <c r="Q177" i="51"/>
  <c r="Q178" i="51"/>
  <c r="Q179" i="51"/>
  <c r="Q180" i="51"/>
  <c r="Q181" i="51"/>
  <c r="Q182" i="51"/>
  <c r="Q183" i="51"/>
  <c r="Q184" i="51"/>
  <c r="Q185" i="51"/>
  <c r="Q186" i="51"/>
  <c r="Q187" i="51"/>
  <c r="Q189" i="51"/>
  <c r="Q190" i="51"/>
  <c r="Q191" i="51"/>
  <c r="Q192" i="51"/>
  <c r="Q193" i="51"/>
  <c r="Q194" i="51"/>
  <c r="Q195" i="51"/>
  <c r="Q196" i="51"/>
  <c r="Q197" i="51"/>
  <c r="Q198" i="51"/>
  <c r="Q199" i="51"/>
  <c r="Q200" i="51"/>
  <c r="Q201" i="51"/>
  <c r="Q202" i="51"/>
  <c r="Q203" i="51"/>
  <c r="Q204" i="51"/>
  <c r="O27" i="51"/>
  <c r="O28" i="51"/>
  <c r="S28" i="51" s="1"/>
  <c r="O29" i="51"/>
  <c r="S29" i="51" s="1"/>
  <c r="O30" i="51"/>
  <c r="S30" i="51" s="1"/>
  <c r="O31" i="51"/>
  <c r="S31" i="51" s="1"/>
  <c r="O32" i="51"/>
  <c r="S32" i="51" s="1"/>
  <c r="O33" i="51"/>
  <c r="S33" i="51" s="1"/>
  <c r="O34" i="51"/>
  <c r="S34" i="51" s="1"/>
  <c r="O35" i="51"/>
  <c r="S35" i="51" s="1"/>
  <c r="O36" i="51"/>
  <c r="S36" i="51" s="1"/>
  <c r="O37" i="51"/>
  <c r="S37" i="51" s="1"/>
  <c r="O38" i="51"/>
  <c r="S38" i="51" s="1"/>
  <c r="O39" i="51"/>
  <c r="S39" i="51" s="1"/>
  <c r="O40" i="51"/>
  <c r="S40" i="51" s="1"/>
  <c r="O41" i="51"/>
  <c r="S41" i="51" s="1"/>
  <c r="O42" i="51"/>
  <c r="S42" i="51" s="1"/>
  <c r="O43" i="51"/>
  <c r="S43" i="51" s="1"/>
  <c r="O44" i="51"/>
  <c r="S44" i="51" s="1"/>
  <c r="O45" i="51"/>
  <c r="O46" i="51"/>
  <c r="S46" i="51" s="1"/>
  <c r="O49" i="51"/>
  <c r="S49" i="51" s="1"/>
  <c r="O51" i="51"/>
  <c r="S51" i="51" s="1"/>
  <c r="O69" i="51"/>
  <c r="O70" i="51"/>
  <c r="S70" i="51" s="1"/>
  <c r="O71" i="51"/>
  <c r="S71" i="51" s="1"/>
  <c r="O72" i="51"/>
  <c r="S72" i="51" s="1"/>
  <c r="O73" i="51"/>
  <c r="S73" i="51" s="1"/>
  <c r="O74" i="51"/>
  <c r="S74" i="51" s="1"/>
  <c r="O75" i="51"/>
  <c r="O76" i="51"/>
  <c r="S76" i="51" s="1"/>
  <c r="O77" i="51"/>
  <c r="S77" i="51" s="1"/>
  <c r="O78" i="51"/>
  <c r="S78" i="51" s="1"/>
  <c r="O79" i="51"/>
  <c r="S79" i="51" s="1"/>
  <c r="O80" i="51"/>
  <c r="S80" i="51" s="1"/>
  <c r="O81" i="51"/>
  <c r="O82" i="51"/>
  <c r="S82" i="51" s="1"/>
  <c r="O83" i="51"/>
  <c r="S83" i="51" s="1"/>
  <c r="O84" i="51"/>
  <c r="S84" i="51" s="1"/>
  <c r="O85" i="51"/>
  <c r="S85" i="51" s="1"/>
  <c r="O86" i="51"/>
  <c r="S86" i="51" s="1"/>
  <c r="O87" i="51"/>
  <c r="S87" i="51" s="1"/>
  <c r="O88" i="51"/>
  <c r="S88" i="51" s="1"/>
  <c r="O55" i="51"/>
  <c r="S55" i="51" s="1"/>
  <c r="O57" i="51"/>
  <c r="S57" i="51" s="1"/>
  <c r="O58" i="51"/>
  <c r="S58" i="51" s="1"/>
  <c r="O59" i="51"/>
  <c r="S59" i="51" s="1"/>
  <c r="O60" i="51"/>
  <c r="S60" i="51" s="1"/>
  <c r="O61" i="51"/>
  <c r="S61" i="51" s="1"/>
  <c r="O62" i="51"/>
  <c r="S62" i="51" s="1"/>
  <c r="O63" i="51"/>
  <c r="O64" i="51"/>
  <c r="S64" i="51" s="1"/>
  <c r="O65" i="51"/>
  <c r="S65" i="51" s="1"/>
  <c r="O66" i="51"/>
  <c r="S66" i="51" s="1"/>
  <c r="O67" i="51"/>
  <c r="S67" i="51" s="1"/>
  <c r="O68" i="51"/>
  <c r="S68" i="51" s="1"/>
  <c r="O52" i="51"/>
  <c r="S52" i="51" s="1"/>
  <c r="O54" i="51"/>
  <c r="S54" i="51" s="1"/>
  <c r="O89" i="51"/>
  <c r="S89" i="51" s="1"/>
  <c r="O90" i="51"/>
  <c r="S90" i="51" s="1"/>
  <c r="O91" i="51"/>
  <c r="S91" i="51" s="1"/>
  <c r="O92" i="51"/>
  <c r="S92" i="51" s="1"/>
  <c r="O93" i="51"/>
  <c r="S93" i="51" s="1"/>
  <c r="O94" i="51"/>
  <c r="S94" i="51" s="1"/>
  <c r="O95" i="51"/>
  <c r="S95" i="51" s="1"/>
  <c r="O96" i="51"/>
  <c r="S96" i="51" s="1"/>
  <c r="O97" i="51"/>
  <c r="S97" i="51" s="1"/>
  <c r="O98" i="51"/>
  <c r="S98" i="51" s="1"/>
  <c r="O99" i="51"/>
  <c r="O100" i="51"/>
  <c r="S100" i="51" s="1"/>
  <c r="O101" i="51"/>
  <c r="S101" i="51" s="1"/>
  <c r="O102" i="51"/>
  <c r="S102" i="51" s="1"/>
  <c r="O103" i="51"/>
  <c r="S103" i="51" s="1"/>
  <c r="O104" i="51"/>
  <c r="S104" i="51" s="1"/>
  <c r="O105" i="51"/>
  <c r="O106" i="51"/>
  <c r="S106" i="51" s="1"/>
  <c r="O107" i="51"/>
  <c r="S107" i="51" s="1"/>
  <c r="O108" i="51"/>
  <c r="S108" i="51" s="1"/>
  <c r="O109" i="51"/>
  <c r="S109" i="51" s="1"/>
  <c r="O110" i="51"/>
  <c r="S110" i="51" s="1"/>
  <c r="O111" i="51"/>
  <c r="O112" i="51"/>
  <c r="S112" i="51" s="1"/>
  <c r="O113" i="51"/>
  <c r="S113" i="51" s="1"/>
  <c r="O114" i="51"/>
  <c r="S114" i="51" s="1"/>
  <c r="O115" i="51"/>
  <c r="S115" i="51" s="1"/>
  <c r="O116" i="51"/>
  <c r="S116" i="51" s="1"/>
  <c r="O117" i="51"/>
  <c r="O118" i="51"/>
  <c r="S118" i="51" s="1"/>
  <c r="O119" i="51"/>
  <c r="S119" i="51" s="1"/>
  <c r="O120" i="51"/>
  <c r="S120" i="51" s="1"/>
  <c r="O121" i="51"/>
  <c r="S121" i="51" s="1"/>
  <c r="O122" i="51"/>
  <c r="O123" i="51"/>
  <c r="O124" i="51"/>
  <c r="O125" i="51"/>
  <c r="O126" i="51"/>
  <c r="O127" i="51"/>
  <c r="O128" i="51"/>
  <c r="O129" i="51"/>
  <c r="O130" i="51"/>
  <c r="O131" i="51"/>
  <c r="O132" i="51"/>
  <c r="O133" i="51"/>
  <c r="O134" i="51"/>
  <c r="O135" i="51"/>
  <c r="O136" i="51"/>
  <c r="S136" i="51" s="1"/>
  <c r="O137" i="51"/>
  <c r="S137" i="51" s="1"/>
  <c r="O138" i="51"/>
  <c r="O139" i="51"/>
  <c r="O140" i="51"/>
  <c r="O143" i="51"/>
  <c r="O144" i="51"/>
  <c r="O145" i="51"/>
  <c r="O146" i="51"/>
  <c r="O147" i="51"/>
  <c r="O148" i="51"/>
  <c r="O149" i="51"/>
  <c r="O150" i="51"/>
  <c r="O151" i="51"/>
  <c r="O152" i="51"/>
  <c r="O153" i="51"/>
  <c r="O154" i="51"/>
  <c r="O155" i="51"/>
  <c r="O156" i="51"/>
  <c r="O157" i="51"/>
  <c r="O158" i="51"/>
  <c r="O159" i="51"/>
  <c r="O160" i="51"/>
  <c r="O161" i="51"/>
  <c r="O162" i="51"/>
  <c r="O163" i="51"/>
  <c r="O164" i="51"/>
  <c r="S164" i="51" s="1"/>
  <c r="O165" i="51"/>
  <c r="O166" i="51"/>
  <c r="O167" i="51"/>
  <c r="O168" i="51"/>
  <c r="O169" i="51"/>
  <c r="O170" i="51"/>
  <c r="S170" i="51" s="1"/>
  <c r="O171" i="51"/>
  <c r="O172" i="51"/>
  <c r="O173" i="51"/>
  <c r="O174" i="51"/>
  <c r="O175" i="51"/>
  <c r="O176" i="51"/>
  <c r="O177" i="51"/>
  <c r="O178" i="51"/>
  <c r="O179" i="51"/>
  <c r="O180" i="51"/>
  <c r="O181" i="51"/>
  <c r="O182" i="51"/>
  <c r="O183" i="51"/>
  <c r="O184" i="51"/>
  <c r="O185" i="51"/>
  <c r="O186" i="51"/>
  <c r="O187" i="51"/>
  <c r="O189" i="51"/>
  <c r="O190" i="51"/>
  <c r="O191" i="51"/>
  <c r="O192" i="51"/>
  <c r="O193" i="51"/>
  <c r="O194" i="51"/>
  <c r="O195" i="51"/>
  <c r="O196" i="51"/>
  <c r="O197" i="51"/>
  <c r="O198" i="51"/>
  <c r="O199" i="51"/>
  <c r="O200" i="51"/>
  <c r="O201" i="51"/>
  <c r="O202" i="51"/>
  <c r="O203" i="51"/>
  <c r="O204" i="51"/>
  <c r="M189" i="51"/>
  <c r="M190" i="51"/>
  <c r="M191" i="51"/>
  <c r="M192" i="51"/>
  <c r="M193" i="51"/>
  <c r="M194" i="51"/>
  <c r="M195" i="51"/>
  <c r="M196" i="51"/>
  <c r="M197" i="51"/>
  <c r="M198" i="51"/>
  <c r="M199" i="51"/>
  <c r="M200" i="51"/>
  <c r="M201" i="51"/>
  <c r="M202" i="51"/>
  <c r="M203" i="51"/>
  <c r="M204" i="51"/>
  <c r="M176" i="51"/>
  <c r="M177" i="51"/>
  <c r="M178" i="51"/>
  <c r="M179" i="51"/>
  <c r="M180" i="51"/>
  <c r="M181" i="51"/>
  <c r="M182" i="51"/>
  <c r="M183" i="51"/>
  <c r="M184" i="51"/>
  <c r="M185" i="51"/>
  <c r="M186" i="51"/>
  <c r="M187" i="51"/>
  <c r="M166" i="51"/>
  <c r="M167" i="51"/>
  <c r="M168" i="51"/>
  <c r="M169" i="51"/>
  <c r="M170" i="51"/>
  <c r="M171" i="51"/>
  <c r="M172" i="51"/>
  <c r="M173" i="51"/>
  <c r="M174" i="51"/>
  <c r="M175" i="51"/>
  <c r="M152" i="51"/>
  <c r="M153" i="51"/>
  <c r="M154" i="51"/>
  <c r="M155" i="51"/>
  <c r="M156" i="51"/>
  <c r="M157" i="51"/>
  <c r="M158" i="51"/>
  <c r="M159" i="51"/>
  <c r="M160" i="51"/>
  <c r="M161" i="51"/>
  <c r="M162" i="51"/>
  <c r="M163" i="51"/>
  <c r="M164" i="51"/>
  <c r="M139" i="51"/>
  <c r="S139" i="51" s="1"/>
  <c r="M140" i="51"/>
  <c r="M141" i="51"/>
  <c r="M142" i="51"/>
  <c r="M143" i="51"/>
  <c r="M144" i="51"/>
  <c r="M145" i="51"/>
  <c r="M146" i="51"/>
  <c r="M147" i="51"/>
  <c r="M148" i="51"/>
  <c r="M149" i="51"/>
  <c r="M150" i="51"/>
  <c r="M151" i="51"/>
  <c r="M126" i="51"/>
  <c r="M127" i="51"/>
  <c r="M128" i="51"/>
  <c r="M129" i="51"/>
  <c r="M130" i="51"/>
  <c r="M131" i="51"/>
  <c r="M132" i="51"/>
  <c r="M133" i="51"/>
  <c r="M134" i="51"/>
  <c r="M135" i="51"/>
  <c r="M136" i="51"/>
  <c r="M137" i="51"/>
  <c r="M138" i="51"/>
  <c r="M113" i="51"/>
  <c r="M114" i="51"/>
  <c r="M115" i="51"/>
  <c r="M116" i="51"/>
  <c r="M117" i="51"/>
  <c r="M118" i="51"/>
  <c r="M119" i="51"/>
  <c r="M120" i="51"/>
  <c r="M121" i="51"/>
  <c r="M122" i="51"/>
  <c r="M123" i="51"/>
  <c r="M124" i="51"/>
  <c r="M125" i="51"/>
  <c r="M100" i="51"/>
  <c r="M101" i="51"/>
  <c r="M102" i="51"/>
  <c r="M103" i="51"/>
  <c r="M104" i="51"/>
  <c r="M105" i="51"/>
  <c r="M106" i="51"/>
  <c r="M107" i="51"/>
  <c r="M108" i="51"/>
  <c r="M109" i="51"/>
  <c r="M110" i="51"/>
  <c r="M111" i="51"/>
  <c r="M112" i="51"/>
  <c r="M87" i="51"/>
  <c r="M88" i="51"/>
  <c r="M89" i="51"/>
  <c r="M90" i="51"/>
  <c r="M91" i="51"/>
  <c r="M92" i="51"/>
  <c r="M93" i="51"/>
  <c r="M94" i="51"/>
  <c r="M95" i="51"/>
  <c r="M96" i="51"/>
  <c r="M97" i="51"/>
  <c r="M98" i="51"/>
  <c r="M99" i="51"/>
  <c r="M74" i="51"/>
  <c r="M75" i="51"/>
  <c r="M76" i="51"/>
  <c r="M77" i="51"/>
  <c r="M78" i="51"/>
  <c r="M79" i="51"/>
  <c r="M80" i="51"/>
  <c r="M81" i="51"/>
  <c r="M82" i="51"/>
  <c r="M83" i="51"/>
  <c r="M84" i="51"/>
  <c r="M85" i="51"/>
  <c r="M86" i="51"/>
  <c r="M57" i="51"/>
  <c r="M58" i="51"/>
  <c r="M59" i="51"/>
  <c r="M62" i="51"/>
  <c r="M63" i="51"/>
  <c r="M64" i="51"/>
  <c r="M65" i="51"/>
  <c r="M66" i="51"/>
  <c r="M67" i="51"/>
  <c r="M68" i="51"/>
  <c r="M69" i="51"/>
  <c r="M70" i="51"/>
  <c r="M71" i="51"/>
  <c r="M72" i="51"/>
  <c r="M73" i="51"/>
  <c r="M42" i="51"/>
  <c r="M43" i="51"/>
  <c r="M44" i="51"/>
  <c r="M45" i="51"/>
  <c r="M46" i="51"/>
  <c r="M49" i="51"/>
  <c r="M51" i="51"/>
  <c r="M52" i="51"/>
  <c r="M54" i="51"/>
  <c r="M33" i="51"/>
  <c r="M34" i="51"/>
  <c r="M35" i="51"/>
  <c r="M36" i="51"/>
  <c r="M37" i="51"/>
  <c r="M38" i="51"/>
  <c r="M39" i="51"/>
  <c r="M40" i="51"/>
  <c r="M41" i="51"/>
  <c r="M25" i="51"/>
  <c r="M26" i="51"/>
  <c r="M27" i="51"/>
  <c r="M28" i="51"/>
  <c r="M29" i="51"/>
  <c r="M30" i="51"/>
  <c r="M31" i="51"/>
  <c r="M32" i="51"/>
  <c r="G10" i="51"/>
  <c r="I10" i="51"/>
  <c r="M10" i="51"/>
  <c r="O10" i="51"/>
  <c r="K10" i="51"/>
  <c r="G11" i="51"/>
  <c r="I11" i="51"/>
  <c r="M11" i="51"/>
  <c r="O11" i="51"/>
  <c r="K11" i="51"/>
  <c r="G12" i="51"/>
  <c r="I12" i="51"/>
  <c r="M12" i="51"/>
  <c r="O12" i="51"/>
  <c r="K12" i="51"/>
  <c r="G13" i="51"/>
  <c r="I13" i="51"/>
  <c r="M13" i="51"/>
  <c r="O13" i="51"/>
  <c r="K13" i="51"/>
  <c r="G14" i="51"/>
  <c r="I14" i="51"/>
  <c r="M14" i="51"/>
  <c r="O14" i="51"/>
  <c r="K14" i="51"/>
  <c r="G15" i="51"/>
  <c r="I15" i="51"/>
  <c r="M15" i="51"/>
  <c r="O15" i="51"/>
  <c r="K15" i="51"/>
  <c r="G16" i="51"/>
  <c r="I16" i="51"/>
  <c r="M16" i="51"/>
  <c r="O16" i="51"/>
  <c r="K16" i="51"/>
  <c r="G17" i="51"/>
  <c r="I17" i="51"/>
  <c r="M17" i="51"/>
  <c r="O17" i="51"/>
  <c r="K17" i="51"/>
  <c r="G18" i="51"/>
  <c r="I18" i="51"/>
  <c r="M18" i="51"/>
  <c r="O18" i="51"/>
  <c r="K18" i="51"/>
  <c r="G19" i="51"/>
  <c r="I19" i="51"/>
  <c r="M19" i="51"/>
  <c r="O19" i="51"/>
  <c r="K19" i="51"/>
  <c r="G20" i="51"/>
  <c r="I20" i="51"/>
  <c r="M20" i="51"/>
  <c r="O20" i="51"/>
  <c r="K20" i="51"/>
  <c r="G21" i="51"/>
  <c r="I21" i="51"/>
  <c r="M21" i="51"/>
  <c r="O21" i="51"/>
  <c r="K21" i="51"/>
  <c r="D16" i="51" s="1"/>
  <c r="F3" i="34" s="1"/>
  <c r="G22" i="51"/>
  <c r="I22" i="51"/>
  <c r="M22" i="51"/>
  <c r="O22" i="51"/>
  <c r="S22" i="51" s="1"/>
  <c r="K22" i="51"/>
  <c r="G23" i="51"/>
  <c r="I23" i="51"/>
  <c r="M23" i="51"/>
  <c r="O23" i="51"/>
  <c r="S23" i="51" s="1"/>
  <c r="K23" i="51"/>
  <c r="G24" i="51"/>
  <c r="I24" i="51"/>
  <c r="M24" i="51"/>
  <c r="O24" i="51"/>
  <c r="S24" i="51" s="1"/>
  <c r="K24" i="51"/>
  <c r="G25" i="51"/>
  <c r="I25" i="51"/>
  <c r="O25" i="51"/>
  <c r="S25" i="51" s="1"/>
  <c r="K25" i="51"/>
  <c r="G26" i="51"/>
  <c r="O26" i="51"/>
  <c r="S26" i="51" s="1"/>
  <c r="K26" i="51"/>
  <c r="K27" i="51"/>
  <c r="K28" i="51"/>
  <c r="K29" i="51"/>
  <c r="K30" i="51"/>
  <c r="K31" i="51"/>
  <c r="K32" i="51"/>
  <c r="K33" i="51"/>
  <c r="K34" i="51"/>
  <c r="K35" i="51"/>
  <c r="K36" i="51"/>
  <c r="K37" i="51"/>
  <c r="K38" i="51"/>
  <c r="K39" i="51"/>
  <c r="K40" i="51"/>
  <c r="K41" i="51"/>
  <c r="K42" i="51"/>
  <c r="K43" i="51"/>
  <c r="K44" i="51"/>
  <c r="K45" i="51"/>
  <c r="K46" i="51"/>
  <c r="K47" i="51"/>
  <c r="K48" i="51"/>
  <c r="K49" i="51"/>
  <c r="K50" i="51"/>
  <c r="K51" i="51"/>
  <c r="K52" i="51"/>
  <c r="K53" i="51"/>
  <c r="K54" i="51"/>
  <c r="K55" i="51"/>
  <c r="K56" i="51"/>
  <c r="K57" i="51"/>
  <c r="K58" i="51"/>
  <c r="K59" i="51"/>
  <c r="K60" i="51"/>
  <c r="K61" i="51"/>
  <c r="K62" i="51"/>
  <c r="K63" i="51"/>
  <c r="K64" i="51"/>
  <c r="K65" i="51"/>
  <c r="K66" i="51"/>
  <c r="K67" i="51"/>
  <c r="K68" i="51"/>
  <c r="K69" i="51"/>
  <c r="K70" i="51"/>
  <c r="K71" i="51"/>
  <c r="K72" i="51"/>
  <c r="K73" i="51"/>
  <c r="K74" i="51"/>
  <c r="K75" i="51"/>
  <c r="K76" i="51"/>
  <c r="K77" i="51"/>
  <c r="K78" i="51"/>
  <c r="K79" i="51"/>
  <c r="K80" i="51"/>
  <c r="K81" i="51"/>
  <c r="K82" i="51"/>
  <c r="K83" i="51"/>
  <c r="K84" i="51"/>
  <c r="K85" i="51"/>
  <c r="K86" i="51"/>
  <c r="K87" i="51"/>
  <c r="K88" i="51"/>
  <c r="K89" i="51"/>
  <c r="K90" i="51"/>
  <c r="K91" i="51"/>
  <c r="K92" i="51"/>
  <c r="K93" i="51"/>
  <c r="K94" i="51"/>
  <c r="K95" i="51"/>
  <c r="K96" i="51"/>
  <c r="K97" i="51"/>
  <c r="K98" i="51"/>
  <c r="K99" i="51"/>
  <c r="K100" i="51"/>
  <c r="K101" i="51"/>
  <c r="K102" i="51"/>
  <c r="K103" i="51"/>
  <c r="K104" i="51"/>
  <c r="K105" i="51"/>
  <c r="K106" i="51"/>
  <c r="K107" i="51"/>
  <c r="K108" i="51"/>
  <c r="K109" i="51"/>
  <c r="K110" i="51"/>
  <c r="K111" i="51"/>
  <c r="K112" i="51"/>
  <c r="K113" i="51"/>
  <c r="K114" i="51"/>
  <c r="K115" i="51"/>
  <c r="K116" i="51"/>
  <c r="K117" i="51"/>
  <c r="K118" i="51"/>
  <c r="K119" i="51"/>
  <c r="K120" i="51"/>
  <c r="K121" i="51"/>
  <c r="K122" i="51"/>
  <c r="K123" i="51"/>
  <c r="K124" i="51"/>
  <c r="K125" i="51"/>
  <c r="K126" i="51"/>
  <c r="K127" i="51"/>
  <c r="K128" i="51"/>
  <c r="K129" i="51"/>
  <c r="K130" i="51"/>
  <c r="K131" i="51"/>
  <c r="K132" i="51"/>
  <c r="K133" i="51"/>
  <c r="K134" i="51"/>
  <c r="K135" i="51"/>
  <c r="K136" i="51"/>
  <c r="K137" i="51"/>
  <c r="K138" i="51"/>
  <c r="K139" i="51"/>
  <c r="K140" i="51"/>
  <c r="O141" i="51"/>
  <c r="K141" i="51"/>
  <c r="O142" i="51"/>
  <c r="K142" i="51"/>
  <c r="K143" i="51"/>
  <c r="K144" i="51"/>
  <c r="K145" i="51"/>
  <c r="K146" i="51"/>
  <c r="K147" i="51"/>
  <c r="K148" i="51"/>
  <c r="K149" i="51"/>
  <c r="K150" i="51"/>
  <c r="K151" i="51"/>
  <c r="K152" i="51"/>
  <c r="K153" i="51"/>
  <c r="K154" i="51"/>
  <c r="K155" i="51"/>
  <c r="K156" i="51"/>
  <c r="K157" i="51"/>
  <c r="K158" i="51"/>
  <c r="K159" i="51"/>
  <c r="K160" i="51"/>
  <c r="K161" i="51"/>
  <c r="K162" i="51"/>
  <c r="K163" i="51"/>
  <c r="I164" i="51"/>
  <c r="K164" i="51"/>
  <c r="M165" i="51"/>
  <c r="K165" i="51"/>
  <c r="K166" i="51"/>
  <c r="K167" i="51"/>
  <c r="K168" i="51"/>
  <c r="K169" i="51"/>
  <c r="K170" i="51"/>
  <c r="K171" i="51"/>
  <c r="K172" i="51"/>
  <c r="K173" i="51"/>
  <c r="K174" i="51"/>
  <c r="K175" i="51"/>
  <c r="K176" i="51"/>
  <c r="K177" i="51"/>
  <c r="K178" i="51"/>
  <c r="K179" i="51"/>
  <c r="K180" i="51"/>
  <c r="K181" i="51"/>
  <c r="D178" i="51" s="1"/>
  <c r="AG3" i="34" s="1"/>
  <c r="K182" i="51"/>
  <c r="K183" i="51"/>
  <c r="K184" i="51"/>
  <c r="K185" i="51"/>
  <c r="K186" i="51"/>
  <c r="K187" i="51"/>
  <c r="K188" i="51"/>
  <c r="K189" i="51"/>
  <c r="K190" i="51"/>
  <c r="I205" i="51"/>
  <c r="M205" i="51"/>
  <c r="O205" i="51"/>
  <c r="K205" i="51"/>
  <c r="I206" i="51"/>
  <c r="M206" i="51"/>
  <c r="O206" i="51"/>
  <c r="K206" i="51"/>
  <c r="I207" i="51"/>
  <c r="M207" i="51"/>
  <c r="O207" i="51"/>
  <c r="K207" i="51"/>
  <c r="I208" i="51"/>
  <c r="M208" i="51"/>
  <c r="O208" i="51"/>
  <c r="K208" i="51"/>
  <c r="I209" i="51"/>
  <c r="M209" i="51"/>
  <c r="O209" i="51"/>
  <c r="K209" i="51"/>
  <c r="G210" i="51"/>
  <c r="I210" i="51"/>
  <c r="M210" i="51"/>
  <c r="O210" i="51"/>
  <c r="K210" i="51"/>
  <c r="G211" i="51"/>
  <c r="I211" i="51"/>
  <c r="M211" i="51"/>
  <c r="O211" i="51"/>
  <c r="K211" i="51"/>
  <c r="G212" i="51"/>
  <c r="I212" i="51"/>
  <c r="M212" i="51"/>
  <c r="O212" i="51"/>
  <c r="K212" i="51"/>
  <c r="G213" i="51"/>
  <c r="I213" i="51"/>
  <c r="M213" i="51"/>
  <c r="O213" i="51"/>
  <c r="K213" i="51"/>
  <c r="G214" i="51"/>
  <c r="I214" i="51"/>
  <c r="M214" i="51"/>
  <c r="O214" i="51"/>
  <c r="K214" i="51"/>
  <c r="G215" i="51"/>
  <c r="I215" i="51"/>
  <c r="M215" i="51"/>
  <c r="O215" i="51"/>
  <c r="K215" i="51"/>
  <c r="G216" i="51"/>
  <c r="I216" i="51"/>
  <c r="M216" i="51"/>
  <c r="O216" i="51"/>
  <c r="K216" i="51"/>
  <c r="G217" i="51"/>
  <c r="I217" i="51"/>
  <c r="M217" i="51"/>
  <c r="O217" i="51"/>
  <c r="K217" i="51"/>
  <c r="G218" i="51"/>
  <c r="I218" i="51"/>
  <c r="M218" i="51"/>
  <c r="O218" i="51"/>
  <c r="K218" i="51"/>
  <c r="G219" i="51"/>
  <c r="I219" i="51"/>
  <c r="M219" i="51"/>
  <c r="O219" i="51"/>
  <c r="K219" i="51"/>
  <c r="G220" i="51"/>
  <c r="I220" i="51"/>
  <c r="M220" i="51"/>
  <c r="O220" i="51"/>
  <c r="K220" i="51"/>
  <c r="G221" i="51"/>
  <c r="I221" i="51"/>
  <c r="M221" i="51"/>
  <c r="O221" i="51"/>
  <c r="K221" i="51"/>
  <c r="G222" i="51"/>
  <c r="I222" i="51"/>
  <c r="M222" i="51"/>
  <c r="O222" i="51"/>
  <c r="K222" i="51"/>
  <c r="G223" i="51"/>
  <c r="I223" i="51"/>
  <c r="M223" i="51"/>
  <c r="O223" i="51"/>
  <c r="K223" i="51"/>
  <c r="G224" i="51"/>
  <c r="I224" i="51"/>
  <c r="M224" i="51"/>
  <c r="O224" i="51"/>
  <c r="K224" i="51"/>
  <c r="G225" i="51"/>
  <c r="I225" i="51"/>
  <c r="M225" i="51"/>
  <c r="O225" i="51"/>
  <c r="K225" i="51"/>
  <c r="G226" i="51"/>
  <c r="I226" i="51"/>
  <c r="M226" i="51"/>
  <c r="O226" i="51"/>
  <c r="K226" i="51"/>
  <c r="G227" i="51"/>
  <c r="I227" i="51"/>
  <c r="M227" i="51"/>
  <c r="O227" i="51"/>
  <c r="K227" i="51"/>
  <c r="G228" i="51"/>
  <c r="I228" i="51"/>
  <c r="M228" i="51"/>
  <c r="O228" i="51"/>
  <c r="K228" i="51"/>
  <c r="G229" i="51"/>
  <c r="I229" i="51"/>
  <c r="M229" i="51"/>
  <c r="O229" i="51"/>
  <c r="K229" i="51"/>
  <c r="G230" i="51"/>
  <c r="I230" i="51"/>
  <c r="M230" i="51"/>
  <c r="O230" i="51"/>
  <c r="K230" i="51"/>
  <c r="G231" i="51"/>
  <c r="I231" i="51"/>
  <c r="M231" i="51"/>
  <c r="O231" i="51"/>
  <c r="K231" i="51"/>
  <c r="Q231" i="51"/>
  <c r="Q230" i="51"/>
  <c r="Q229" i="51"/>
  <c r="Q228" i="51"/>
  <c r="Q227" i="51"/>
  <c r="Q226" i="51"/>
  <c r="Q225" i="51"/>
  <c r="Q224" i="51"/>
  <c r="Q223" i="51"/>
  <c r="Q222" i="51"/>
  <c r="Q221" i="51"/>
  <c r="Q220" i="51"/>
  <c r="Q219" i="51"/>
  <c r="Q218" i="51"/>
  <c r="Q217" i="51"/>
  <c r="Q216" i="51"/>
  <c r="Q215" i="51"/>
  <c r="Q214" i="51"/>
  <c r="Q213" i="51"/>
  <c r="Q212" i="51"/>
  <c r="Q211" i="51"/>
  <c r="Q210" i="51"/>
  <c r="Q209" i="51"/>
  <c r="Q208" i="51"/>
  <c r="Q207" i="51"/>
  <c r="Q206" i="51"/>
  <c r="Q205" i="51"/>
  <c r="Q141" i="51"/>
  <c r="Q25" i="51"/>
  <c r="Q24" i="51"/>
  <c r="Q23" i="51"/>
  <c r="Q22" i="51"/>
  <c r="Q21" i="51"/>
  <c r="Q20" i="51"/>
  <c r="Q19" i="51"/>
  <c r="Q18" i="51"/>
  <c r="Q17" i="51"/>
  <c r="Q16" i="51"/>
  <c r="Q15" i="51"/>
  <c r="Q14" i="51"/>
  <c r="Q13" i="51"/>
  <c r="Q12" i="51"/>
  <c r="Q11" i="51"/>
  <c r="Q10" i="51"/>
  <c r="W3" i="51"/>
  <c r="O153" i="19"/>
  <c r="I231" i="48"/>
  <c r="I230" i="48"/>
  <c r="I229" i="48"/>
  <c r="I228" i="48"/>
  <c r="I227" i="48"/>
  <c r="I226" i="48"/>
  <c r="I225" i="48"/>
  <c r="I224" i="48"/>
  <c r="I223" i="48"/>
  <c r="I222" i="48"/>
  <c r="I221" i="48"/>
  <c r="I220" i="48"/>
  <c r="I219" i="48"/>
  <c r="I218" i="48"/>
  <c r="F214" i="48" s="1"/>
  <c r="AM4" i="34" s="1"/>
  <c r="I217" i="48"/>
  <c r="I216" i="48"/>
  <c r="I215" i="48"/>
  <c r="I214" i="48"/>
  <c r="I213" i="48"/>
  <c r="I212" i="48"/>
  <c r="I211" i="48"/>
  <c r="I210" i="48"/>
  <c r="I209" i="48"/>
  <c r="I208" i="48"/>
  <c r="I207" i="48"/>
  <c r="I206" i="48"/>
  <c r="I205" i="48"/>
  <c r="I204" i="48"/>
  <c r="I203" i="48"/>
  <c r="I202" i="48"/>
  <c r="I201" i="48"/>
  <c r="I200" i="48"/>
  <c r="I199" i="48"/>
  <c r="I198" i="48"/>
  <c r="I197" i="48"/>
  <c r="I196" i="48"/>
  <c r="I195" i="48"/>
  <c r="I194" i="48"/>
  <c r="I193" i="48"/>
  <c r="I192" i="48"/>
  <c r="I191" i="48"/>
  <c r="I190" i="48"/>
  <c r="I189" i="48"/>
  <c r="I188" i="48"/>
  <c r="I187" i="48"/>
  <c r="I186" i="48"/>
  <c r="I185" i="48"/>
  <c r="I184" i="48"/>
  <c r="I183" i="48"/>
  <c r="I182" i="48"/>
  <c r="I181" i="48"/>
  <c r="I180" i="48"/>
  <c r="I179" i="48"/>
  <c r="I178" i="48"/>
  <c r="I177" i="48"/>
  <c r="I176" i="48"/>
  <c r="I175" i="48"/>
  <c r="I174" i="48"/>
  <c r="I173" i="48"/>
  <c r="I172" i="48"/>
  <c r="I171" i="48"/>
  <c r="I170" i="48"/>
  <c r="I169" i="48"/>
  <c r="I168" i="48"/>
  <c r="I167" i="48"/>
  <c r="I166" i="48"/>
  <c r="I165" i="48"/>
  <c r="I164" i="48"/>
  <c r="I163" i="48"/>
  <c r="I162" i="48"/>
  <c r="I161" i="48"/>
  <c r="I160" i="48"/>
  <c r="I159" i="48"/>
  <c r="I158" i="48"/>
  <c r="I157" i="48"/>
  <c r="I156" i="48"/>
  <c r="I155" i="48"/>
  <c r="I154" i="48"/>
  <c r="I153" i="48"/>
  <c r="I152" i="48"/>
  <c r="I151" i="48"/>
  <c r="I150" i="48"/>
  <c r="I149" i="48"/>
  <c r="I148" i="48"/>
  <c r="I147" i="48"/>
  <c r="I146" i="48"/>
  <c r="I145" i="48"/>
  <c r="I144" i="48"/>
  <c r="I143" i="48"/>
  <c r="I142" i="48"/>
  <c r="I141" i="48"/>
  <c r="I140" i="48"/>
  <c r="I139" i="48"/>
  <c r="I138" i="48"/>
  <c r="I137" i="48"/>
  <c r="I136" i="48"/>
  <c r="I135" i="48"/>
  <c r="I134" i="48"/>
  <c r="I133" i="48"/>
  <c r="I132" i="48"/>
  <c r="I131" i="48"/>
  <c r="I130" i="48"/>
  <c r="I129" i="48"/>
  <c r="I128" i="48"/>
  <c r="I127" i="48"/>
  <c r="I126" i="48"/>
  <c r="I125" i="48"/>
  <c r="I124" i="48"/>
  <c r="I123" i="48"/>
  <c r="I122" i="48"/>
  <c r="I121" i="48"/>
  <c r="I120" i="48"/>
  <c r="I119" i="48"/>
  <c r="I117" i="48"/>
  <c r="I116" i="48"/>
  <c r="I115" i="48"/>
  <c r="I114" i="48"/>
  <c r="I112" i="48"/>
  <c r="I111" i="48"/>
  <c r="I110" i="48"/>
  <c r="I109" i="48"/>
  <c r="I108" i="48"/>
  <c r="I107" i="48"/>
  <c r="I106" i="48"/>
  <c r="I105" i="48"/>
  <c r="I104" i="48"/>
  <c r="I103" i="48"/>
  <c r="I102" i="48"/>
  <c r="I101" i="48"/>
  <c r="I100" i="48"/>
  <c r="I99" i="48"/>
  <c r="I98" i="48"/>
  <c r="I97" i="48"/>
  <c r="I96" i="48"/>
  <c r="I95" i="48"/>
  <c r="I94" i="48"/>
  <c r="I93" i="48"/>
  <c r="I92" i="48"/>
  <c r="I91" i="48"/>
  <c r="I90" i="48"/>
  <c r="I89" i="48"/>
  <c r="I88" i="48"/>
  <c r="I87" i="48"/>
  <c r="I86" i="48"/>
  <c r="I85" i="48"/>
  <c r="I84" i="48"/>
  <c r="I83" i="48"/>
  <c r="I82" i="48"/>
  <c r="I81" i="48"/>
  <c r="I80" i="48"/>
  <c r="I79" i="48"/>
  <c r="I78" i="48"/>
  <c r="I77" i="48"/>
  <c r="I76" i="48"/>
  <c r="I75" i="48"/>
  <c r="I74" i="48"/>
  <c r="I73" i="48"/>
  <c r="I72" i="48"/>
  <c r="I71" i="48"/>
  <c r="I70" i="48"/>
  <c r="I69" i="48"/>
  <c r="I68" i="48"/>
  <c r="I67" i="48"/>
  <c r="I66" i="48"/>
  <c r="I65" i="48"/>
  <c r="I64" i="48"/>
  <c r="I45" i="48"/>
  <c r="I44" i="48"/>
  <c r="I43" i="48"/>
  <c r="I42" i="48"/>
  <c r="I41" i="48"/>
  <c r="I40" i="48"/>
  <c r="I39" i="48"/>
  <c r="I38" i="48"/>
  <c r="I37" i="48"/>
  <c r="I36" i="48"/>
  <c r="I35" i="48"/>
  <c r="I34" i="48"/>
  <c r="I32" i="48"/>
  <c r="I31" i="48"/>
  <c r="I30" i="48"/>
  <c r="I29" i="48"/>
  <c r="I28" i="48"/>
  <c r="I26" i="48"/>
  <c r="I25" i="48"/>
  <c r="I24" i="48"/>
  <c r="I23" i="48"/>
  <c r="I22" i="48"/>
  <c r="I21" i="48"/>
  <c r="I20" i="48"/>
  <c r="I19" i="48"/>
  <c r="I18" i="48"/>
  <c r="I17" i="48"/>
  <c r="I16" i="48"/>
  <c r="I15" i="48"/>
  <c r="I14" i="48"/>
  <c r="I13" i="48"/>
  <c r="I12" i="48"/>
  <c r="I11" i="48"/>
  <c r="I10" i="48"/>
  <c r="D3" i="48"/>
  <c r="C3" i="48"/>
  <c r="I33" i="48"/>
  <c r="I27" i="48"/>
  <c r="U33" i="48"/>
  <c r="E3" i="48"/>
  <c r="O231" i="48"/>
  <c r="O230" i="48"/>
  <c r="O229" i="48"/>
  <c r="O228" i="48"/>
  <c r="O227" i="48"/>
  <c r="O226" i="48"/>
  <c r="O225" i="48"/>
  <c r="O224" i="48"/>
  <c r="O223" i="48"/>
  <c r="O222" i="48"/>
  <c r="O221" i="48"/>
  <c r="O220" i="48"/>
  <c r="O219" i="48"/>
  <c r="O218" i="48"/>
  <c r="O217" i="48"/>
  <c r="O216" i="48"/>
  <c r="O215" i="48"/>
  <c r="O214" i="48"/>
  <c r="O213" i="48"/>
  <c r="O212" i="48"/>
  <c r="O211" i="48"/>
  <c r="O210" i="48"/>
  <c r="O209" i="48"/>
  <c r="O208" i="48"/>
  <c r="O207" i="48"/>
  <c r="O206" i="48"/>
  <c r="O205" i="48"/>
  <c r="O204" i="48"/>
  <c r="O203" i="48"/>
  <c r="O202" i="48"/>
  <c r="O201" i="48"/>
  <c r="O200" i="48"/>
  <c r="O199" i="48"/>
  <c r="Q199" i="48"/>
  <c r="O198" i="48"/>
  <c r="Q198" i="48"/>
  <c r="O197" i="48"/>
  <c r="Q197" i="48"/>
  <c r="O196" i="48"/>
  <c r="Q196" i="48"/>
  <c r="O195" i="48"/>
  <c r="Q195" i="48"/>
  <c r="O194" i="48"/>
  <c r="Q194" i="48"/>
  <c r="O193" i="48"/>
  <c r="Q193" i="48"/>
  <c r="O192" i="48"/>
  <c r="Q192" i="48"/>
  <c r="O191" i="48"/>
  <c r="O190" i="48"/>
  <c r="Q190" i="48"/>
  <c r="O189" i="48"/>
  <c r="Q189" i="48"/>
  <c r="O188" i="48"/>
  <c r="Q188" i="48"/>
  <c r="O187" i="48"/>
  <c r="Q187" i="48"/>
  <c r="O186" i="48"/>
  <c r="Q186" i="48"/>
  <c r="O185" i="48"/>
  <c r="Q185" i="48"/>
  <c r="O184" i="48"/>
  <c r="O183" i="48"/>
  <c r="O182" i="48"/>
  <c r="Q182" i="48"/>
  <c r="O181" i="48"/>
  <c r="Q181" i="48"/>
  <c r="O180" i="48"/>
  <c r="Q180" i="48"/>
  <c r="O179" i="48"/>
  <c r="Q179" i="48"/>
  <c r="O178" i="48"/>
  <c r="Q178" i="48"/>
  <c r="O177" i="48"/>
  <c r="O176" i="48"/>
  <c r="Q176" i="48"/>
  <c r="O175" i="48"/>
  <c r="Q175" i="48"/>
  <c r="O174" i="48"/>
  <c r="Q174" i="48"/>
  <c r="O173" i="48"/>
  <c r="Q173" i="48"/>
  <c r="O172" i="48"/>
  <c r="Q172" i="48"/>
  <c r="O171" i="48"/>
  <c r="O170" i="48"/>
  <c r="Q170" i="48"/>
  <c r="O169" i="48"/>
  <c r="O168" i="48"/>
  <c r="O167" i="48"/>
  <c r="Q167" i="48"/>
  <c r="O166" i="48"/>
  <c r="Q166" i="48"/>
  <c r="O165" i="48"/>
  <c r="Q165" i="48"/>
  <c r="O164" i="48"/>
  <c r="Q164" i="48"/>
  <c r="O163" i="48"/>
  <c r="Q163" i="48"/>
  <c r="O162" i="48"/>
  <c r="Q162" i="48"/>
  <c r="O161" i="48"/>
  <c r="Q161" i="48"/>
  <c r="O160" i="48"/>
  <c r="Q160" i="48"/>
  <c r="O159" i="48"/>
  <c r="Q159" i="48"/>
  <c r="O158" i="48"/>
  <c r="Q158" i="48"/>
  <c r="O157" i="48"/>
  <c r="Q157" i="48"/>
  <c r="O156" i="48"/>
  <c r="O155" i="48"/>
  <c r="O154" i="48"/>
  <c r="O153" i="48"/>
  <c r="O152" i="48"/>
  <c r="O151" i="48"/>
  <c r="O150" i="48"/>
  <c r="O149" i="48"/>
  <c r="Q149" i="48"/>
  <c r="O148" i="48"/>
  <c r="Q148" i="48"/>
  <c r="O147" i="48"/>
  <c r="Q147" i="48"/>
  <c r="O146" i="48"/>
  <c r="Q146" i="48"/>
  <c r="O145" i="48"/>
  <c r="Q145" i="48"/>
  <c r="O144" i="48"/>
  <c r="Q144" i="48"/>
  <c r="O143" i="48"/>
  <c r="Q143" i="48"/>
  <c r="O142" i="48"/>
  <c r="Q142" i="48"/>
  <c r="O141" i="48"/>
  <c r="Q141" i="48"/>
  <c r="O140" i="48"/>
  <c r="Q140" i="48"/>
  <c r="O139" i="48"/>
  <c r="Q139" i="48"/>
  <c r="O138" i="48"/>
  <c r="Q138" i="48"/>
  <c r="O137" i="48"/>
  <c r="Q137" i="48"/>
  <c r="O136" i="48"/>
  <c r="Q136" i="48"/>
  <c r="O135" i="48"/>
  <c r="O134" i="48"/>
  <c r="Q134" i="48"/>
  <c r="O133" i="48"/>
  <c r="Q133" i="48"/>
  <c r="O132" i="48"/>
  <c r="Q132" i="48"/>
  <c r="O131" i="48"/>
  <c r="Q131" i="48"/>
  <c r="O130" i="48"/>
  <c r="Q130" i="48"/>
  <c r="O129" i="48"/>
  <c r="O128" i="48"/>
  <c r="Q128" i="48"/>
  <c r="O127" i="48"/>
  <c r="Q127" i="48"/>
  <c r="O126" i="48"/>
  <c r="Q126" i="48"/>
  <c r="O125" i="48"/>
  <c r="Q125" i="48"/>
  <c r="O124" i="48"/>
  <c r="Q124" i="48"/>
  <c r="O123" i="48"/>
  <c r="Q123" i="48"/>
  <c r="O122" i="48"/>
  <c r="O121" i="48"/>
  <c r="O120" i="48"/>
  <c r="O119" i="48"/>
  <c r="O118" i="48"/>
  <c r="Q118" i="48"/>
  <c r="O117" i="48"/>
  <c r="Q117" i="48"/>
  <c r="O116" i="48"/>
  <c r="Q116" i="48"/>
  <c r="O115" i="48"/>
  <c r="Q115" i="48"/>
  <c r="O114" i="48"/>
  <c r="Q114" i="48"/>
  <c r="O113" i="48"/>
  <c r="O112" i="48"/>
  <c r="Q112" i="48"/>
  <c r="O111" i="48"/>
  <c r="Q111" i="48"/>
  <c r="O110" i="48"/>
  <c r="Q110" i="48"/>
  <c r="O109" i="48"/>
  <c r="Q109" i="48"/>
  <c r="O108" i="48"/>
  <c r="Q108" i="48"/>
  <c r="O107" i="48"/>
  <c r="Q107" i="48"/>
  <c r="O106" i="48"/>
  <c r="Q106" i="48"/>
  <c r="O105" i="48"/>
  <c r="O104" i="48"/>
  <c r="O103" i="48"/>
  <c r="Q103" i="48"/>
  <c r="O102" i="48"/>
  <c r="Q102" i="48"/>
  <c r="O101" i="48"/>
  <c r="Q101" i="48"/>
  <c r="O100" i="48"/>
  <c r="Q100" i="48"/>
  <c r="O99" i="48"/>
  <c r="O98" i="48"/>
  <c r="Q98" i="48"/>
  <c r="O97" i="48"/>
  <c r="Q97" i="48"/>
  <c r="O96" i="48"/>
  <c r="Q96" i="48"/>
  <c r="O95" i="48"/>
  <c r="Q95" i="48"/>
  <c r="O94" i="48"/>
  <c r="Q94" i="48"/>
  <c r="O93" i="48"/>
  <c r="O92" i="48"/>
  <c r="Q92" i="48"/>
  <c r="O91" i="48"/>
  <c r="Q91" i="48"/>
  <c r="O90" i="48"/>
  <c r="Q90" i="48"/>
  <c r="O89" i="48"/>
  <c r="Q89" i="48"/>
  <c r="O88" i="48"/>
  <c r="Q88" i="48"/>
  <c r="O87" i="48"/>
  <c r="Q87" i="48"/>
  <c r="O86" i="48"/>
  <c r="Q86" i="48"/>
  <c r="O85" i="48"/>
  <c r="Q85" i="48"/>
  <c r="O84" i="48"/>
  <c r="Q84" i="48"/>
  <c r="O83" i="48"/>
  <c r="Q83" i="48"/>
  <c r="O82" i="48"/>
  <c r="Q82" i="48"/>
  <c r="O81" i="48"/>
  <c r="Q81" i="48"/>
  <c r="O80" i="48"/>
  <c r="Q80" i="48"/>
  <c r="O79" i="48"/>
  <c r="Q79" i="48"/>
  <c r="O78" i="48"/>
  <c r="Q78" i="48"/>
  <c r="O77" i="48"/>
  <c r="Q77" i="48"/>
  <c r="O76" i="48"/>
  <c r="Q76" i="48"/>
  <c r="Q75" i="48"/>
  <c r="Q72" i="48"/>
  <c r="Q71" i="48"/>
  <c r="Q70" i="48"/>
  <c r="Q69" i="48"/>
  <c r="Q68" i="48"/>
  <c r="Q67" i="48"/>
  <c r="Q66" i="48"/>
  <c r="Q65" i="48"/>
  <c r="Q64" i="48"/>
  <c r="O63" i="48"/>
  <c r="Q63" i="48"/>
  <c r="O62" i="48"/>
  <c r="Q62" i="48"/>
  <c r="O61" i="48"/>
  <c r="Q61" i="48"/>
  <c r="O60" i="48"/>
  <c r="Q60" i="48"/>
  <c r="O59" i="48"/>
  <c r="Q59" i="48"/>
  <c r="O58" i="48"/>
  <c r="Q58" i="48"/>
  <c r="O57" i="48"/>
  <c r="O56" i="48"/>
  <c r="Q56" i="48"/>
  <c r="Q55" i="48"/>
  <c r="O52" i="48"/>
  <c r="O51" i="48"/>
  <c r="O50" i="48"/>
  <c r="Q50" i="48"/>
  <c r="O49" i="48"/>
  <c r="Q49" i="48"/>
  <c r="O48" i="48"/>
  <c r="Q48" i="48"/>
  <c r="O47" i="48"/>
  <c r="Q47" i="48"/>
  <c r="O46" i="48"/>
  <c r="Q46" i="48"/>
  <c r="O45" i="48"/>
  <c r="Q45" i="48"/>
  <c r="Q44" i="48"/>
  <c r="Q43" i="48"/>
  <c r="O42" i="48"/>
  <c r="Q42" i="48"/>
  <c r="O41" i="48"/>
  <c r="Q41" i="48"/>
  <c r="O40" i="48"/>
  <c r="Q40" i="48"/>
  <c r="O39" i="48"/>
  <c r="Q39" i="48"/>
  <c r="O38" i="48"/>
  <c r="Q38" i="48"/>
  <c r="O37" i="48"/>
  <c r="Q37" i="48"/>
  <c r="O36" i="48"/>
  <c r="Q36" i="48"/>
  <c r="O35" i="48"/>
  <c r="Q35" i="48"/>
  <c r="O34" i="48"/>
  <c r="Q34" i="48"/>
  <c r="O32" i="48"/>
  <c r="Q32" i="48"/>
  <c r="O31" i="48"/>
  <c r="Q31" i="48"/>
  <c r="O30" i="48"/>
  <c r="Q30" i="48"/>
  <c r="O29" i="48"/>
  <c r="Q29" i="48"/>
  <c r="O28" i="48"/>
  <c r="Q28" i="48"/>
  <c r="O26" i="48"/>
  <c r="O21" i="48"/>
  <c r="O20" i="48"/>
  <c r="O19" i="48"/>
  <c r="O18" i="48"/>
  <c r="O17" i="48"/>
  <c r="O16" i="48"/>
  <c r="O15" i="48"/>
  <c r="O14" i="48"/>
  <c r="K13" i="48"/>
  <c r="Q13" i="48"/>
  <c r="O13" i="48"/>
  <c r="O12" i="48"/>
  <c r="O11" i="48"/>
  <c r="O10" i="48"/>
  <c r="Q191" i="48"/>
  <c r="Q171" i="48"/>
  <c r="Q177" i="48"/>
  <c r="Q183" i="48"/>
  <c r="Q129" i="48"/>
  <c r="Q135" i="48"/>
  <c r="Q93" i="48"/>
  <c r="Q99" i="48"/>
  <c r="Q57" i="48"/>
  <c r="Q51" i="48"/>
  <c r="Q33" i="48"/>
  <c r="O22" i="48"/>
  <c r="O23" i="48"/>
  <c r="O24" i="48"/>
  <c r="O25" i="48"/>
  <c r="O27" i="48"/>
  <c r="O33" i="48"/>
  <c r="G34" i="19"/>
  <c r="I34" i="19"/>
  <c r="M34" i="19"/>
  <c r="O34" i="19"/>
  <c r="Q34" i="19"/>
  <c r="G40" i="19"/>
  <c r="G41" i="19"/>
  <c r="G42" i="19"/>
  <c r="G43" i="19"/>
  <c r="G44" i="19"/>
  <c r="G45" i="19"/>
  <c r="G64" i="19"/>
  <c r="G65" i="19"/>
  <c r="G66" i="19"/>
  <c r="G67" i="19"/>
  <c r="G68" i="19"/>
  <c r="G70" i="19"/>
  <c r="G71" i="19"/>
  <c r="G72" i="19"/>
  <c r="G73" i="19"/>
  <c r="G74" i="19"/>
  <c r="G76" i="19"/>
  <c r="G77" i="19"/>
  <c r="G78" i="19"/>
  <c r="G79" i="19"/>
  <c r="G80" i="19"/>
  <c r="G81" i="19"/>
  <c r="G82" i="19"/>
  <c r="G83" i="19"/>
  <c r="G84" i="19"/>
  <c r="G85" i="19"/>
  <c r="G86" i="19"/>
  <c r="G87" i="19"/>
  <c r="G88" i="19"/>
  <c r="G89" i="19"/>
  <c r="G90" i="19"/>
  <c r="G91" i="19"/>
  <c r="G94" i="19"/>
  <c r="G95" i="19"/>
  <c r="G96" i="19"/>
  <c r="G97" i="19"/>
  <c r="G98" i="19"/>
  <c r="G99" i="19"/>
  <c r="G100" i="19"/>
  <c r="G101" i="19"/>
  <c r="G102" i="19"/>
  <c r="G103" i="19"/>
  <c r="G104" i="19"/>
  <c r="G105" i="19"/>
  <c r="G106" i="19"/>
  <c r="G107" i="19"/>
  <c r="G108" i="19"/>
  <c r="G109" i="19"/>
  <c r="G110" i="19"/>
  <c r="G111" i="19"/>
  <c r="G112" i="19"/>
  <c r="G113" i="19"/>
  <c r="G114" i="19"/>
  <c r="G115" i="19"/>
  <c r="G116" i="19"/>
  <c r="S116" i="19" s="1"/>
  <c r="G118" i="19"/>
  <c r="G119" i="19"/>
  <c r="G120" i="19"/>
  <c r="G121" i="19"/>
  <c r="G122" i="19"/>
  <c r="G124" i="19"/>
  <c r="G125" i="19"/>
  <c r="G126" i="19"/>
  <c r="G128" i="19"/>
  <c r="G127" i="19"/>
  <c r="G130" i="19"/>
  <c r="G131" i="19"/>
  <c r="G132" i="19"/>
  <c r="G133" i="19"/>
  <c r="G134" i="19"/>
  <c r="G136" i="19"/>
  <c r="G137" i="19"/>
  <c r="G138" i="19"/>
  <c r="G139" i="19"/>
  <c r="G140" i="19"/>
  <c r="G142" i="19"/>
  <c r="G143" i="19"/>
  <c r="G144" i="19"/>
  <c r="G145" i="19"/>
  <c r="G146" i="19"/>
  <c r="S146" i="19" s="1"/>
  <c r="G148" i="19"/>
  <c r="G149" i="19"/>
  <c r="G150" i="19"/>
  <c r="G151" i="19"/>
  <c r="G152" i="19"/>
  <c r="G154" i="19"/>
  <c r="G155" i="19"/>
  <c r="G156" i="19"/>
  <c r="G157" i="19"/>
  <c r="G158" i="19"/>
  <c r="G160" i="19"/>
  <c r="G161" i="19"/>
  <c r="G162" i="19"/>
  <c r="G164" i="19"/>
  <c r="G163" i="19"/>
  <c r="G166" i="19"/>
  <c r="G167" i="19"/>
  <c r="G168" i="19"/>
  <c r="G169" i="19"/>
  <c r="G170" i="19"/>
  <c r="G172" i="19"/>
  <c r="G173" i="19"/>
  <c r="G174" i="19"/>
  <c r="G175" i="19"/>
  <c r="G176" i="19"/>
  <c r="G178" i="19"/>
  <c r="G179" i="19"/>
  <c r="G180" i="19"/>
  <c r="G181" i="19"/>
  <c r="G184" i="19"/>
  <c r="G185" i="19"/>
  <c r="G186" i="19"/>
  <c r="G187" i="19"/>
  <c r="G188" i="19"/>
  <c r="G189" i="19"/>
  <c r="G190" i="19"/>
  <c r="G192" i="19"/>
  <c r="G193" i="19"/>
  <c r="G194" i="19"/>
  <c r="G195" i="19"/>
  <c r="G196" i="19"/>
  <c r="G197" i="19"/>
  <c r="G198" i="19"/>
  <c r="S198" i="19" s="1"/>
  <c r="G200" i="19"/>
  <c r="G202" i="19"/>
  <c r="G203" i="19"/>
  <c r="G204" i="19"/>
  <c r="G25" i="19"/>
  <c r="G26" i="19"/>
  <c r="G27" i="19"/>
  <c r="G28" i="19"/>
  <c r="G29" i="19"/>
  <c r="G30" i="19"/>
  <c r="G31" i="19"/>
  <c r="G32" i="19"/>
  <c r="G33" i="19"/>
  <c r="G35" i="19"/>
  <c r="G36" i="19"/>
  <c r="G37" i="19"/>
  <c r="G38" i="19"/>
  <c r="G39" i="19"/>
  <c r="G69" i="19"/>
  <c r="G75" i="19"/>
  <c r="G117" i="19"/>
  <c r="G123" i="19"/>
  <c r="G129" i="19"/>
  <c r="G135" i="19"/>
  <c r="G141" i="19"/>
  <c r="G147" i="19"/>
  <c r="G159" i="19"/>
  <c r="G171" i="19"/>
  <c r="G177" i="19"/>
  <c r="G182" i="19"/>
  <c r="G183" i="19"/>
  <c r="G191" i="19"/>
  <c r="G199" i="19"/>
  <c r="G201" i="19"/>
  <c r="I40" i="19"/>
  <c r="I41" i="19"/>
  <c r="I42" i="19"/>
  <c r="I43" i="19"/>
  <c r="I44" i="19"/>
  <c r="I45" i="19"/>
  <c r="I64" i="19"/>
  <c r="I65" i="19"/>
  <c r="I66" i="19"/>
  <c r="I67" i="19"/>
  <c r="I68" i="19"/>
  <c r="I70" i="19"/>
  <c r="I71" i="19"/>
  <c r="I72" i="19"/>
  <c r="I73" i="19"/>
  <c r="I74" i="19"/>
  <c r="I76" i="19"/>
  <c r="I77" i="19"/>
  <c r="I78" i="19"/>
  <c r="I79" i="19"/>
  <c r="I80" i="19"/>
  <c r="I81" i="19"/>
  <c r="I82" i="19"/>
  <c r="I83" i="19"/>
  <c r="I84" i="19"/>
  <c r="I85" i="19"/>
  <c r="I86" i="19"/>
  <c r="I87" i="19"/>
  <c r="I88" i="19"/>
  <c r="I89" i="19"/>
  <c r="I90" i="19"/>
  <c r="I91" i="19"/>
  <c r="I92" i="19"/>
  <c r="I93" i="19"/>
  <c r="I94" i="19"/>
  <c r="I95" i="19"/>
  <c r="I96" i="19"/>
  <c r="I97" i="19"/>
  <c r="I98" i="19"/>
  <c r="I99" i="19"/>
  <c r="I100" i="19"/>
  <c r="I101" i="19"/>
  <c r="I102" i="19"/>
  <c r="I103" i="19"/>
  <c r="I104" i="19"/>
  <c r="I105" i="19"/>
  <c r="I106" i="19"/>
  <c r="I107" i="19"/>
  <c r="I108" i="19"/>
  <c r="I109" i="19"/>
  <c r="I110" i="19"/>
  <c r="I111" i="19"/>
  <c r="I112" i="19"/>
  <c r="I113" i="19"/>
  <c r="I114" i="19"/>
  <c r="I115" i="19"/>
  <c r="S115" i="19" s="1"/>
  <c r="I116" i="19"/>
  <c r="I118" i="19"/>
  <c r="S118" i="19" s="1"/>
  <c r="I119" i="19"/>
  <c r="S119" i="19" s="1"/>
  <c r="I120" i="19"/>
  <c r="I121" i="19"/>
  <c r="I122" i="19"/>
  <c r="I124" i="19"/>
  <c r="I125" i="19"/>
  <c r="I126" i="19"/>
  <c r="I128" i="19"/>
  <c r="I127" i="19"/>
  <c r="I130" i="19"/>
  <c r="I131" i="19"/>
  <c r="I132" i="19"/>
  <c r="I133" i="19"/>
  <c r="I134" i="19"/>
  <c r="I136" i="19"/>
  <c r="I137" i="19"/>
  <c r="I138" i="19"/>
  <c r="I139" i="19"/>
  <c r="I140" i="19"/>
  <c r="I143" i="19"/>
  <c r="I144" i="19"/>
  <c r="I145" i="19"/>
  <c r="I146" i="19"/>
  <c r="I148" i="19"/>
  <c r="I149" i="19"/>
  <c r="I150" i="19"/>
  <c r="I151" i="19"/>
  <c r="I152" i="19"/>
  <c r="I154" i="19"/>
  <c r="I155" i="19"/>
  <c r="I156" i="19"/>
  <c r="I157" i="19"/>
  <c r="I158" i="19"/>
  <c r="I160" i="19"/>
  <c r="I161" i="19"/>
  <c r="I162" i="19"/>
  <c r="I163" i="19"/>
  <c r="I166" i="19"/>
  <c r="I167" i="19"/>
  <c r="I168" i="19"/>
  <c r="I169" i="19"/>
  <c r="I170" i="19"/>
  <c r="I172" i="19"/>
  <c r="I173" i="19"/>
  <c r="I174" i="19"/>
  <c r="I175" i="19"/>
  <c r="I176" i="19"/>
  <c r="I178" i="19"/>
  <c r="I179" i="19"/>
  <c r="I180" i="19"/>
  <c r="I181" i="19"/>
  <c r="I184" i="19"/>
  <c r="I185" i="19"/>
  <c r="I186" i="19"/>
  <c r="I187" i="19"/>
  <c r="I188" i="19"/>
  <c r="I189" i="19"/>
  <c r="I190" i="19"/>
  <c r="I192" i="19"/>
  <c r="I193" i="19"/>
  <c r="S193" i="19" s="1"/>
  <c r="I194" i="19"/>
  <c r="I195" i="19"/>
  <c r="I196" i="19"/>
  <c r="I197" i="19"/>
  <c r="I198" i="19"/>
  <c r="I200" i="19"/>
  <c r="I202" i="19"/>
  <c r="I203" i="19"/>
  <c r="I27" i="19"/>
  <c r="I28" i="19"/>
  <c r="I29" i="19"/>
  <c r="I30" i="19"/>
  <c r="I31" i="19"/>
  <c r="I32" i="19"/>
  <c r="I33" i="19"/>
  <c r="I35" i="19"/>
  <c r="I36" i="19"/>
  <c r="I37" i="19"/>
  <c r="I38" i="19"/>
  <c r="I39" i="19"/>
  <c r="I69" i="19"/>
  <c r="I75" i="19"/>
  <c r="I117" i="19"/>
  <c r="I123" i="19"/>
  <c r="I135" i="19"/>
  <c r="I141" i="19"/>
  <c r="I147" i="19"/>
  <c r="I153" i="19"/>
  <c r="I159" i="19"/>
  <c r="I164" i="19"/>
  <c r="I171" i="19"/>
  <c r="I177" i="19"/>
  <c r="I182" i="19"/>
  <c r="I183" i="19"/>
  <c r="I191" i="19"/>
  <c r="I201" i="19"/>
  <c r="M40" i="19"/>
  <c r="M41" i="19"/>
  <c r="M42" i="19"/>
  <c r="M43" i="19"/>
  <c r="M44" i="19"/>
  <c r="M45" i="19"/>
  <c r="M46" i="19"/>
  <c r="M47" i="19"/>
  <c r="M48" i="19"/>
  <c r="M49" i="19"/>
  <c r="M50" i="19"/>
  <c r="M52" i="19"/>
  <c r="M53" i="19"/>
  <c r="M54" i="19"/>
  <c r="M55" i="19"/>
  <c r="M56" i="19"/>
  <c r="M58" i="19"/>
  <c r="M59" i="19"/>
  <c r="M60" i="19"/>
  <c r="M61" i="19"/>
  <c r="M62" i="19"/>
  <c r="M64" i="19"/>
  <c r="M65" i="19"/>
  <c r="M66" i="19"/>
  <c r="M67" i="19"/>
  <c r="M68" i="19"/>
  <c r="M70" i="19"/>
  <c r="M71" i="19"/>
  <c r="M72" i="19"/>
  <c r="M73" i="19"/>
  <c r="M74" i="19"/>
  <c r="M76" i="19"/>
  <c r="M77" i="19"/>
  <c r="M78" i="19"/>
  <c r="M79" i="19"/>
  <c r="M80" i="19"/>
  <c r="M81" i="19"/>
  <c r="M82" i="19"/>
  <c r="M83" i="19"/>
  <c r="M84" i="19"/>
  <c r="M85" i="19"/>
  <c r="M86" i="19"/>
  <c r="M87" i="19"/>
  <c r="M88" i="19"/>
  <c r="M89" i="19"/>
  <c r="M90" i="19"/>
  <c r="M91" i="19"/>
  <c r="M92" i="19"/>
  <c r="M93" i="19"/>
  <c r="M94" i="19"/>
  <c r="M95" i="19"/>
  <c r="M96" i="19"/>
  <c r="M97" i="19"/>
  <c r="M98" i="19"/>
  <c r="M99" i="19"/>
  <c r="M100" i="19"/>
  <c r="M101" i="19"/>
  <c r="M102" i="19"/>
  <c r="M103" i="19"/>
  <c r="M104" i="19"/>
  <c r="M105" i="19"/>
  <c r="M106" i="19"/>
  <c r="M107" i="19"/>
  <c r="M108" i="19"/>
  <c r="M109" i="19"/>
  <c r="M110" i="19"/>
  <c r="M111" i="19"/>
  <c r="M112" i="19"/>
  <c r="M113" i="19"/>
  <c r="M114" i="19"/>
  <c r="M115" i="19"/>
  <c r="M116" i="19"/>
  <c r="M118" i="19"/>
  <c r="M119" i="19"/>
  <c r="M120" i="19"/>
  <c r="M121" i="19"/>
  <c r="M122" i="19"/>
  <c r="M124" i="19"/>
  <c r="M125" i="19"/>
  <c r="M126" i="19"/>
  <c r="M128" i="19"/>
  <c r="M127" i="19"/>
  <c r="M130" i="19"/>
  <c r="M131" i="19"/>
  <c r="M132" i="19"/>
  <c r="M133" i="19"/>
  <c r="M134" i="19"/>
  <c r="M136" i="19"/>
  <c r="M137" i="19"/>
  <c r="M138" i="19"/>
  <c r="M139" i="19"/>
  <c r="M140" i="19"/>
  <c r="M143" i="19"/>
  <c r="M144" i="19"/>
  <c r="M145" i="19"/>
  <c r="M146" i="19"/>
  <c r="M148" i="19"/>
  <c r="M149" i="19"/>
  <c r="M150" i="19"/>
  <c r="M151" i="19"/>
  <c r="M152" i="19"/>
  <c r="M154" i="19"/>
  <c r="M155" i="19"/>
  <c r="M156" i="19"/>
  <c r="M157" i="19"/>
  <c r="M158" i="19"/>
  <c r="M160" i="19"/>
  <c r="M161" i="19"/>
  <c r="M162" i="19"/>
  <c r="M163" i="19"/>
  <c r="M166" i="19"/>
  <c r="M167" i="19"/>
  <c r="M168" i="19"/>
  <c r="M169" i="19"/>
  <c r="M170" i="19"/>
  <c r="M172" i="19"/>
  <c r="M173" i="19"/>
  <c r="M174" i="19"/>
  <c r="M175" i="19"/>
  <c r="M176" i="19"/>
  <c r="M178" i="19"/>
  <c r="M179" i="19"/>
  <c r="M180" i="19"/>
  <c r="M181" i="19"/>
  <c r="M184" i="19"/>
  <c r="M185" i="19"/>
  <c r="M186" i="19"/>
  <c r="M187" i="19"/>
  <c r="M188" i="19"/>
  <c r="M189" i="19"/>
  <c r="M190" i="19"/>
  <c r="M192" i="19"/>
  <c r="M193" i="19"/>
  <c r="M194" i="19"/>
  <c r="M195" i="19"/>
  <c r="M197" i="19"/>
  <c r="M196" i="19"/>
  <c r="M198" i="19"/>
  <c r="M200" i="19"/>
  <c r="M202" i="19"/>
  <c r="M203" i="19"/>
  <c r="M28" i="19"/>
  <c r="M29" i="19"/>
  <c r="M30" i="19"/>
  <c r="M31" i="19"/>
  <c r="M32" i="19"/>
  <c r="M33" i="19"/>
  <c r="M35" i="19"/>
  <c r="M36" i="19"/>
  <c r="M37" i="19"/>
  <c r="M38" i="19"/>
  <c r="M39" i="19"/>
  <c r="M63" i="19"/>
  <c r="M75" i="19"/>
  <c r="M117" i="19"/>
  <c r="M123" i="19"/>
  <c r="M129" i="19"/>
  <c r="M135" i="19"/>
  <c r="M141" i="19"/>
  <c r="M147" i="19"/>
  <c r="M159" i="19"/>
  <c r="M171" i="19"/>
  <c r="M177" i="19"/>
  <c r="M182" i="19"/>
  <c r="M183" i="19"/>
  <c r="M191" i="19"/>
  <c r="M199" i="19"/>
  <c r="M201" i="19"/>
  <c r="M204" i="19"/>
  <c r="O40" i="19"/>
  <c r="O41" i="19"/>
  <c r="O42" i="19"/>
  <c r="O43" i="19"/>
  <c r="O45" i="19"/>
  <c r="O46" i="19"/>
  <c r="O47" i="19"/>
  <c r="O48" i="19"/>
  <c r="O49" i="19"/>
  <c r="O50" i="19"/>
  <c r="O52" i="19"/>
  <c r="O53" i="19"/>
  <c r="O54" i="19"/>
  <c r="O55" i="19"/>
  <c r="O56" i="19"/>
  <c r="O58" i="19"/>
  <c r="O59" i="19"/>
  <c r="O60" i="19"/>
  <c r="O61" i="19"/>
  <c r="O62" i="19"/>
  <c r="O64" i="19"/>
  <c r="O65" i="19"/>
  <c r="O66" i="19"/>
  <c r="O67" i="19"/>
  <c r="O68" i="19"/>
  <c r="O70" i="19"/>
  <c r="O71" i="19"/>
  <c r="O72" i="19"/>
  <c r="O73" i="19"/>
  <c r="O74"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8" i="19"/>
  <c r="O119" i="19"/>
  <c r="O120" i="19"/>
  <c r="O121" i="19"/>
  <c r="O122" i="19"/>
  <c r="O124" i="19"/>
  <c r="O125" i="19"/>
  <c r="O126" i="19"/>
  <c r="O128" i="19"/>
  <c r="O127" i="19"/>
  <c r="O130" i="19"/>
  <c r="O131" i="19"/>
  <c r="O132" i="19"/>
  <c r="O133" i="19"/>
  <c r="O134" i="19"/>
  <c r="O136" i="19"/>
  <c r="O137" i="19"/>
  <c r="O138" i="19"/>
  <c r="O139" i="19"/>
  <c r="O140" i="19"/>
  <c r="O143" i="19"/>
  <c r="O144" i="19"/>
  <c r="O145" i="19"/>
  <c r="O146" i="19"/>
  <c r="O148" i="19"/>
  <c r="O149" i="19"/>
  <c r="O150" i="19"/>
  <c r="O151" i="19"/>
  <c r="O152" i="19"/>
  <c r="O154" i="19"/>
  <c r="O155" i="19"/>
  <c r="O156" i="19"/>
  <c r="O157" i="19"/>
  <c r="O158" i="19"/>
  <c r="O160" i="19"/>
  <c r="O161" i="19"/>
  <c r="O162" i="19"/>
  <c r="O163" i="19"/>
  <c r="O166" i="19"/>
  <c r="O167" i="19"/>
  <c r="O168" i="19"/>
  <c r="O169" i="19"/>
  <c r="O170" i="19"/>
  <c r="O172" i="19"/>
  <c r="O173" i="19"/>
  <c r="O174" i="19"/>
  <c r="O175" i="19"/>
  <c r="O176" i="19"/>
  <c r="O178" i="19"/>
  <c r="O179" i="19"/>
  <c r="O180" i="19"/>
  <c r="O181" i="19"/>
  <c r="O184" i="19"/>
  <c r="O185" i="19"/>
  <c r="O186" i="19"/>
  <c r="O187" i="19"/>
  <c r="O188" i="19"/>
  <c r="O189" i="19"/>
  <c r="O190" i="19"/>
  <c r="S190" i="19" s="1"/>
  <c r="O192" i="19"/>
  <c r="O193" i="19"/>
  <c r="O194" i="19"/>
  <c r="O195" i="19"/>
  <c r="O196" i="19"/>
  <c r="O197" i="19"/>
  <c r="O198" i="19"/>
  <c r="O200" i="19"/>
  <c r="O202" i="19"/>
  <c r="O203" i="19"/>
  <c r="O191" i="19"/>
  <c r="O199" i="19"/>
  <c r="O201" i="19"/>
  <c r="O204" i="19"/>
  <c r="O205" i="19"/>
  <c r="O177" i="19"/>
  <c r="O182" i="19"/>
  <c r="O183" i="19"/>
  <c r="O165" i="19"/>
  <c r="O171" i="19"/>
  <c r="O159" i="19"/>
  <c r="O147" i="19"/>
  <c r="O135" i="19"/>
  <c r="O141" i="19"/>
  <c r="O123" i="19"/>
  <c r="O129" i="19"/>
  <c r="O117" i="19"/>
  <c r="O75" i="19"/>
  <c r="O63" i="19"/>
  <c r="O69" i="19"/>
  <c r="O35" i="19"/>
  <c r="O36" i="19"/>
  <c r="O37" i="19"/>
  <c r="O38" i="19"/>
  <c r="O39" i="19"/>
  <c r="O44" i="19"/>
  <c r="O27" i="19"/>
  <c r="O28" i="19"/>
  <c r="O29" i="19"/>
  <c r="O30" i="19"/>
  <c r="O31" i="19"/>
  <c r="O32" i="19"/>
  <c r="O33" i="19"/>
  <c r="G40" i="45"/>
  <c r="G38" i="45"/>
  <c r="G41" i="45"/>
  <c r="G42" i="45"/>
  <c r="G43" i="45"/>
  <c r="G44" i="45"/>
  <c r="G45" i="45"/>
  <c r="K46" i="45"/>
  <c r="K47" i="45"/>
  <c r="K48" i="45"/>
  <c r="K49" i="45"/>
  <c r="K50" i="45"/>
  <c r="K51" i="45"/>
  <c r="K52" i="45"/>
  <c r="K53" i="45"/>
  <c r="K54" i="45"/>
  <c r="K55" i="45"/>
  <c r="K56" i="45"/>
  <c r="K57" i="45"/>
  <c r="K58" i="45"/>
  <c r="K59" i="45"/>
  <c r="K60" i="45"/>
  <c r="K61" i="45"/>
  <c r="K62" i="45"/>
  <c r="K63" i="45"/>
  <c r="G64" i="45"/>
  <c r="G65" i="45"/>
  <c r="G66" i="45"/>
  <c r="G68" i="45"/>
  <c r="G69" i="45"/>
  <c r="G70" i="45"/>
  <c r="G71" i="45"/>
  <c r="G72" i="45"/>
  <c r="G73" i="45"/>
  <c r="G74" i="45"/>
  <c r="G75" i="45"/>
  <c r="G76" i="45"/>
  <c r="G77" i="45"/>
  <c r="G78" i="45"/>
  <c r="G79" i="45"/>
  <c r="G80" i="45"/>
  <c r="G81" i="45"/>
  <c r="G82" i="45"/>
  <c r="G83" i="45"/>
  <c r="G84" i="45"/>
  <c r="G85" i="45"/>
  <c r="G86" i="45"/>
  <c r="G87" i="45"/>
  <c r="G88" i="45"/>
  <c r="G89" i="45"/>
  <c r="G90" i="45"/>
  <c r="G91" i="45"/>
  <c r="G92" i="45"/>
  <c r="G93" i="45"/>
  <c r="G94" i="45"/>
  <c r="G95" i="45"/>
  <c r="G96" i="45"/>
  <c r="G97" i="45"/>
  <c r="G98" i="45"/>
  <c r="G99" i="45"/>
  <c r="G100" i="45"/>
  <c r="G101" i="45"/>
  <c r="G102" i="45"/>
  <c r="G103" i="45"/>
  <c r="G104" i="45"/>
  <c r="G105" i="45"/>
  <c r="G106" i="45"/>
  <c r="G107" i="45"/>
  <c r="G108" i="45"/>
  <c r="G109" i="45"/>
  <c r="G110" i="45"/>
  <c r="G112" i="45"/>
  <c r="G113" i="45"/>
  <c r="G114" i="45"/>
  <c r="G115" i="45"/>
  <c r="G116" i="45"/>
  <c r="G118" i="45"/>
  <c r="G119" i="45"/>
  <c r="G120" i="45"/>
  <c r="G121" i="45"/>
  <c r="G122" i="45"/>
  <c r="G124" i="45"/>
  <c r="G125" i="45"/>
  <c r="M125" i="45" s="1"/>
  <c r="G126" i="45"/>
  <c r="G127" i="45"/>
  <c r="G128" i="45"/>
  <c r="M128" i="45" s="1"/>
  <c r="G130" i="45"/>
  <c r="G131" i="45"/>
  <c r="M131" i="45" s="1"/>
  <c r="G132" i="45"/>
  <c r="M132" i="45" s="1"/>
  <c r="G133" i="45"/>
  <c r="M133" i="45" s="1"/>
  <c r="G134" i="45"/>
  <c r="G136" i="45"/>
  <c r="G137" i="45"/>
  <c r="G138" i="45"/>
  <c r="G139" i="45"/>
  <c r="G140" i="45"/>
  <c r="G142" i="45"/>
  <c r="G143" i="45"/>
  <c r="G144" i="45"/>
  <c r="G145" i="45"/>
  <c r="G146" i="45"/>
  <c r="G148" i="45"/>
  <c r="G149" i="45"/>
  <c r="G150" i="45"/>
  <c r="G151" i="45"/>
  <c r="G152" i="45"/>
  <c r="M152" i="45" s="1"/>
  <c r="G153" i="45"/>
  <c r="G154" i="45"/>
  <c r="G155" i="45"/>
  <c r="G156" i="45"/>
  <c r="G157" i="45"/>
  <c r="G158" i="45"/>
  <c r="G159" i="45"/>
  <c r="G160" i="45"/>
  <c r="G161" i="45"/>
  <c r="G162" i="45"/>
  <c r="G163" i="45"/>
  <c r="G164" i="45"/>
  <c r="G165" i="45"/>
  <c r="G166" i="45"/>
  <c r="G167" i="45"/>
  <c r="G168" i="45"/>
  <c r="G169" i="45"/>
  <c r="G170" i="45"/>
  <c r="G172" i="45"/>
  <c r="G173" i="45"/>
  <c r="G174" i="45"/>
  <c r="G175" i="45"/>
  <c r="G176" i="45"/>
  <c r="G178" i="45"/>
  <c r="G179" i="45"/>
  <c r="G180" i="45"/>
  <c r="G181" i="45"/>
  <c r="G182" i="45"/>
  <c r="G184" i="45"/>
  <c r="G185" i="45"/>
  <c r="G186" i="45"/>
  <c r="G187" i="45"/>
  <c r="G188" i="45"/>
  <c r="G189" i="45"/>
  <c r="G190" i="45"/>
  <c r="G192" i="45"/>
  <c r="M192" i="45" s="1"/>
  <c r="G193" i="45"/>
  <c r="G194" i="45"/>
  <c r="G196" i="45"/>
  <c r="G197" i="45"/>
  <c r="M197" i="45" s="1"/>
  <c r="G198" i="45"/>
  <c r="G199" i="45"/>
  <c r="G191" i="45"/>
  <c r="G195" i="45"/>
  <c r="G200" i="45"/>
  <c r="G177" i="45"/>
  <c r="G183" i="45"/>
  <c r="G171" i="45"/>
  <c r="G147" i="45"/>
  <c r="G141" i="45"/>
  <c r="G129" i="45"/>
  <c r="G135" i="45"/>
  <c r="G117" i="45"/>
  <c r="G67" i="45"/>
  <c r="G33" i="45"/>
  <c r="G34" i="45"/>
  <c r="G35" i="45"/>
  <c r="G36" i="45"/>
  <c r="G37" i="45"/>
  <c r="G39" i="45"/>
  <c r="G18" i="45"/>
  <c r="G19" i="45"/>
  <c r="G20" i="45"/>
  <c r="G21" i="45"/>
  <c r="G22" i="45"/>
  <c r="G23" i="45"/>
  <c r="G24" i="45"/>
  <c r="G25" i="45"/>
  <c r="G26" i="45"/>
  <c r="G27" i="45"/>
  <c r="G28" i="45"/>
  <c r="G29" i="45"/>
  <c r="G30" i="45"/>
  <c r="G31" i="45"/>
  <c r="G32" i="45"/>
  <c r="I30" i="45"/>
  <c r="I31" i="45"/>
  <c r="I32" i="45"/>
  <c r="I33" i="45"/>
  <c r="I34" i="45"/>
  <c r="I35" i="45"/>
  <c r="I19" i="45"/>
  <c r="I20" i="45"/>
  <c r="I21" i="45"/>
  <c r="I22" i="45"/>
  <c r="I23" i="45"/>
  <c r="D22" i="45" s="1"/>
  <c r="G2" i="34" s="1"/>
  <c r="I24" i="45"/>
  <c r="I25" i="45"/>
  <c r="I26" i="45"/>
  <c r="I27" i="45"/>
  <c r="I28" i="45"/>
  <c r="I29" i="45"/>
  <c r="M10" i="48"/>
  <c r="M11" i="48"/>
  <c r="M12" i="48"/>
  <c r="M13" i="48"/>
  <c r="M14" i="48"/>
  <c r="M15" i="48"/>
  <c r="M16" i="48"/>
  <c r="M17" i="48"/>
  <c r="M18" i="48"/>
  <c r="M19" i="48"/>
  <c r="M20" i="48"/>
  <c r="M21" i="48"/>
  <c r="M22" i="48"/>
  <c r="M23" i="48"/>
  <c r="M24" i="48"/>
  <c r="M25" i="48"/>
  <c r="M26" i="48"/>
  <c r="M27" i="48"/>
  <c r="M28" i="48"/>
  <c r="M29" i="48"/>
  <c r="M30" i="48"/>
  <c r="M31" i="48"/>
  <c r="M32" i="48"/>
  <c r="M33" i="48"/>
  <c r="M34" i="48"/>
  <c r="M35" i="48"/>
  <c r="M36" i="48"/>
  <c r="M37" i="48"/>
  <c r="M38" i="48"/>
  <c r="M39" i="48"/>
  <c r="M40" i="48"/>
  <c r="M42" i="48"/>
  <c r="M43" i="48"/>
  <c r="M44" i="48"/>
  <c r="M45" i="48"/>
  <c r="M46" i="48"/>
  <c r="M47" i="48"/>
  <c r="M48" i="48"/>
  <c r="M49" i="48"/>
  <c r="M50" i="48"/>
  <c r="M51" i="48"/>
  <c r="M72" i="48"/>
  <c r="M81" i="48"/>
  <c r="M82" i="48"/>
  <c r="M83" i="48"/>
  <c r="M84" i="48"/>
  <c r="M85" i="48"/>
  <c r="M86" i="48"/>
  <c r="M87" i="48"/>
  <c r="M88" i="48"/>
  <c r="M89" i="48"/>
  <c r="M90" i="48"/>
  <c r="M91" i="48"/>
  <c r="M92" i="48"/>
  <c r="M93" i="48"/>
  <c r="M94" i="48"/>
  <c r="M95" i="48"/>
  <c r="M96" i="48"/>
  <c r="M97" i="48"/>
  <c r="M98" i="48"/>
  <c r="M99" i="48"/>
  <c r="M100" i="48"/>
  <c r="M101" i="48"/>
  <c r="M102" i="48"/>
  <c r="M103" i="48"/>
  <c r="M104" i="48"/>
  <c r="M105" i="48"/>
  <c r="M106" i="48"/>
  <c r="M107" i="48"/>
  <c r="M108" i="48"/>
  <c r="M109" i="48"/>
  <c r="M110" i="48"/>
  <c r="M111" i="48"/>
  <c r="M112" i="48"/>
  <c r="M113" i="48"/>
  <c r="M114" i="48"/>
  <c r="M115" i="48"/>
  <c r="M116" i="48"/>
  <c r="M117" i="48"/>
  <c r="M118" i="48"/>
  <c r="M119" i="48"/>
  <c r="M120" i="48"/>
  <c r="M121" i="48"/>
  <c r="M122" i="48"/>
  <c r="M123" i="48"/>
  <c r="M124" i="48"/>
  <c r="M125" i="48"/>
  <c r="M126" i="48"/>
  <c r="M127" i="48"/>
  <c r="M128" i="48"/>
  <c r="M129" i="48"/>
  <c r="M130" i="48"/>
  <c r="M131" i="48"/>
  <c r="M132" i="48"/>
  <c r="M133" i="48"/>
  <c r="M134" i="48"/>
  <c r="M135" i="48"/>
  <c r="M136" i="48"/>
  <c r="M137" i="48"/>
  <c r="M138" i="48"/>
  <c r="M139" i="48"/>
  <c r="M140" i="48"/>
  <c r="M141" i="48"/>
  <c r="M142" i="48"/>
  <c r="M143" i="48"/>
  <c r="M144" i="48"/>
  <c r="M145" i="48"/>
  <c r="M146" i="48"/>
  <c r="M147" i="48"/>
  <c r="M148" i="48"/>
  <c r="M149" i="48"/>
  <c r="M150" i="48"/>
  <c r="M151" i="48"/>
  <c r="M152" i="48"/>
  <c r="M153" i="48"/>
  <c r="M154" i="48"/>
  <c r="M155" i="48"/>
  <c r="M156" i="48"/>
  <c r="M157" i="48"/>
  <c r="M158" i="48"/>
  <c r="M159" i="48"/>
  <c r="M160" i="48"/>
  <c r="M161" i="48"/>
  <c r="M162" i="48"/>
  <c r="M163" i="48"/>
  <c r="M164" i="48"/>
  <c r="M165" i="48"/>
  <c r="M166" i="48"/>
  <c r="M167" i="48"/>
  <c r="M168" i="48"/>
  <c r="M169" i="48"/>
  <c r="M170" i="48"/>
  <c r="M171" i="48"/>
  <c r="M172" i="48"/>
  <c r="M173" i="48"/>
  <c r="M174" i="48"/>
  <c r="M175" i="48"/>
  <c r="M176" i="48"/>
  <c r="M177" i="48"/>
  <c r="M178" i="48"/>
  <c r="M179" i="48"/>
  <c r="M180" i="48"/>
  <c r="M181" i="48"/>
  <c r="M182" i="48"/>
  <c r="M183" i="48"/>
  <c r="M184" i="48"/>
  <c r="M185" i="48"/>
  <c r="M186" i="48"/>
  <c r="M187" i="48"/>
  <c r="M188" i="48"/>
  <c r="M189" i="48"/>
  <c r="M190" i="48"/>
  <c r="M191" i="48"/>
  <c r="M192" i="48"/>
  <c r="M193" i="48"/>
  <c r="M194" i="48"/>
  <c r="M195" i="48"/>
  <c r="M196" i="48"/>
  <c r="M197" i="48"/>
  <c r="M198" i="48"/>
  <c r="M199" i="48"/>
  <c r="M200" i="48"/>
  <c r="M201" i="48"/>
  <c r="M202" i="48"/>
  <c r="M203" i="48"/>
  <c r="M204" i="48"/>
  <c r="M205" i="48"/>
  <c r="M206" i="48"/>
  <c r="M207" i="48"/>
  <c r="M208" i="48"/>
  <c r="M209" i="48"/>
  <c r="M210" i="48"/>
  <c r="M211" i="48"/>
  <c r="M212" i="48"/>
  <c r="M213" i="48"/>
  <c r="M214" i="48"/>
  <c r="M215" i="48"/>
  <c r="M216" i="48"/>
  <c r="M217" i="48"/>
  <c r="M218" i="48"/>
  <c r="M219" i="48"/>
  <c r="M220" i="48"/>
  <c r="M221" i="48"/>
  <c r="M222" i="48"/>
  <c r="M223" i="48"/>
  <c r="M224" i="48"/>
  <c r="M225" i="48"/>
  <c r="M226" i="48"/>
  <c r="M227" i="48"/>
  <c r="M228" i="48"/>
  <c r="M229" i="48"/>
  <c r="M230" i="48"/>
  <c r="M231" i="48"/>
  <c r="K204" i="19"/>
  <c r="K203" i="19"/>
  <c r="K202" i="19"/>
  <c r="K201" i="19"/>
  <c r="K198" i="19"/>
  <c r="K197" i="19"/>
  <c r="K196" i="19"/>
  <c r="K195" i="19"/>
  <c r="K194" i="19"/>
  <c r="K193" i="19"/>
  <c r="K192" i="19"/>
  <c r="K191" i="19"/>
  <c r="Q203" i="19"/>
  <c r="Q202" i="19"/>
  <c r="Q200" i="19"/>
  <c r="Q198" i="19"/>
  <c r="Q197" i="19"/>
  <c r="Q196" i="19"/>
  <c r="Q195" i="19"/>
  <c r="Q194" i="19"/>
  <c r="Q193" i="19"/>
  <c r="Q192" i="19"/>
  <c r="Q191" i="19"/>
  <c r="Q190" i="19"/>
  <c r="Q189" i="19"/>
  <c r="Q188" i="19"/>
  <c r="Q187" i="19"/>
  <c r="Q186" i="19"/>
  <c r="Q185" i="19"/>
  <c r="Q184" i="19"/>
  <c r="Q181" i="19"/>
  <c r="Q180" i="19"/>
  <c r="Q179" i="19"/>
  <c r="Q178" i="19"/>
  <c r="Q176" i="19"/>
  <c r="Q175" i="19"/>
  <c r="Q174" i="19"/>
  <c r="Q173" i="19"/>
  <c r="Q172" i="19"/>
  <c r="Q170" i="19"/>
  <c r="Q169" i="19"/>
  <c r="Q168" i="19"/>
  <c r="Q167" i="19"/>
  <c r="Q166" i="19"/>
  <c r="Q163" i="19"/>
  <c r="Q162" i="19"/>
  <c r="Q161" i="19"/>
  <c r="Q160" i="19"/>
  <c r="Q158" i="19"/>
  <c r="Q157" i="19"/>
  <c r="Q156" i="19"/>
  <c r="Q155" i="19"/>
  <c r="Q154" i="19"/>
  <c r="Q152" i="19"/>
  <c r="Q151" i="19"/>
  <c r="Q150" i="19"/>
  <c r="Q149" i="19"/>
  <c r="Q148" i="19"/>
  <c r="Q146" i="19"/>
  <c r="Q145" i="19"/>
  <c r="Q144" i="19"/>
  <c r="Q143" i="19"/>
  <c r="Q140" i="19"/>
  <c r="Q139" i="19"/>
  <c r="Q138" i="19"/>
  <c r="Q137" i="19"/>
  <c r="Q136" i="19"/>
  <c r="Q134" i="19"/>
  <c r="Q133" i="19"/>
  <c r="Q132" i="19"/>
  <c r="Q131" i="19"/>
  <c r="Q130" i="19"/>
  <c r="Q128" i="19"/>
  <c r="Q127" i="19"/>
  <c r="Q126" i="19"/>
  <c r="Q125" i="19"/>
  <c r="Q124" i="19"/>
  <c r="Q122" i="19"/>
  <c r="Q121" i="19"/>
  <c r="S121" i="19" s="1"/>
  <c r="Q120" i="19"/>
  <c r="Q119" i="19"/>
  <c r="Q118" i="19"/>
  <c r="Q116" i="19"/>
  <c r="Q115" i="19"/>
  <c r="Q114" i="19"/>
  <c r="Q113" i="19"/>
  <c r="Q112" i="19"/>
  <c r="Q111" i="19"/>
  <c r="Q110" i="19"/>
  <c r="Q109" i="19"/>
  <c r="Q108" i="19"/>
  <c r="Q107" i="19"/>
  <c r="Q106" i="19"/>
  <c r="Q105" i="19"/>
  <c r="Q104" i="19"/>
  <c r="Q103" i="19"/>
  <c r="Q102" i="19"/>
  <c r="Q101" i="19"/>
  <c r="Q100" i="19"/>
  <c r="Q99" i="19"/>
  <c r="Q98" i="19"/>
  <c r="Q97" i="19"/>
  <c r="Q96" i="19"/>
  <c r="Q95" i="19"/>
  <c r="Q94" i="19"/>
  <c r="Q93" i="19"/>
  <c r="Q92" i="19"/>
  <c r="Q91" i="19"/>
  <c r="Q90" i="19"/>
  <c r="Q89" i="19"/>
  <c r="Q88" i="19"/>
  <c r="Q87" i="19"/>
  <c r="Q86" i="19"/>
  <c r="Q85" i="19"/>
  <c r="Q84" i="19"/>
  <c r="Q83" i="19"/>
  <c r="Q82" i="19"/>
  <c r="Q81" i="19"/>
  <c r="Q80" i="19"/>
  <c r="Q79" i="19"/>
  <c r="Q78" i="19"/>
  <c r="Q77" i="19"/>
  <c r="Q76" i="19"/>
  <c r="Q74" i="19"/>
  <c r="Q73" i="19"/>
  <c r="Q72" i="19"/>
  <c r="Q71" i="19"/>
  <c r="Q70" i="19"/>
  <c r="Q68" i="19"/>
  <c r="Q67" i="19"/>
  <c r="Q66" i="19"/>
  <c r="Q65" i="19"/>
  <c r="Q64" i="19"/>
  <c r="Q62" i="19"/>
  <c r="Q61" i="19"/>
  <c r="Q60" i="19"/>
  <c r="Q59" i="19"/>
  <c r="Q58" i="19"/>
  <c r="Q56" i="19"/>
  <c r="Q55" i="19"/>
  <c r="Q54" i="19"/>
  <c r="Q53" i="19"/>
  <c r="Q52" i="19"/>
  <c r="Q50" i="19"/>
  <c r="Q49" i="19"/>
  <c r="Q48" i="19"/>
  <c r="Q47" i="19"/>
  <c r="Q46" i="19"/>
  <c r="Q45" i="19"/>
  <c r="Q44" i="19"/>
  <c r="Q43" i="19"/>
  <c r="Q42" i="19"/>
  <c r="Q41" i="19"/>
  <c r="Q40" i="19"/>
  <c r="Q38" i="19"/>
  <c r="Q37" i="19"/>
  <c r="Q36" i="19"/>
  <c r="Q35" i="19"/>
  <c r="Q27" i="19"/>
  <c r="I231" i="45"/>
  <c r="I230" i="45"/>
  <c r="I229" i="45"/>
  <c r="I228" i="45"/>
  <c r="I227" i="45"/>
  <c r="I226" i="45"/>
  <c r="I225" i="45"/>
  <c r="I224" i="45"/>
  <c r="I223" i="45"/>
  <c r="I222" i="45"/>
  <c r="I221" i="45"/>
  <c r="I220" i="45"/>
  <c r="I219" i="45"/>
  <c r="I218" i="45"/>
  <c r="I217" i="45"/>
  <c r="I216" i="45"/>
  <c r="I215" i="45"/>
  <c r="I214" i="45"/>
  <c r="I213" i="45"/>
  <c r="I212" i="45"/>
  <c r="I211" i="45"/>
  <c r="I210" i="45"/>
  <c r="I209" i="45"/>
  <c r="I208" i="45"/>
  <c r="I207" i="45"/>
  <c r="I206" i="45"/>
  <c r="I205" i="45"/>
  <c r="I204" i="45"/>
  <c r="I203" i="45"/>
  <c r="I202" i="45"/>
  <c r="I201" i="45"/>
  <c r="I200" i="45"/>
  <c r="I199"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18" i="45"/>
  <c r="I17" i="45"/>
  <c r="I16" i="45"/>
  <c r="I15" i="45"/>
  <c r="I14" i="45"/>
  <c r="I13" i="45"/>
  <c r="I12" i="45"/>
  <c r="I11" i="45"/>
  <c r="I10" i="45"/>
  <c r="N10" i="45" s="1"/>
  <c r="W3" i="19"/>
  <c r="P3" i="45"/>
  <c r="K231" i="48"/>
  <c r="K230" i="48"/>
  <c r="K229" i="48"/>
  <c r="K228" i="48"/>
  <c r="K227" i="48"/>
  <c r="K226" i="48"/>
  <c r="K225" i="48"/>
  <c r="K224" i="48"/>
  <c r="K223" i="48"/>
  <c r="K222" i="48"/>
  <c r="K221" i="48"/>
  <c r="K220" i="48"/>
  <c r="K219" i="48"/>
  <c r="K218" i="48"/>
  <c r="K217" i="48"/>
  <c r="K216" i="48"/>
  <c r="K215" i="48"/>
  <c r="K214" i="48"/>
  <c r="K213" i="48"/>
  <c r="K212" i="48"/>
  <c r="K211" i="48"/>
  <c r="K210" i="48"/>
  <c r="K209" i="48"/>
  <c r="K208" i="48"/>
  <c r="K207" i="48"/>
  <c r="K206" i="48"/>
  <c r="K205" i="48"/>
  <c r="K204" i="48"/>
  <c r="K203" i="48"/>
  <c r="K202" i="48"/>
  <c r="K201" i="48"/>
  <c r="K200" i="48"/>
  <c r="K199" i="48"/>
  <c r="K198" i="48"/>
  <c r="K197" i="48"/>
  <c r="K196" i="48"/>
  <c r="K195" i="48"/>
  <c r="K194" i="48"/>
  <c r="K193" i="48"/>
  <c r="K192" i="48"/>
  <c r="K191" i="48"/>
  <c r="K190" i="48"/>
  <c r="K189" i="48"/>
  <c r="K188" i="48"/>
  <c r="K187" i="48"/>
  <c r="K186" i="48"/>
  <c r="K185" i="48"/>
  <c r="K184" i="48"/>
  <c r="K183" i="48"/>
  <c r="K182" i="48"/>
  <c r="K181" i="48"/>
  <c r="K180" i="48"/>
  <c r="K179" i="48"/>
  <c r="K178" i="48"/>
  <c r="K177" i="48"/>
  <c r="K176" i="48"/>
  <c r="K175" i="48"/>
  <c r="K174" i="48"/>
  <c r="K173" i="48"/>
  <c r="K172" i="48"/>
  <c r="K171" i="48"/>
  <c r="K170" i="48"/>
  <c r="K169" i="48"/>
  <c r="K168" i="48"/>
  <c r="K167" i="48"/>
  <c r="K166" i="48"/>
  <c r="K165" i="48"/>
  <c r="K164" i="48"/>
  <c r="K163" i="48"/>
  <c r="K162" i="48"/>
  <c r="K161" i="48"/>
  <c r="K160" i="48"/>
  <c r="K159" i="48"/>
  <c r="K158" i="48"/>
  <c r="K157" i="48"/>
  <c r="K156" i="48"/>
  <c r="K155" i="48"/>
  <c r="K154" i="48"/>
  <c r="K153" i="48"/>
  <c r="K152" i="48"/>
  <c r="K151" i="48"/>
  <c r="K150" i="48"/>
  <c r="K149" i="48"/>
  <c r="K148" i="48"/>
  <c r="K147" i="48"/>
  <c r="K146" i="48"/>
  <c r="K145" i="48"/>
  <c r="K144" i="48"/>
  <c r="K143" i="48"/>
  <c r="K142" i="48"/>
  <c r="K141" i="48"/>
  <c r="K140" i="48"/>
  <c r="K139" i="48"/>
  <c r="K138" i="48"/>
  <c r="K137" i="48"/>
  <c r="K136" i="48"/>
  <c r="K135" i="48"/>
  <c r="K134" i="48"/>
  <c r="K133" i="48"/>
  <c r="K132" i="48"/>
  <c r="K131" i="48"/>
  <c r="K130" i="48"/>
  <c r="K129" i="48"/>
  <c r="K128" i="48"/>
  <c r="K127" i="48"/>
  <c r="K126" i="48"/>
  <c r="K125" i="48"/>
  <c r="K124" i="48"/>
  <c r="K123" i="48"/>
  <c r="K122" i="48"/>
  <c r="K121" i="48"/>
  <c r="K120" i="48"/>
  <c r="K119" i="48"/>
  <c r="K118" i="48"/>
  <c r="K117" i="48"/>
  <c r="K116" i="48"/>
  <c r="K115" i="48"/>
  <c r="K114" i="48"/>
  <c r="K113" i="48"/>
  <c r="K112" i="48"/>
  <c r="K111" i="48"/>
  <c r="K110" i="48"/>
  <c r="K109" i="48"/>
  <c r="K108" i="48"/>
  <c r="K107" i="48"/>
  <c r="K106" i="48"/>
  <c r="K105" i="48"/>
  <c r="K104" i="48"/>
  <c r="K103" i="48"/>
  <c r="K102" i="48"/>
  <c r="K101" i="48"/>
  <c r="K100" i="48"/>
  <c r="K99" i="48"/>
  <c r="K98" i="48"/>
  <c r="K97" i="48"/>
  <c r="K96" i="48"/>
  <c r="K95" i="48"/>
  <c r="K94" i="48"/>
  <c r="K93" i="48"/>
  <c r="K92" i="48"/>
  <c r="K91" i="48"/>
  <c r="K90" i="48"/>
  <c r="K89" i="48"/>
  <c r="K88" i="48"/>
  <c r="K87" i="48"/>
  <c r="K86" i="48"/>
  <c r="K85" i="48"/>
  <c r="K84" i="48"/>
  <c r="K83" i="48"/>
  <c r="K82" i="48"/>
  <c r="K81" i="48"/>
  <c r="K62" i="48"/>
  <c r="K34" i="48"/>
  <c r="K33" i="48"/>
  <c r="K32" i="48"/>
  <c r="K31" i="48"/>
  <c r="K30" i="48"/>
  <c r="K29" i="48"/>
  <c r="K28" i="48"/>
  <c r="K27" i="48"/>
  <c r="K26" i="48"/>
  <c r="K25" i="48"/>
  <c r="K24" i="48"/>
  <c r="K23" i="48"/>
  <c r="K22" i="48"/>
  <c r="K21" i="48"/>
  <c r="K20" i="48"/>
  <c r="K19" i="48"/>
  <c r="K18" i="48"/>
  <c r="K17" i="48"/>
  <c r="K16" i="48"/>
  <c r="K15" i="48"/>
  <c r="K14" i="48"/>
  <c r="K12" i="48"/>
  <c r="K11" i="48"/>
  <c r="K10" i="48"/>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D82" i="19"/>
  <c r="Q5" i="34" s="1"/>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6" i="19"/>
  <c r="K147" i="19"/>
  <c r="K148" i="19"/>
  <c r="K149" i="19"/>
  <c r="K150" i="19"/>
  <c r="K151" i="19"/>
  <c r="K152" i="19"/>
  <c r="K153" i="19"/>
  <c r="K154" i="19"/>
  <c r="K155" i="19"/>
  <c r="K156" i="19"/>
  <c r="K157" i="19"/>
  <c r="K158" i="19"/>
  <c r="K159" i="19"/>
  <c r="K160" i="19"/>
  <c r="K161" i="19"/>
  <c r="K162" i="19"/>
  <c r="K163" i="19"/>
  <c r="K164" i="19"/>
  <c r="K165" i="19"/>
  <c r="K166" i="19"/>
  <c r="K167" i="19"/>
  <c r="K168" i="19"/>
  <c r="K169" i="19"/>
  <c r="K170" i="19"/>
  <c r="K171" i="19"/>
  <c r="K172" i="19"/>
  <c r="K173" i="19"/>
  <c r="K174" i="19"/>
  <c r="K175" i="19"/>
  <c r="K176" i="19"/>
  <c r="K177" i="19"/>
  <c r="K178" i="19"/>
  <c r="K179" i="19"/>
  <c r="K180" i="19"/>
  <c r="K181" i="19"/>
  <c r="K182" i="19"/>
  <c r="K183" i="19"/>
  <c r="K184" i="19"/>
  <c r="K185" i="19"/>
  <c r="K186" i="19"/>
  <c r="K187" i="19"/>
  <c r="K188" i="19"/>
  <c r="K189" i="19"/>
  <c r="K190" i="19"/>
  <c r="K199" i="19"/>
  <c r="K200" i="19"/>
  <c r="K205" i="19"/>
  <c r="K206" i="19"/>
  <c r="K207" i="19"/>
  <c r="K208" i="19"/>
  <c r="K209" i="19"/>
  <c r="K210" i="19"/>
  <c r="K211" i="19"/>
  <c r="K212" i="19"/>
  <c r="K213" i="19"/>
  <c r="K214" i="19"/>
  <c r="K215" i="19"/>
  <c r="K216" i="19"/>
  <c r="K217" i="19"/>
  <c r="K218" i="19"/>
  <c r="K219" i="19"/>
  <c r="K220" i="19"/>
  <c r="K221" i="19"/>
  <c r="K222" i="19"/>
  <c r="K223" i="19"/>
  <c r="K224" i="19"/>
  <c r="K225" i="19"/>
  <c r="K226" i="19"/>
  <c r="K227" i="19"/>
  <c r="K228" i="19"/>
  <c r="K229" i="19"/>
  <c r="K230" i="19"/>
  <c r="K231" i="19"/>
  <c r="K10" i="19"/>
  <c r="U231" i="48"/>
  <c r="S231" i="48"/>
  <c r="Q231" i="48"/>
  <c r="U230" i="48"/>
  <c r="S230" i="48"/>
  <c r="Q230" i="48"/>
  <c r="U229" i="48"/>
  <c r="S229" i="48"/>
  <c r="Q229" i="48"/>
  <c r="U228" i="48"/>
  <c r="S228" i="48"/>
  <c r="Q228" i="48"/>
  <c r="U227" i="48"/>
  <c r="S227" i="48"/>
  <c r="Q227" i="48"/>
  <c r="U226" i="48"/>
  <c r="S226" i="48"/>
  <c r="Q226" i="48"/>
  <c r="U225" i="48"/>
  <c r="S225" i="48"/>
  <c r="Q225" i="48"/>
  <c r="U224" i="48"/>
  <c r="S224" i="48"/>
  <c r="Q224" i="48"/>
  <c r="U223" i="48"/>
  <c r="S223" i="48"/>
  <c r="Q223" i="48"/>
  <c r="U222" i="48"/>
  <c r="S222" i="48"/>
  <c r="Q222" i="48"/>
  <c r="U221" i="48"/>
  <c r="S221" i="48"/>
  <c r="Q221" i="48"/>
  <c r="U220" i="48"/>
  <c r="S220" i="48"/>
  <c r="Q220" i="48"/>
  <c r="U219" i="48"/>
  <c r="S219" i="48"/>
  <c r="Q219" i="48"/>
  <c r="U218" i="48"/>
  <c r="S218" i="48"/>
  <c r="Q218" i="48"/>
  <c r="U217" i="48"/>
  <c r="S217" i="48"/>
  <c r="Q217" i="48"/>
  <c r="U216" i="48"/>
  <c r="S216" i="48"/>
  <c r="Q216" i="48"/>
  <c r="U215" i="48"/>
  <c r="S215" i="48"/>
  <c r="Q215" i="48"/>
  <c r="U214" i="48"/>
  <c r="S214" i="48"/>
  <c r="Q214" i="48"/>
  <c r="U213" i="48"/>
  <c r="S213" i="48"/>
  <c r="Q213" i="48"/>
  <c r="U212" i="48"/>
  <c r="S212" i="48"/>
  <c r="Q212" i="48"/>
  <c r="U211" i="48"/>
  <c r="S211" i="48"/>
  <c r="Q211" i="48"/>
  <c r="U210" i="48"/>
  <c r="S210" i="48"/>
  <c r="Q210" i="48"/>
  <c r="U209" i="48"/>
  <c r="S209" i="48"/>
  <c r="Q209" i="48"/>
  <c r="U208" i="48"/>
  <c r="S208" i="48"/>
  <c r="Q208" i="48"/>
  <c r="U207" i="48"/>
  <c r="S207" i="48"/>
  <c r="Q207" i="48"/>
  <c r="U206" i="48"/>
  <c r="S206" i="48"/>
  <c r="Q206" i="48"/>
  <c r="U205" i="48"/>
  <c r="S205" i="48"/>
  <c r="Q205" i="48"/>
  <c r="U204" i="48"/>
  <c r="S204" i="48"/>
  <c r="Q204" i="48"/>
  <c r="U203" i="48"/>
  <c r="S203" i="48"/>
  <c r="Q203" i="48"/>
  <c r="U202" i="48"/>
  <c r="S202" i="48"/>
  <c r="Q202" i="48"/>
  <c r="U201" i="48"/>
  <c r="S201" i="48"/>
  <c r="Q201" i="48"/>
  <c r="U200" i="48"/>
  <c r="S200" i="48"/>
  <c r="Q200" i="48"/>
  <c r="U199" i="48"/>
  <c r="S199" i="48"/>
  <c r="U198" i="48"/>
  <c r="S198" i="48"/>
  <c r="U197" i="48"/>
  <c r="S197" i="48"/>
  <c r="U196" i="48"/>
  <c r="S196" i="48"/>
  <c r="U195" i="48"/>
  <c r="S195" i="48"/>
  <c r="U194" i="48"/>
  <c r="S194" i="48"/>
  <c r="U193" i="48"/>
  <c r="S193" i="48"/>
  <c r="U192" i="48"/>
  <c r="S192" i="48"/>
  <c r="U191" i="48"/>
  <c r="S191" i="48"/>
  <c r="U190" i="48"/>
  <c r="S190" i="48"/>
  <c r="U189" i="48"/>
  <c r="S189" i="48"/>
  <c r="U188" i="48"/>
  <c r="S188" i="48"/>
  <c r="U187" i="48"/>
  <c r="S187" i="48"/>
  <c r="U186" i="48"/>
  <c r="S186" i="48"/>
  <c r="U185" i="48"/>
  <c r="S185" i="48"/>
  <c r="U184" i="48"/>
  <c r="S184" i="48"/>
  <c r="Q184" i="48"/>
  <c r="U183" i="48"/>
  <c r="S183" i="48"/>
  <c r="U182" i="48"/>
  <c r="S182" i="48"/>
  <c r="U181" i="48"/>
  <c r="S181" i="48"/>
  <c r="U180" i="48"/>
  <c r="S180" i="48"/>
  <c r="U179" i="48"/>
  <c r="S179" i="48"/>
  <c r="U178" i="48"/>
  <c r="S178" i="48"/>
  <c r="U177" i="48"/>
  <c r="S177" i="48"/>
  <c r="U176" i="48"/>
  <c r="S176" i="48"/>
  <c r="U175" i="48"/>
  <c r="S175" i="48"/>
  <c r="U174" i="48"/>
  <c r="S174" i="48"/>
  <c r="U173" i="48"/>
  <c r="S173" i="48"/>
  <c r="U172" i="48"/>
  <c r="S172" i="48"/>
  <c r="U171" i="48"/>
  <c r="S171" i="48"/>
  <c r="U170" i="48"/>
  <c r="S170" i="48"/>
  <c r="U169" i="48"/>
  <c r="S169" i="48"/>
  <c r="Q169" i="48"/>
  <c r="U168" i="48"/>
  <c r="S168" i="48"/>
  <c r="Q168" i="48"/>
  <c r="U167" i="48"/>
  <c r="S167" i="48"/>
  <c r="U166" i="48"/>
  <c r="S166" i="48"/>
  <c r="U165" i="48"/>
  <c r="S165" i="48"/>
  <c r="U164" i="48"/>
  <c r="S164" i="48"/>
  <c r="U163" i="48"/>
  <c r="S163" i="48"/>
  <c r="U162" i="48"/>
  <c r="S162" i="48"/>
  <c r="U161" i="48"/>
  <c r="S161" i="48"/>
  <c r="U160" i="48"/>
  <c r="S160" i="48"/>
  <c r="U159" i="48"/>
  <c r="S159" i="48"/>
  <c r="U158" i="48"/>
  <c r="S158" i="48"/>
  <c r="U157" i="48"/>
  <c r="S157" i="48"/>
  <c r="U156" i="48"/>
  <c r="S156" i="48"/>
  <c r="Q156" i="48"/>
  <c r="U155" i="48"/>
  <c r="S155" i="48"/>
  <c r="Q155" i="48"/>
  <c r="U154" i="48"/>
  <c r="S154" i="48"/>
  <c r="Q154" i="48"/>
  <c r="U153" i="48"/>
  <c r="S153" i="48"/>
  <c r="Q153" i="48"/>
  <c r="U152" i="48"/>
  <c r="S152" i="48"/>
  <c r="Q152" i="48"/>
  <c r="U151" i="48"/>
  <c r="S151" i="48"/>
  <c r="Q151" i="48"/>
  <c r="U150" i="48"/>
  <c r="S150" i="48"/>
  <c r="Q150" i="48"/>
  <c r="U149" i="48"/>
  <c r="S149" i="48"/>
  <c r="U148" i="48"/>
  <c r="S148" i="48"/>
  <c r="U147" i="48"/>
  <c r="S147" i="48"/>
  <c r="U146" i="48"/>
  <c r="S146" i="48"/>
  <c r="U145" i="48"/>
  <c r="S145" i="48"/>
  <c r="U144" i="48"/>
  <c r="S144" i="48"/>
  <c r="U143" i="48"/>
  <c r="S143" i="48"/>
  <c r="U142" i="48"/>
  <c r="S142" i="48"/>
  <c r="U141" i="48"/>
  <c r="S141" i="48"/>
  <c r="U140" i="48"/>
  <c r="S140" i="48"/>
  <c r="U139" i="48"/>
  <c r="S139" i="48"/>
  <c r="U138" i="48"/>
  <c r="S138" i="48"/>
  <c r="U137" i="48"/>
  <c r="S137" i="48"/>
  <c r="U136" i="48"/>
  <c r="S136" i="48"/>
  <c r="U135" i="48"/>
  <c r="S135" i="48"/>
  <c r="U134" i="48"/>
  <c r="S134" i="48"/>
  <c r="U133" i="48"/>
  <c r="S133" i="48"/>
  <c r="U132" i="48"/>
  <c r="S132" i="48"/>
  <c r="U131" i="48"/>
  <c r="S131" i="48"/>
  <c r="U130" i="48"/>
  <c r="S130" i="48"/>
  <c r="U129" i="48"/>
  <c r="S129" i="48"/>
  <c r="U128" i="48"/>
  <c r="S128" i="48"/>
  <c r="U127" i="48"/>
  <c r="S127" i="48"/>
  <c r="U126" i="48"/>
  <c r="S126" i="48"/>
  <c r="U125" i="48"/>
  <c r="S125" i="48"/>
  <c r="U124" i="48"/>
  <c r="S124" i="48"/>
  <c r="U123" i="48"/>
  <c r="S123" i="48"/>
  <c r="U122" i="48"/>
  <c r="S122" i="48"/>
  <c r="Q122" i="48"/>
  <c r="U121" i="48"/>
  <c r="S121" i="48"/>
  <c r="Q121" i="48"/>
  <c r="U120" i="48"/>
  <c r="S120" i="48"/>
  <c r="Q120" i="48"/>
  <c r="U119" i="48"/>
  <c r="S119" i="48"/>
  <c r="Q119" i="48"/>
  <c r="U118" i="48"/>
  <c r="S118" i="48"/>
  <c r="U117" i="48"/>
  <c r="S117" i="48"/>
  <c r="U116" i="48"/>
  <c r="S116" i="48"/>
  <c r="U115" i="48"/>
  <c r="S115" i="48"/>
  <c r="U114" i="48"/>
  <c r="S114" i="48"/>
  <c r="U113" i="48"/>
  <c r="S113" i="48"/>
  <c r="U112" i="48"/>
  <c r="S112" i="48"/>
  <c r="U111" i="48"/>
  <c r="S111" i="48"/>
  <c r="U110" i="48"/>
  <c r="S110" i="48"/>
  <c r="U109" i="48"/>
  <c r="S109" i="48"/>
  <c r="U108" i="48"/>
  <c r="S108" i="48"/>
  <c r="U107" i="48"/>
  <c r="S107" i="48"/>
  <c r="U106" i="48"/>
  <c r="S106" i="48"/>
  <c r="U105" i="48"/>
  <c r="S105" i="48"/>
  <c r="Q105" i="48"/>
  <c r="U104" i="48"/>
  <c r="S104" i="48"/>
  <c r="Q104" i="48"/>
  <c r="U103" i="48"/>
  <c r="S103" i="48"/>
  <c r="U102" i="48"/>
  <c r="S102" i="48"/>
  <c r="U101" i="48"/>
  <c r="S101" i="48"/>
  <c r="U100" i="48"/>
  <c r="S100" i="48"/>
  <c r="U99" i="48"/>
  <c r="S99" i="48"/>
  <c r="U98" i="48"/>
  <c r="S98" i="48"/>
  <c r="U97" i="48"/>
  <c r="S97" i="48"/>
  <c r="U96" i="48"/>
  <c r="S96" i="48"/>
  <c r="U95" i="48"/>
  <c r="S95" i="48"/>
  <c r="U94" i="48"/>
  <c r="S94" i="48"/>
  <c r="U93" i="48"/>
  <c r="S93" i="48"/>
  <c r="U92" i="48"/>
  <c r="S92" i="48"/>
  <c r="U91" i="48"/>
  <c r="S91" i="48"/>
  <c r="U90" i="48"/>
  <c r="S90" i="48"/>
  <c r="U89" i="48"/>
  <c r="S89" i="48"/>
  <c r="U88" i="48"/>
  <c r="S88" i="48"/>
  <c r="U87" i="48"/>
  <c r="S87" i="48"/>
  <c r="U86" i="48"/>
  <c r="S86" i="48"/>
  <c r="U85" i="48"/>
  <c r="S85" i="48"/>
  <c r="U84" i="48"/>
  <c r="S84" i="48"/>
  <c r="U83" i="48"/>
  <c r="S83" i="48"/>
  <c r="U82" i="48"/>
  <c r="S82" i="48"/>
  <c r="U81" i="48"/>
  <c r="S81" i="48"/>
  <c r="U80" i="48"/>
  <c r="S80" i="48"/>
  <c r="U79" i="48"/>
  <c r="S79" i="48"/>
  <c r="U78" i="48"/>
  <c r="S78" i="48"/>
  <c r="U77" i="48"/>
  <c r="S77" i="48"/>
  <c r="U76" i="48"/>
  <c r="S76" i="48"/>
  <c r="U75" i="48"/>
  <c r="S75" i="48"/>
  <c r="U74" i="48"/>
  <c r="S74" i="48"/>
  <c r="Q74" i="48"/>
  <c r="U73" i="48"/>
  <c r="S73" i="48"/>
  <c r="Q73" i="48"/>
  <c r="U72" i="48"/>
  <c r="S72" i="48"/>
  <c r="U71" i="48"/>
  <c r="S71" i="48"/>
  <c r="U70" i="48"/>
  <c r="S70" i="48"/>
  <c r="U69" i="48"/>
  <c r="S69" i="48"/>
  <c r="U68" i="48"/>
  <c r="S68" i="48"/>
  <c r="U67" i="48"/>
  <c r="S67" i="48"/>
  <c r="U66" i="48"/>
  <c r="S66" i="48"/>
  <c r="U65" i="48"/>
  <c r="S65" i="48"/>
  <c r="U64" i="48"/>
  <c r="S64" i="48"/>
  <c r="U63" i="48"/>
  <c r="S63" i="48"/>
  <c r="U62" i="48"/>
  <c r="S62" i="48"/>
  <c r="U61" i="48"/>
  <c r="S61" i="48"/>
  <c r="U60" i="48"/>
  <c r="S60" i="48"/>
  <c r="U59" i="48"/>
  <c r="S59" i="48"/>
  <c r="U58" i="48"/>
  <c r="S58" i="48"/>
  <c r="U57" i="48"/>
  <c r="S57" i="48"/>
  <c r="U56" i="48"/>
  <c r="S56" i="48"/>
  <c r="U55" i="48"/>
  <c r="S55" i="48"/>
  <c r="U54" i="48"/>
  <c r="S54" i="48"/>
  <c r="Q54" i="48"/>
  <c r="U53" i="48"/>
  <c r="S53" i="48"/>
  <c r="Q53" i="48"/>
  <c r="U52" i="48"/>
  <c r="S52" i="48"/>
  <c r="Q52" i="48"/>
  <c r="U51" i="48"/>
  <c r="S51" i="48"/>
  <c r="U50" i="48"/>
  <c r="S50" i="48"/>
  <c r="U49" i="48"/>
  <c r="S49" i="48"/>
  <c r="U48" i="48"/>
  <c r="S48" i="48"/>
  <c r="U47" i="48"/>
  <c r="S47" i="48"/>
  <c r="U46" i="48"/>
  <c r="S46" i="48"/>
  <c r="U45" i="48"/>
  <c r="S45" i="48"/>
  <c r="U44" i="48"/>
  <c r="S44" i="48"/>
  <c r="U43" i="48"/>
  <c r="S43" i="48"/>
  <c r="U42" i="48"/>
  <c r="S42" i="48"/>
  <c r="U41" i="48"/>
  <c r="S41" i="48"/>
  <c r="U40" i="48"/>
  <c r="S40" i="48"/>
  <c r="U39" i="48"/>
  <c r="S39" i="48"/>
  <c r="U38" i="48"/>
  <c r="S38" i="48"/>
  <c r="U37" i="48"/>
  <c r="S37" i="48"/>
  <c r="U36" i="48"/>
  <c r="S36" i="48"/>
  <c r="U35" i="48"/>
  <c r="S35" i="48"/>
  <c r="U34" i="48"/>
  <c r="S34" i="48"/>
  <c r="S33" i="48"/>
  <c r="U32" i="48"/>
  <c r="S32" i="48"/>
  <c r="U31" i="48"/>
  <c r="S31" i="48"/>
  <c r="U30" i="48"/>
  <c r="S30" i="48"/>
  <c r="U29" i="48"/>
  <c r="S29" i="48"/>
  <c r="U28" i="48"/>
  <c r="S28" i="48"/>
  <c r="U27" i="48"/>
  <c r="S27" i="48"/>
  <c r="Q27" i="48"/>
  <c r="U26" i="48"/>
  <c r="S26" i="48"/>
  <c r="Q26" i="48"/>
  <c r="U25" i="48"/>
  <c r="S25" i="48"/>
  <c r="Q25" i="48"/>
  <c r="U24" i="48"/>
  <c r="S24" i="48"/>
  <c r="Q24" i="48"/>
  <c r="U23" i="48"/>
  <c r="S23" i="48"/>
  <c r="Q23" i="48"/>
  <c r="U22" i="48"/>
  <c r="S22" i="48"/>
  <c r="Q22" i="48"/>
  <c r="U21" i="48"/>
  <c r="S21" i="48"/>
  <c r="Q21" i="48"/>
  <c r="U20" i="48"/>
  <c r="S20" i="48"/>
  <c r="Q20" i="48"/>
  <c r="U19" i="48"/>
  <c r="S19" i="48"/>
  <c r="Q19" i="48"/>
  <c r="U18" i="48"/>
  <c r="S18" i="48"/>
  <c r="Q18" i="48"/>
  <c r="U17" i="48"/>
  <c r="S17" i="48"/>
  <c r="Q17" i="48"/>
  <c r="U16" i="48"/>
  <c r="S16" i="48"/>
  <c r="Q16" i="48"/>
  <c r="U15" i="48"/>
  <c r="S15" i="48"/>
  <c r="Q15" i="48"/>
  <c r="U14" i="48"/>
  <c r="S14" i="48"/>
  <c r="Q14" i="48"/>
  <c r="U13" i="48"/>
  <c r="S13" i="48"/>
  <c r="U12" i="48"/>
  <c r="S12" i="48"/>
  <c r="Q12" i="48"/>
  <c r="U11" i="48"/>
  <c r="S11" i="48"/>
  <c r="Q11" i="48"/>
  <c r="U10" i="48"/>
  <c r="S10" i="48"/>
  <c r="Q10" i="48"/>
  <c r="Q231" i="19"/>
  <c r="Q230" i="19"/>
  <c r="Q229" i="19"/>
  <c r="Q228" i="19"/>
  <c r="Q227" i="19"/>
  <c r="Q226" i="19"/>
  <c r="Q225" i="19"/>
  <c r="Q224" i="19"/>
  <c r="Q223" i="19"/>
  <c r="Q222" i="19"/>
  <c r="Q221" i="19"/>
  <c r="Q220" i="19"/>
  <c r="Q219" i="19"/>
  <c r="Q218" i="19"/>
  <c r="Q217" i="19"/>
  <c r="Q216" i="19"/>
  <c r="Q215" i="19"/>
  <c r="Q214" i="19"/>
  <c r="Q213" i="19"/>
  <c r="Q212" i="19"/>
  <c r="Q211" i="19"/>
  <c r="Q210" i="19"/>
  <c r="Q209" i="19"/>
  <c r="Q208" i="19"/>
  <c r="Q207" i="19"/>
  <c r="Q206" i="19"/>
  <c r="Q205" i="19"/>
  <c r="Q204" i="19"/>
  <c r="Q201" i="19"/>
  <c r="Q199" i="19"/>
  <c r="Q183" i="19"/>
  <c r="Q182" i="19"/>
  <c r="Q177" i="19"/>
  <c r="Q171" i="19"/>
  <c r="Q165" i="19"/>
  <c r="Q164" i="19"/>
  <c r="Q159" i="19"/>
  <c r="Q153" i="19"/>
  <c r="Q147" i="19"/>
  <c r="Q142" i="19"/>
  <c r="Q141" i="19"/>
  <c r="Q135" i="19"/>
  <c r="Q129" i="19"/>
  <c r="Q123" i="19"/>
  <c r="Q117" i="19"/>
  <c r="Q75" i="19"/>
  <c r="Q69" i="19"/>
  <c r="Q63" i="19"/>
  <c r="Q39" i="19"/>
  <c r="Q33" i="19"/>
  <c r="Q32" i="19"/>
  <c r="Q31" i="19"/>
  <c r="Q30" i="19"/>
  <c r="Q29" i="19"/>
  <c r="Q28" i="19"/>
  <c r="Q26" i="19"/>
  <c r="Q25" i="19"/>
  <c r="Q24" i="19"/>
  <c r="Q23" i="19"/>
  <c r="Q22" i="19"/>
  <c r="Q21" i="19"/>
  <c r="Q20" i="19"/>
  <c r="Q19" i="19"/>
  <c r="Q18" i="19"/>
  <c r="Q17" i="19"/>
  <c r="Q16" i="19"/>
  <c r="O231" i="19"/>
  <c r="O230" i="19"/>
  <c r="O229" i="19"/>
  <c r="O228" i="19"/>
  <c r="O227" i="19"/>
  <c r="O226" i="19"/>
  <c r="O225" i="19"/>
  <c r="O224" i="19"/>
  <c r="O223" i="19"/>
  <c r="O222" i="19"/>
  <c r="O221" i="19"/>
  <c r="O220" i="19"/>
  <c r="O219" i="19"/>
  <c r="O218" i="19"/>
  <c r="O217" i="19"/>
  <c r="O216" i="19"/>
  <c r="O215" i="19"/>
  <c r="O214" i="19"/>
  <c r="O213" i="19"/>
  <c r="O212" i="19"/>
  <c r="O211" i="19"/>
  <c r="O210" i="19"/>
  <c r="O209" i="19"/>
  <c r="O208" i="19"/>
  <c r="O207" i="19"/>
  <c r="O206" i="19"/>
  <c r="O164" i="19"/>
  <c r="O142" i="19"/>
  <c r="O26" i="19"/>
  <c r="O25" i="19"/>
  <c r="O24" i="19"/>
  <c r="O23" i="19"/>
  <c r="O22" i="19"/>
  <c r="O21" i="19"/>
  <c r="O20" i="19"/>
  <c r="O19" i="19"/>
  <c r="O18" i="19"/>
  <c r="O17" i="19"/>
  <c r="O16" i="19"/>
  <c r="M231" i="19"/>
  <c r="M230" i="19"/>
  <c r="M229" i="19"/>
  <c r="M228" i="19"/>
  <c r="M227" i="19"/>
  <c r="M226" i="19"/>
  <c r="M225" i="19"/>
  <c r="M224" i="19"/>
  <c r="M223" i="19"/>
  <c r="M222" i="19"/>
  <c r="M221" i="19"/>
  <c r="M220" i="19"/>
  <c r="M219" i="19"/>
  <c r="M218" i="19"/>
  <c r="M217" i="19"/>
  <c r="M216" i="19"/>
  <c r="M215" i="19"/>
  <c r="M214" i="19"/>
  <c r="M213" i="19"/>
  <c r="M212" i="19"/>
  <c r="M211" i="19"/>
  <c r="M210" i="19"/>
  <c r="M209" i="19"/>
  <c r="M208" i="19"/>
  <c r="M207" i="19"/>
  <c r="M206" i="19"/>
  <c r="M205" i="19"/>
  <c r="M165" i="19"/>
  <c r="M164" i="19"/>
  <c r="M153" i="19"/>
  <c r="M142" i="19"/>
  <c r="M69" i="19"/>
  <c r="M27" i="19"/>
  <c r="M26" i="19"/>
  <c r="M25" i="19"/>
  <c r="M24" i="19"/>
  <c r="M23" i="19"/>
  <c r="M22" i="19"/>
  <c r="M21" i="19"/>
  <c r="M20" i="19"/>
  <c r="M19" i="19"/>
  <c r="M18" i="19"/>
  <c r="M17" i="19"/>
  <c r="M16" i="19"/>
  <c r="I231" i="19"/>
  <c r="I230" i="19"/>
  <c r="I229" i="19"/>
  <c r="I228" i="19"/>
  <c r="I227" i="19"/>
  <c r="I226" i="19"/>
  <c r="I225" i="19"/>
  <c r="I224" i="19"/>
  <c r="I223" i="19"/>
  <c r="I222" i="19"/>
  <c r="I221" i="19"/>
  <c r="I220" i="19"/>
  <c r="I219" i="19"/>
  <c r="I218" i="19"/>
  <c r="I217" i="19"/>
  <c r="I216" i="19"/>
  <c r="I215" i="19"/>
  <c r="I214" i="19"/>
  <c r="I213" i="19"/>
  <c r="I212" i="19"/>
  <c r="I211" i="19"/>
  <c r="I210" i="19"/>
  <c r="I209" i="19"/>
  <c r="I208" i="19"/>
  <c r="I207" i="19"/>
  <c r="I206" i="19"/>
  <c r="I205" i="19"/>
  <c r="I204" i="19"/>
  <c r="I199" i="19"/>
  <c r="I165" i="19"/>
  <c r="I142" i="19"/>
  <c r="I129" i="19"/>
  <c r="I26" i="19"/>
  <c r="I25" i="19"/>
  <c r="I24" i="19"/>
  <c r="I23" i="19"/>
  <c r="I22" i="19"/>
  <c r="I21" i="19"/>
  <c r="I20" i="19"/>
  <c r="I19" i="19"/>
  <c r="I18" i="19"/>
  <c r="I17" i="19"/>
  <c r="I16" i="19"/>
  <c r="G231" i="19"/>
  <c r="G230" i="19"/>
  <c r="G229" i="19"/>
  <c r="G228" i="19"/>
  <c r="G227" i="19"/>
  <c r="G226" i="19"/>
  <c r="T226" i="19"/>
  <c r="G225" i="19"/>
  <c r="G224" i="19"/>
  <c r="G223" i="19"/>
  <c r="G222" i="19"/>
  <c r="G221" i="19"/>
  <c r="G220" i="19"/>
  <c r="D220" i="19"/>
  <c r="AN5" i="34"/>
  <c r="G219" i="19"/>
  <c r="G218" i="19"/>
  <c r="G217" i="19"/>
  <c r="G216" i="19"/>
  <c r="G215" i="19"/>
  <c r="G214" i="19"/>
  <c r="G213" i="19"/>
  <c r="G212" i="19"/>
  <c r="G211" i="19"/>
  <c r="G210" i="19"/>
  <c r="G209" i="19"/>
  <c r="G208" i="19"/>
  <c r="G207" i="19"/>
  <c r="G206" i="19"/>
  <c r="G205" i="19"/>
  <c r="G165" i="19"/>
  <c r="G153" i="19"/>
  <c r="G24" i="19"/>
  <c r="G23" i="19"/>
  <c r="G22" i="19"/>
  <c r="G21" i="19"/>
  <c r="G20" i="19"/>
  <c r="G19" i="19"/>
  <c r="G18" i="19"/>
  <c r="G17" i="19"/>
  <c r="G16" i="19"/>
  <c r="Q15" i="19"/>
  <c r="Q14" i="19"/>
  <c r="Q13" i="19"/>
  <c r="Q12" i="19"/>
  <c r="Q11" i="19"/>
  <c r="Q10" i="19"/>
  <c r="O15" i="19"/>
  <c r="O14" i="19"/>
  <c r="O13" i="19"/>
  <c r="O12" i="19"/>
  <c r="O11" i="19"/>
  <c r="O10" i="19"/>
  <c r="M15" i="19"/>
  <c r="M14" i="19"/>
  <c r="M13" i="19"/>
  <c r="M12" i="19"/>
  <c r="M11" i="19"/>
  <c r="M10" i="19"/>
  <c r="I15" i="19"/>
  <c r="I14" i="19"/>
  <c r="I13" i="19"/>
  <c r="I12" i="19"/>
  <c r="I11" i="19"/>
  <c r="I10" i="19"/>
  <c r="G15" i="19"/>
  <c r="G14" i="19"/>
  <c r="G13" i="19"/>
  <c r="G12" i="19"/>
  <c r="G11" i="19"/>
  <c r="G10" i="19"/>
  <c r="K231" i="45"/>
  <c r="G231" i="45"/>
  <c r="K230" i="45"/>
  <c r="G230" i="45"/>
  <c r="K229" i="45"/>
  <c r="G229" i="45"/>
  <c r="K228" i="45"/>
  <c r="G228" i="45"/>
  <c r="K227" i="45"/>
  <c r="G227" i="45"/>
  <c r="K226" i="45"/>
  <c r="G226" i="45"/>
  <c r="N226" i="45" s="1"/>
  <c r="K225" i="45"/>
  <c r="G225" i="45"/>
  <c r="K224" i="45"/>
  <c r="G224" i="45"/>
  <c r="K223" i="45"/>
  <c r="G223" i="45"/>
  <c r="K222" i="45"/>
  <c r="G222" i="45"/>
  <c r="K221" i="45"/>
  <c r="G221" i="45"/>
  <c r="K220" i="45"/>
  <c r="G220" i="45"/>
  <c r="K219" i="45"/>
  <c r="G219" i="45"/>
  <c r="K218" i="45"/>
  <c r="G218" i="45"/>
  <c r="K217" i="45"/>
  <c r="G217" i="45"/>
  <c r="K216" i="45"/>
  <c r="G216" i="45"/>
  <c r="K215" i="45"/>
  <c r="G215" i="45"/>
  <c r="K214" i="45"/>
  <c r="N214" i="45" s="1"/>
  <c r="G214" i="45"/>
  <c r="K213" i="45"/>
  <c r="G213" i="45"/>
  <c r="K212" i="45"/>
  <c r="G212" i="45"/>
  <c r="K211" i="45"/>
  <c r="G211" i="45"/>
  <c r="K210" i="45"/>
  <c r="G210" i="45"/>
  <c r="K209" i="45"/>
  <c r="G209" i="45"/>
  <c r="K208" i="45"/>
  <c r="G208" i="45"/>
  <c r="K207" i="45"/>
  <c r="G207" i="45"/>
  <c r="K206" i="45"/>
  <c r="G206" i="45"/>
  <c r="K205" i="45"/>
  <c r="G205" i="45"/>
  <c r="K204" i="45"/>
  <c r="G204" i="45"/>
  <c r="K203" i="45"/>
  <c r="G203" i="45"/>
  <c r="K202" i="45"/>
  <c r="G202" i="45"/>
  <c r="K201" i="45"/>
  <c r="G201" i="45"/>
  <c r="K200" i="45"/>
  <c r="K199" i="45"/>
  <c r="K198" i="45"/>
  <c r="K197" i="45"/>
  <c r="K196" i="45"/>
  <c r="K195" i="45"/>
  <c r="K194" i="45"/>
  <c r="K193" i="45"/>
  <c r="K192" i="45"/>
  <c r="K191" i="45"/>
  <c r="K190" i="45"/>
  <c r="K189" i="45"/>
  <c r="K188" i="45"/>
  <c r="K187" i="45"/>
  <c r="K186" i="45"/>
  <c r="K185" i="45"/>
  <c r="K184" i="45"/>
  <c r="K183" i="45"/>
  <c r="K182" i="45"/>
  <c r="K181" i="45"/>
  <c r="K180" i="45"/>
  <c r="K179" i="45"/>
  <c r="K178" i="45"/>
  <c r="K177" i="45"/>
  <c r="K176" i="45"/>
  <c r="K175" i="45"/>
  <c r="K174" i="45"/>
  <c r="K173" i="45"/>
  <c r="K172" i="45"/>
  <c r="K171" i="45"/>
  <c r="K170" i="45"/>
  <c r="K169" i="45"/>
  <c r="K168" i="45"/>
  <c r="K167" i="45"/>
  <c r="K166" i="45"/>
  <c r="E166" i="45" s="1"/>
  <c r="K165" i="45"/>
  <c r="K164" i="45"/>
  <c r="K163" i="45"/>
  <c r="K162" i="45"/>
  <c r="K161" i="45"/>
  <c r="K160" i="45"/>
  <c r="K159" i="45"/>
  <c r="K158" i="45"/>
  <c r="K157" i="45"/>
  <c r="K156" i="45"/>
  <c r="K155" i="45"/>
  <c r="K154" i="45"/>
  <c r="K153" i="45"/>
  <c r="K152" i="45"/>
  <c r="K151" i="45"/>
  <c r="K150" i="45"/>
  <c r="K149" i="45"/>
  <c r="K148" i="45"/>
  <c r="K147" i="45"/>
  <c r="K146" i="45"/>
  <c r="K145" i="45"/>
  <c r="K144" i="45"/>
  <c r="K143" i="45"/>
  <c r="K142" i="45"/>
  <c r="K141" i="45"/>
  <c r="K140" i="45"/>
  <c r="K139" i="45"/>
  <c r="K138" i="45"/>
  <c r="K137" i="45"/>
  <c r="K136" i="45"/>
  <c r="K135" i="45"/>
  <c r="K134" i="45"/>
  <c r="K133" i="45"/>
  <c r="K132" i="45"/>
  <c r="K131" i="45"/>
  <c r="K130" i="45"/>
  <c r="K129" i="45"/>
  <c r="K128" i="45"/>
  <c r="K127" i="45"/>
  <c r="K126" i="45"/>
  <c r="K125" i="45"/>
  <c r="K124" i="45"/>
  <c r="K123" i="45"/>
  <c r="K122" i="45"/>
  <c r="K121" i="45"/>
  <c r="K120" i="45"/>
  <c r="K119" i="45"/>
  <c r="K118" i="45"/>
  <c r="K117" i="45"/>
  <c r="K116" i="45"/>
  <c r="K115" i="45"/>
  <c r="K114" i="45"/>
  <c r="K112" i="45"/>
  <c r="K111" i="45"/>
  <c r="G111" i="45"/>
  <c r="K110" i="45"/>
  <c r="K109" i="45"/>
  <c r="K108" i="45"/>
  <c r="K107" i="45"/>
  <c r="K106" i="45"/>
  <c r="K105" i="45"/>
  <c r="K104" i="45"/>
  <c r="K103" i="45"/>
  <c r="K102" i="45"/>
  <c r="K101" i="45"/>
  <c r="K100" i="45"/>
  <c r="K99" i="45"/>
  <c r="K98" i="45"/>
  <c r="K97" i="45"/>
  <c r="K96" i="45"/>
  <c r="K95" i="45"/>
  <c r="K94" i="45"/>
  <c r="K93" i="45"/>
  <c r="K92" i="45"/>
  <c r="K91" i="45"/>
  <c r="K90" i="45"/>
  <c r="K89" i="45"/>
  <c r="K88" i="45"/>
  <c r="K87" i="45"/>
  <c r="K86" i="45"/>
  <c r="K85" i="45"/>
  <c r="K84" i="45"/>
  <c r="K83" i="45"/>
  <c r="K82" i="45"/>
  <c r="K81" i="45"/>
  <c r="K80" i="45"/>
  <c r="K79" i="45"/>
  <c r="K78" i="45"/>
  <c r="K77" i="45"/>
  <c r="K76" i="45"/>
  <c r="K75" i="45"/>
  <c r="K74" i="45"/>
  <c r="K73" i="45"/>
  <c r="K72" i="45"/>
  <c r="K71" i="45"/>
  <c r="K70" i="45"/>
  <c r="K69" i="45"/>
  <c r="K68" i="45"/>
  <c r="K67" i="45"/>
  <c r="K66" i="45"/>
  <c r="K65" i="45"/>
  <c r="K64" i="45"/>
  <c r="K45" i="45"/>
  <c r="K44" i="45"/>
  <c r="K43" i="45"/>
  <c r="K42" i="45"/>
  <c r="K41" i="45"/>
  <c r="K40" i="45"/>
  <c r="K39" i="45"/>
  <c r="K38" i="45"/>
  <c r="K37" i="45"/>
  <c r="K36" i="45"/>
  <c r="K35" i="45"/>
  <c r="K34" i="45"/>
  <c r="K33" i="45"/>
  <c r="K32" i="45"/>
  <c r="K31" i="45"/>
  <c r="K30" i="45"/>
  <c r="K29" i="45"/>
  <c r="K28" i="45"/>
  <c r="K27" i="45"/>
  <c r="K26" i="45"/>
  <c r="K25" i="45"/>
  <c r="K24" i="45"/>
  <c r="K23" i="45"/>
  <c r="K22" i="45"/>
  <c r="K21" i="45"/>
  <c r="K20" i="45"/>
  <c r="K19" i="45"/>
  <c r="K18" i="45"/>
  <c r="K17" i="45"/>
  <c r="G17" i="45"/>
  <c r="K16" i="45"/>
  <c r="G16" i="45"/>
  <c r="K15" i="45"/>
  <c r="G15" i="45"/>
  <c r="K14" i="45"/>
  <c r="G14" i="45"/>
  <c r="K13" i="45"/>
  <c r="G13" i="45"/>
  <c r="K12" i="45"/>
  <c r="G12" i="45"/>
  <c r="K11" i="45"/>
  <c r="G11" i="45"/>
  <c r="K10" i="45"/>
  <c r="G10" i="45"/>
  <c r="C3" i="45"/>
  <c r="Y6" i="3" s="1"/>
  <c r="D226" i="45"/>
  <c r="AO2" i="34" s="1"/>
  <c r="AC3" i="48"/>
  <c r="C3" i="19"/>
  <c r="Y5" i="3" s="1"/>
  <c r="D40" i="45"/>
  <c r="J2" i="34" s="1"/>
  <c r="T220" i="19"/>
  <c r="T4" i="19"/>
  <c r="E220" i="19"/>
  <c r="T214" i="19"/>
  <c r="R12" i="19"/>
  <c r="E226" i="45"/>
  <c r="F16" i="48"/>
  <c r="F4" i="34" s="1"/>
  <c r="D226" i="19"/>
  <c r="AO5" i="34"/>
  <c r="E226" i="19"/>
  <c r="E10" i="45"/>
  <c r="D10" i="45"/>
  <c r="E2" i="34" s="1"/>
  <c r="N202" i="45"/>
  <c r="D4" i="19"/>
  <c r="D5" i="34" s="1"/>
  <c r="E4" i="45"/>
  <c r="T4" i="51"/>
  <c r="X200" i="48" l="1"/>
  <c r="W200" i="48"/>
  <c r="W199" i="48"/>
  <c r="X199" i="48"/>
  <c r="S199" i="19"/>
  <c r="S198" i="51"/>
  <c r="U196" i="19"/>
  <c r="S197" i="19"/>
  <c r="S197" i="51"/>
  <c r="W197" i="48"/>
  <c r="X197" i="48"/>
  <c r="S196" i="51"/>
  <c r="W196" i="48"/>
  <c r="X196" i="48"/>
  <c r="S195" i="51"/>
  <c r="S193" i="51"/>
  <c r="W193" i="48"/>
  <c r="X193" i="48"/>
  <c r="S192" i="19"/>
  <c r="S192" i="51"/>
  <c r="W192" i="48"/>
  <c r="X192" i="48"/>
  <c r="M191" i="45"/>
  <c r="S191" i="19"/>
  <c r="S191" i="51"/>
  <c r="W191" i="48"/>
  <c r="X191" i="48"/>
  <c r="M190" i="45"/>
  <c r="U190" i="19"/>
  <c r="D190" i="51"/>
  <c r="AI3" i="34" s="1"/>
  <c r="W190" i="48"/>
  <c r="X190" i="48"/>
  <c r="M189" i="45"/>
  <c r="S189" i="19"/>
  <c r="W189" i="48"/>
  <c r="X189" i="48"/>
  <c r="M188" i="45"/>
  <c r="S188" i="51"/>
  <c r="W188" i="48"/>
  <c r="X188" i="48"/>
  <c r="M187" i="45"/>
  <c r="S187" i="19"/>
  <c r="S187" i="51"/>
  <c r="W187" i="48"/>
  <c r="X187" i="48"/>
  <c r="M186" i="45"/>
  <c r="S186" i="19"/>
  <c r="S186" i="51"/>
  <c r="W186" i="48"/>
  <c r="X186" i="48"/>
  <c r="M185" i="45"/>
  <c r="S185" i="19"/>
  <c r="S185" i="51"/>
  <c r="W185" i="48"/>
  <c r="X185" i="48"/>
  <c r="M184" i="45"/>
  <c r="U184" i="19"/>
  <c r="S184" i="51"/>
  <c r="W184" i="48"/>
  <c r="X184" i="48"/>
  <c r="M182" i="45"/>
  <c r="W182" i="48"/>
  <c r="X182" i="48"/>
  <c r="S159" i="51"/>
  <c r="S157" i="51"/>
  <c r="S146" i="51"/>
  <c r="S142" i="51"/>
  <c r="S182" i="51"/>
  <c r="M181" i="45"/>
  <c r="S181" i="19"/>
  <c r="S181" i="51"/>
  <c r="X181" i="48"/>
  <c r="W181" i="48"/>
  <c r="M180" i="45"/>
  <c r="S180" i="19"/>
  <c r="S180" i="51"/>
  <c r="W180" i="48"/>
  <c r="X180" i="48"/>
  <c r="M179" i="45"/>
  <c r="S179" i="19"/>
  <c r="S179" i="51"/>
  <c r="W179" i="48"/>
  <c r="X179" i="48"/>
  <c r="M178" i="45"/>
  <c r="U178" i="19"/>
  <c r="S178" i="19"/>
  <c r="S178" i="51"/>
  <c r="X178" i="48"/>
  <c r="W178" i="48"/>
  <c r="M175" i="45"/>
  <c r="M176" i="45"/>
  <c r="W176" i="48"/>
  <c r="X176" i="48"/>
  <c r="S176" i="19"/>
  <c r="S176" i="51"/>
  <c r="S175" i="19"/>
  <c r="S175" i="51"/>
  <c r="X175" i="48"/>
  <c r="W175" i="48"/>
  <c r="M174" i="45"/>
  <c r="S174" i="19"/>
  <c r="S174" i="51"/>
  <c r="W174" i="48"/>
  <c r="X174" i="48"/>
  <c r="M173" i="45"/>
  <c r="S173" i="19"/>
  <c r="S173" i="51"/>
  <c r="W173" i="48"/>
  <c r="X173" i="48"/>
  <c r="D172" i="45"/>
  <c r="AF2" i="34" s="1"/>
  <c r="M172" i="45"/>
  <c r="U172" i="19"/>
  <c r="S172" i="19"/>
  <c r="S172" i="51"/>
  <c r="W172" i="48"/>
  <c r="X172" i="48"/>
  <c r="M170" i="45"/>
  <c r="W170" i="48"/>
  <c r="X170" i="48"/>
  <c r="S170" i="19"/>
  <c r="M169" i="45"/>
  <c r="W169" i="48"/>
  <c r="X169" i="48"/>
  <c r="S169" i="19"/>
  <c r="S169" i="51"/>
  <c r="M168" i="45"/>
  <c r="S168" i="19"/>
  <c r="S168" i="51"/>
  <c r="X168" i="48"/>
  <c r="W168" i="48"/>
  <c r="M167" i="45"/>
  <c r="S167" i="19"/>
  <c r="S167" i="51"/>
  <c r="W167" i="48"/>
  <c r="X167" i="48"/>
  <c r="M166" i="45"/>
  <c r="D166" i="45"/>
  <c r="AE2" i="34" s="1"/>
  <c r="W166" i="48"/>
  <c r="X166" i="48"/>
  <c r="U166" i="19"/>
  <c r="S166" i="19"/>
  <c r="S166" i="51"/>
  <c r="M164" i="45"/>
  <c r="M163" i="45"/>
  <c r="S164" i="19"/>
  <c r="S163" i="19"/>
  <c r="S163" i="51"/>
  <c r="W163" i="48"/>
  <c r="X163" i="48"/>
  <c r="M162" i="45"/>
  <c r="W162" i="48"/>
  <c r="X162" i="48"/>
  <c r="S162" i="19"/>
  <c r="S162" i="51"/>
  <c r="M161" i="45"/>
  <c r="W161" i="48"/>
  <c r="X161" i="48"/>
  <c r="S161" i="19"/>
  <c r="S161" i="51"/>
  <c r="M160" i="45"/>
  <c r="U160" i="19"/>
  <c r="S160" i="19"/>
  <c r="S160" i="51"/>
  <c r="X160" i="48"/>
  <c r="W160" i="48"/>
  <c r="X159" i="48"/>
  <c r="W159" i="48"/>
  <c r="M158" i="45"/>
  <c r="W158" i="48"/>
  <c r="X158" i="48"/>
  <c r="S158" i="19"/>
  <c r="S158" i="51"/>
  <c r="M157" i="45"/>
  <c r="S157" i="19"/>
  <c r="X157" i="48"/>
  <c r="W157" i="48"/>
  <c r="X156" i="48"/>
  <c r="W156" i="48"/>
  <c r="S156" i="51"/>
  <c r="M156" i="45"/>
  <c r="S156" i="19"/>
  <c r="M155" i="45"/>
  <c r="S155" i="19"/>
  <c r="X155" i="48"/>
  <c r="W155" i="48"/>
  <c r="S155" i="51"/>
  <c r="M154" i="45"/>
  <c r="D154" i="45"/>
  <c r="AC2" i="34" s="1"/>
  <c r="U154" i="19"/>
  <c r="S154" i="19"/>
  <c r="S154" i="51"/>
  <c r="T154" i="51" s="1"/>
  <c r="X154" i="48"/>
  <c r="W154" i="48"/>
  <c r="X152" i="48"/>
  <c r="W152" i="48"/>
  <c r="S152" i="51"/>
  <c r="S152" i="19"/>
  <c r="M151" i="45"/>
  <c r="S151" i="19"/>
  <c r="S151" i="51"/>
  <c r="X151" i="48"/>
  <c r="W151" i="48"/>
  <c r="X150" i="48"/>
  <c r="W150" i="48"/>
  <c r="S150" i="51"/>
  <c r="S150" i="19"/>
  <c r="T148" i="19" s="1"/>
  <c r="M150" i="45"/>
  <c r="M149" i="45"/>
  <c r="S149" i="19"/>
  <c r="S149" i="51"/>
  <c r="X149" i="48"/>
  <c r="W149" i="48"/>
  <c r="D148" i="45"/>
  <c r="AB2" i="34" s="1"/>
  <c r="M148" i="45"/>
  <c r="U148" i="19"/>
  <c r="S148" i="19"/>
  <c r="S148" i="51"/>
  <c r="X148" i="48"/>
  <c r="W148" i="48"/>
  <c r="X146" i="48"/>
  <c r="W146" i="48"/>
  <c r="M146" i="45"/>
  <c r="X145" i="48"/>
  <c r="W145" i="48"/>
  <c r="S145" i="19"/>
  <c r="S145" i="51"/>
  <c r="M145" i="45"/>
  <c r="M144" i="45"/>
  <c r="S144" i="19"/>
  <c r="S144" i="51"/>
  <c r="W144" i="48"/>
  <c r="X144" i="48"/>
  <c r="U142" i="19"/>
  <c r="S142" i="19"/>
  <c r="S143" i="51"/>
  <c r="M142" i="45"/>
  <c r="W143" i="48"/>
  <c r="X143" i="48"/>
  <c r="X142" i="48"/>
  <c r="W142" i="48"/>
  <c r="X141" i="48"/>
  <c r="W141" i="48"/>
  <c r="W140" i="48"/>
  <c r="X140" i="48"/>
  <c r="M140" i="45"/>
  <c r="S140" i="51"/>
  <c r="M139" i="45"/>
  <c r="S138" i="51"/>
  <c r="W139" i="48"/>
  <c r="X139" i="48"/>
  <c r="W138" i="48"/>
  <c r="X138" i="48"/>
  <c r="U226" i="51"/>
  <c r="U34" i="51"/>
  <c r="U10" i="51"/>
  <c r="U196" i="51"/>
  <c r="U190" i="51"/>
  <c r="U184" i="51"/>
  <c r="U178" i="51"/>
  <c r="U172" i="51"/>
  <c r="U154" i="51"/>
  <c r="U112" i="51"/>
  <c r="U94" i="51"/>
  <c r="U40" i="51"/>
  <c r="U220" i="51"/>
  <c r="U28" i="51"/>
  <c r="U214" i="51"/>
  <c r="U4" i="51"/>
  <c r="U208" i="51"/>
  <c r="U16" i="51"/>
  <c r="U124" i="51"/>
  <c r="U106" i="51"/>
  <c r="U202" i="51"/>
  <c r="U160" i="51"/>
  <c r="U142" i="51"/>
  <c r="U130" i="51"/>
  <c r="U70" i="51"/>
  <c r="U46" i="51"/>
  <c r="U136" i="51"/>
  <c r="U118" i="51"/>
  <c r="U166" i="51"/>
  <c r="U148" i="51"/>
  <c r="U100" i="51"/>
  <c r="U82" i="51"/>
  <c r="U52" i="51"/>
  <c r="U88" i="51"/>
  <c r="U64" i="51"/>
  <c r="U58" i="51"/>
  <c r="U76" i="51"/>
  <c r="M138" i="45"/>
  <c r="M137" i="45"/>
  <c r="M136" i="45"/>
  <c r="S137" i="19"/>
  <c r="S136" i="19"/>
  <c r="X137" i="48"/>
  <c r="W137" i="48"/>
  <c r="W136" i="48"/>
  <c r="X136" i="48"/>
  <c r="W121" i="48"/>
  <c r="X121" i="48"/>
  <c r="M135" i="45"/>
  <c r="W135" i="48"/>
  <c r="X135" i="48"/>
  <c r="M134" i="45"/>
  <c r="W134" i="48"/>
  <c r="X134" i="48"/>
  <c r="S134" i="19"/>
  <c r="S134" i="51"/>
  <c r="W133" i="48"/>
  <c r="X133" i="48"/>
  <c r="S133" i="19"/>
  <c r="S133" i="51"/>
  <c r="D130" i="45"/>
  <c r="Y2" i="34" s="1"/>
  <c r="S132" i="19"/>
  <c r="S132" i="51"/>
  <c r="W132" i="48"/>
  <c r="X132" i="48"/>
  <c r="S131" i="51"/>
  <c r="X131" i="48"/>
  <c r="W131" i="48"/>
  <c r="S130" i="19"/>
  <c r="S130" i="51"/>
  <c r="W130" i="48"/>
  <c r="X130" i="48"/>
  <c r="M129" i="45"/>
  <c r="S129" i="19"/>
  <c r="S129" i="51"/>
  <c r="S128" i="19"/>
  <c r="S128" i="51"/>
  <c r="W128" i="48"/>
  <c r="X128" i="48"/>
  <c r="M126" i="45"/>
  <c r="M124" i="45"/>
  <c r="S126" i="19"/>
  <c r="S125" i="19"/>
  <c r="S126" i="51"/>
  <c r="S125" i="51"/>
  <c r="S124" i="51"/>
  <c r="X126" i="48"/>
  <c r="W126" i="48"/>
  <c r="W125" i="48"/>
  <c r="X125" i="48"/>
  <c r="W124" i="48"/>
  <c r="X124" i="48"/>
  <c r="M122" i="45"/>
  <c r="S122" i="19"/>
  <c r="S122" i="51"/>
  <c r="X122" i="48"/>
  <c r="W122" i="48"/>
  <c r="D112" i="45"/>
  <c r="V2" i="34" s="1"/>
  <c r="S3" i="48"/>
  <c r="F106" i="48"/>
  <c r="U4" i="34" s="1"/>
  <c r="G58" i="48"/>
  <c r="AA22" i="48"/>
  <c r="K3" i="48"/>
  <c r="Y3" i="48" s="1"/>
  <c r="G154" i="48"/>
  <c r="U3" i="48"/>
  <c r="W2" i="3" s="1"/>
  <c r="F226" i="48"/>
  <c r="AO4" i="34" s="1"/>
  <c r="AO6" i="34" s="1"/>
  <c r="M3" i="48"/>
  <c r="AA46" i="48"/>
  <c r="G34" i="48"/>
  <c r="AA88" i="48"/>
  <c r="E100" i="45"/>
  <c r="Q3" i="48"/>
  <c r="E40" i="45"/>
  <c r="T34" i="19"/>
  <c r="I3" i="48"/>
  <c r="M2" i="3" s="1"/>
  <c r="AA10" i="48"/>
  <c r="N208" i="45"/>
  <c r="N124" i="45"/>
  <c r="N118" i="45"/>
  <c r="N154" i="45"/>
  <c r="N220" i="45"/>
  <c r="D208" i="45"/>
  <c r="AL2" i="34" s="1"/>
  <c r="D202" i="45"/>
  <c r="AK2" i="34" s="1"/>
  <c r="N4" i="45"/>
  <c r="E208" i="45"/>
  <c r="E214" i="45"/>
  <c r="T28" i="19"/>
  <c r="D76" i="19"/>
  <c r="P5" i="34" s="1"/>
  <c r="E208" i="19"/>
  <c r="T202" i="19"/>
  <c r="D208" i="19"/>
  <c r="AL5" i="34" s="1"/>
  <c r="D88" i="19"/>
  <c r="R5" i="34" s="1"/>
  <c r="T22" i="19"/>
  <c r="D10" i="19"/>
  <c r="E5" i="34" s="1"/>
  <c r="D154" i="19"/>
  <c r="AC5" i="34" s="1"/>
  <c r="R19" i="19"/>
  <c r="T208" i="19"/>
  <c r="D100" i="19"/>
  <c r="T5" i="34" s="1"/>
  <c r="T220" i="51"/>
  <c r="T10" i="51"/>
  <c r="T202" i="51"/>
  <c r="D136" i="51"/>
  <c r="Z3" i="34" s="1"/>
  <c r="D40" i="51"/>
  <c r="J3" i="34" s="1"/>
  <c r="T16" i="51"/>
  <c r="D166" i="51"/>
  <c r="AE3" i="34" s="1"/>
  <c r="D76" i="51"/>
  <c r="P3" i="34" s="1"/>
  <c r="E208" i="51"/>
  <c r="D88" i="51"/>
  <c r="R3" i="34" s="1"/>
  <c r="D10" i="51"/>
  <c r="E3" i="34" s="1"/>
  <c r="E10" i="51"/>
  <c r="D46" i="51"/>
  <c r="K3" i="34" s="1"/>
  <c r="G76" i="48"/>
  <c r="F148" i="48"/>
  <c r="AB4" i="34" s="1"/>
  <c r="K3" i="19"/>
  <c r="Q5" i="3" s="1"/>
  <c r="R5" i="3" s="1"/>
  <c r="N184" i="45"/>
  <c r="D184" i="45"/>
  <c r="AH2" i="34" s="1"/>
  <c r="E184" i="45"/>
  <c r="T184" i="19"/>
  <c r="D178" i="19"/>
  <c r="AG5" i="34" s="1"/>
  <c r="N178" i="45"/>
  <c r="E172" i="45"/>
  <c r="T172" i="19"/>
  <c r="N172" i="45"/>
  <c r="N166" i="45"/>
  <c r="T166" i="19"/>
  <c r="E166" i="19"/>
  <c r="R166" i="51"/>
  <c r="E160" i="51"/>
  <c r="N160" i="45"/>
  <c r="T160" i="19"/>
  <c r="T154" i="19"/>
  <c r="E148" i="45"/>
  <c r="N148" i="45"/>
  <c r="N142" i="45"/>
  <c r="T142" i="19"/>
  <c r="D142" i="19"/>
  <c r="AA5" i="34" s="1"/>
  <c r="D136" i="19"/>
  <c r="Z5" i="34" s="1"/>
  <c r="E136" i="45"/>
  <c r="T136" i="19"/>
  <c r="N130" i="45"/>
  <c r="T130" i="19"/>
  <c r="D124" i="51"/>
  <c r="X3" i="34" s="1"/>
  <c r="T124" i="19"/>
  <c r="D136" i="45"/>
  <c r="Z2" i="34" s="1"/>
  <c r="N136" i="45"/>
  <c r="D124" i="45"/>
  <c r="X2" i="34" s="1"/>
  <c r="F166" i="48"/>
  <c r="AE4" i="34" s="1"/>
  <c r="G4" i="48"/>
  <c r="G148" i="48"/>
  <c r="O3" i="48"/>
  <c r="AA166" i="48"/>
  <c r="F190" i="48"/>
  <c r="AI4" i="34" s="1"/>
  <c r="G16" i="48"/>
  <c r="G10" i="48"/>
  <c r="G124" i="48"/>
  <c r="AA226" i="48"/>
  <c r="AA220" i="48"/>
  <c r="G88" i="48"/>
  <c r="AA4" i="48"/>
  <c r="F34" i="48"/>
  <c r="I4" i="34" s="1"/>
  <c r="AA214" i="48"/>
  <c r="F76" i="48"/>
  <c r="P4" i="34" s="1"/>
  <c r="F58" i="48"/>
  <c r="M4" i="34" s="1"/>
  <c r="F178" i="48"/>
  <c r="AG4" i="34" s="1"/>
  <c r="AA208" i="48"/>
  <c r="F88" i="48"/>
  <c r="R4" i="34" s="1"/>
  <c r="F154" i="48"/>
  <c r="AC4" i="34" s="1"/>
  <c r="G226" i="48"/>
  <c r="G214" i="48"/>
  <c r="AA172" i="48"/>
  <c r="D118" i="19"/>
  <c r="W5" i="34" s="1"/>
  <c r="D118" i="51"/>
  <c r="W3" i="34" s="1"/>
  <c r="D118" i="45"/>
  <c r="W2" i="34" s="1"/>
  <c r="E118" i="45"/>
  <c r="T118" i="19"/>
  <c r="E112" i="45"/>
  <c r="T112" i="19"/>
  <c r="T106" i="19"/>
  <c r="N106" i="45"/>
  <c r="D100" i="45"/>
  <c r="T2" i="34" s="1"/>
  <c r="N100" i="45"/>
  <c r="T100" i="19"/>
  <c r="D94" i="45"/>
  <c r="S2" i="34" s="1"/>
  <c r="T94" i="19"/>
  <c r="N88" i="45"/>
  <c r="T88" i="19"/>
  <c r="N82" i="45"/>
  <c r="D82" i="45"/>
  <c r="Q2" i="34" s="1"/>
  <c r="T82" i="19"/>
  <c r="N76" i="45"/>
  <c r="O3" i="19"/>
  <c r="U5" i="3" s="1"/>
  <c r="D76" i="45"/>
  <c r="P2" i="34" s="1"/>
  <c r="T76" i="19"/>
  <c r="E70" i="45"/>
  <c r="T70" i="19"/>
  <c r="N70" i="45"/>
  <c r="F64" i="48"/>
  <c r="N4" i="34" s="1"/>
  <c r="T64" i="19"/>
  <c r="D64" i="45"/>
  <c r="N2" i="34" s="1"/>
  <c r="E64" i="45"/>
  <c r="N64" i="45"/>
  <c r="E58" i="45"/>
  <c r="D58" i="45"/>
  <c r="M2" i="34" s="1"/>
  <c r="T58" i="19"/>
  <c r="N58" i="45"/>
  <c r="E52" i="45"/>
  <c r="D52" i="51"/>
  <c r="L3" i="34" s="1"/>
  <c r="N52" i="45"/>
  <c r="T52" i="19"/>
  <c r="F46" i="48"/>
  <c r="K4" i="34" s="1"/>
  <c r="D46" i="45"/>
  <c r="K2" i="34" s="1"/>
  <c r="T40" i="19"/>
  <c r="N40" i="45"/>
  <c r="Q3" i="19"/>
  <c r="W5" i="3" s="1"/>
  <c r="X5" i="3" s="1"/>
  <c r="D34" i="19"/>
  <c r="I5" i="34" s="1"/>
  <c r="Z3" i="48"/>
  <c r="N34" i="45"/>
  <c r="D28" i="51"/>
  <c r="H3" i="34" s="1"/>
  <c r="AA28" i="48"/>
  <c r="D28" i="45"/>
  <c r="H2" i="34" s="1"/>
  <c r="I3" i="45"/>
  <c r="O6" i="3" s="1"/>
  <c r="F28" i="48"/>
  <c r="H4" i="34" s="1"/>
  <c r="N28" i="45"/>
  <c r="G22" i="48"/>
  <c r="D100" i="51"/>
  <c r="T3" i="34" s="1"/>
  <c r="E202" i="51"/>
  <c r="D22" i="51"/>
  <c r="G3" i="34" s="1"/>
  <c r="D160" i="51"/>
  <c r="AD3" i="34" s="1"/>
  <c r="D214" i="51"/>
  <c r="AM3" i="34" s="1"/>
  <c r="D4" i="51"/>
  <c r="D3" i="34" s="1"/>
  <c r="K3" i="51"/>
  <c r="Q4" i="3" s="1"/>
  <c r="D202" i="51"/>
  <c r="AK3" i="34" s="1"/>
  <c r="T196" i="51"/>
  <c r="T208" i="51"/>
  <c r="T214" i="51"/>
  <c r="T226" i="51"/>
  <c r="T22" i="51"/>
  <c r="E76" i="51"/>
  <c r="E148" i="51"/>
  <c r="D58" i="51"/>
  <c r="M3" i="34" s="1"/>
  <c r="E16" i="51"/>
  <c r="R229" i="51"/>
  <c r="E220" i="51"/>
  <c r="D130" i="51"/>
  <c r="Y3" i="34" s="1"/>
  <c r="T172" i="51"/>
  <c r="D112" i="51"/>
  <c r="V3" i="34" s="1"/>
  <c r="D226" i="51"/>
  <c r="AO3" i="34" s="1"/>
  <c r="D142" i="51"/>
  <c r="AA3" i="34" s="1"/>
  <c r="E226" i="51"/>
  <c r="D220" i="51"/>
  <c r="AN3" i="34" s="1"/>
  <c r="E214" i="51"/>
  <c r="D208" i="51"/>
  <c r="AL3" i="34" s="1"/>
  <c r="E22" i="51"/>
  <c r="T34" i="51"/>
  <c r="D34" i="51"/>
  <c r="I3" i="34" s="1"/>
  <c r="D106" i="51"/>
  <c r="U3" i="34" s="1"/>
  <c r="D64" i="51"/>
  <c r="N3" i="34" s="1"/>
  <c r="K3" i="45"/>
  <c r="W6" i="3" s="1"/>
  <c r="X6" i="3" s="1"/>
  <c r="E22" i="45"/>
  <c r="N22" i="45"/>
  <c r="E16" i="45"/>
  <c r="N16" i="45"/>
  <c r="Y2" i="3"/>
  <c r="Y7" i="3" s="1"/>
  <c r="T178" i="19"/>
  <c r="E76" i="19"/>
  <c r="T16" i="19"/>
  <c r="E88" i="19"/>
  <c r="E178" i="19"/>
  <c r="T10" i="19"/>
  <c r="E136" i="19"/>
  <c r="M3" i="19"/>
  <c r="S5" i="3" s="1"/>
  <c r="T5" i="3" s="1"/>
  <c r="E70" i="19"/>
  <c r="E202" i="19"/>
  <c r="E118" i="19"/>
  <c r="I3" i="19"/>
  <c r="O5" i="3" s="1"/>
  <c r="E10" i="19"/>
  <c r="E154" i="19"/>
  <c r="D214" i="19"/>
  <c r="AM5" i="34" s="1"/>
  <c r="E112" i="19"/>
  <c r="D94" i="19"/>
  <c r="S5" i="34" s="1"/>
  <c r="D28" i="19"/>
  <c r="H5" i="34" s="1"/>
  <c r="E130" i="19"/>
  <c r="E4" i="19"/>
  <c r="E160" i="19"/>
  <c r="D160" i="19"/>
  <c r="AD5" i="34" s="1"/>
  <c r="E124" i="19"/>
  <c r="D112" i="19"/>
  <c r="V5" i="34" s="1"/>
  <c r="E40" i="19"/>
  <c r="D16" i="19"/>
  <c r="F5" i="34" s="1"/>
  <c r="E214" i="19"/>
  <c r="D22" i="19"/>
  <c r="G5" i="34" s="1"/>
  <c r="D70" i="19"/>
  <c r="O5" i="34" s="1"/>
  <c r="D148" i="19"/>
  <c r="AB5" i="34" s="1"/>
  <c r="E100" i="19"/>
  <c r="D166" i="19"/>
  <c r="AE5" i="34" s="1"/>
  <c r="E106" i="19"/>
  <c r="E64" i="19"/>
  <c r="E94" i="19"/>
  <c r="D64" i="19"/>
  <c r="N5" i="34" s="1"/>
  <c r="D184" i="19"/>
  <c r="AH5" i="34" s="1"/>
  <c r="D46" i="19"/>
  <c r="K5" i="34" s="1"/>
  <c r="E184" i="19"/>
  <c r="E34" i="19"/>
  <c r="E52" i="19"/>
  <c r="E172" i="19"/>
  <c r="D202" i="19"/>
  <c r="AK5" i="34" s="1"/>
  <c r="E28" i="19"/>
  <c r="E46" i="19"/>
  <c r="E58" i="19"/>
  <c r="E22" i="19"/>
  <c r="D124" i="19"/>
  <c r="X5" i="34" s="1"/>
  <c r="D40" i="19"/>
  <c r="J5" i="34" s="1"/>
  <c r="E142" i="19"/>
  <c r="E148" i="19"/>
  <c r="D58" i="19"/>
  <c r="M5" i="34" s="1"/>
  <c r="E16" i="19"/>
  <c r="D106" i="19"/>
  <c r="U5" i="34" s="1"/>
  <c r="D130" i="19"/>
  <c r="Y5" i="34" s="1"/>
  <c r="D172" i="19"/>
  <c r="AF5" i="34" s="1"/>
  <c r="E82" i="19"/>
  <c r="D52" i="19"/>
  <c r="L5" i="34" s="1"/>
  <c r="E154" i="45"/>
  <c r="E82" i="45"/>
  <c r="E202" i="45"/>
  <c r="E94" i="45"/>
  <c r="E130" i="45"/>
  <c r="E28" i="45"/>
  <c r="E34" i="45"/>
  <c r="E160" i="45"/>
  <c r="E106" i="45"/>
  <c r="D70" i="45"/>
  <c r="O2" i="34" s="1"/>
  <c r="E178" i="45"/>
  <c r="E88" i="45"/>
  <c r="E46" i="45"/>
  <c r="E76" i="45"/>
  <c r="D16" i="45"/>
  <c r="F2" i="34" s="1"/>
  <c r="D52" i="45"/>
  <c r="L2" i="34" s="1"/>
  <c r="N46" i="45"/>
  <c r="D160" i="45"/>
  <c r="AD2" i="34" s="1"/>
  <c r="D220" i="45"/>
  <c r="AN2" i="34" s="1"/>
  <c r="D196" i="45"/>
  <c r="AJ2" i="34" s="1"/>
  <c r="D34" i="45"/>
  <c r="I2" i="34" s="1"/>
  <c r="D88" i="45"/>
  <c r="R2" i="34" s="1"/>
  <c r="E220" i="45"/>
  <c r="D190" i="45"/>
  <c r="AI2" i="34" s="1"/>
  <c r="D106" i="45"/>
  <c r="U2" i="34" s="1"/>
  <c r="D142" i="45"/>
  <c r="AA2" i="34" s="1"/>
  <c r="E142" i="45"/>
  <c r="G3" i="45"/>
  <c r="D214" i="45"/>
  <c r="D178" i="45"/>
  <c r="AG2" i="34" s="1"/>
  <c r="E124" i="45"/>
  <c r="E70" i="51"/>
  <c r="E4" i="51"/>
  <c r="O3" i="51"/>
  <c r="U4" i="3" s="1"/>
  <c r="V4" i="3" s="1"/>
  <c r="E154" i="51"/>
  <c r="E184" i="51"/>
  <c r="E34" i="51"/>
  <c r="E28" i="51"/>
  <c r="E46" i="51"/>
  <c r="E40" i="51"/>
  <c r="E52" i="51"/>
  <c r="E58" i="51"/>
  <c r="R61" i="51"/>
  <c r="D70" i="51"/>
  <c r="O3" i="34" s="1"/>
  <c r="E64" i="51"/>
  <c r="E82" i="51"/>
  <c r="I3" i="51"/>
  <c r="O4" i="3" s="1"/>
  <c r="P4" i="3" s="1"/>
  <c r="D82" i="51"/>
  <c r="Q3" i="34" s="1"/>
  <c r="E106" i="51"/>
  <c r="E112" i="51"/>
  <c r="D94" i="51"/>
  <c r="S3" i="34" s="1"/>
  <c r="E94" i="51"/>
  <c r="E100" i="51"/>
  <c r="E118" i="51"/>
  <c r="E124" i="51"/>
  <c r="D154" i="51"/>
  <c r="AC3" i="34" s="1"/>
  <c r="D148" i="51"/>
  <c r="AB3" i="34" s="1"/>
  <c r="E142" i="51"/>
  <c r="E136" i="51"/>
  <c r="E166" i="51"/>
  <c r="D196" i="51"/>
  <c r="AJ3" i="34" s="1"/>
  <c r="D184" i="51"/>
  <c r="AH3" i="34" s="1"/>
  <c r="G3" i="51"/>
  <c r="E178" i="51"/>
  <c r="E172" i="51"/>
  <c r="D172" i="51"/>
  <c r="AF3" i="34" s="1"/>
  <c r="E88" i="51"/>
  <c r="E130" i="51"/>
  <c r="AA10" i="52"/>
  <c r="L3" i="3"/>
  <c r="J3" i="3" s="1"/>
  <c r="H3" i="3"/>
  <c r="G40" i="48"/>
  <c r="G46" i="48"/>
  <c r="F40" i="48"/>
  <c r="F22" i="48"/>
  <c r="F4" i="48"/>
  <c r="G28" i="48"/>
  <c r="F10" i="48"/>
  <c r="F172" i="48"/>
  <c r="G166" i="48"/>
  <c r="F130" i="48"/>
  <c r="AA178" i="48"/>
  <c r="F220" i="48"/>
  <c r="AN4" i="34" s="1"/>
  <c r="G136" i="48"/>
  <c r="F70" i="48"/>
  <c r="G208" i="48"/>
  <c r="G220" i="48"/>
  <c r="G106" i="48"/>
  <c r="G118" i="48"/>
  <c r="F136" i="48"/>
  <c r="F196" i="48"/>
  <c r="AJ4" i="34" s="1"/>
  <c r="F202" i="48"/>
  <c r="AK4" i="34" s="1"/>
  <c r="G202" i="48"/>
  <c r="F118" i="48"/>
  <c r="F208" i="48"/>
  <c r="G142" i="48"/>
  <c r="F94" i="48"/>
  <c r="S4" i="34" s="1"/>
  <c r="F112" i="48"/>
  <c r="G94" i="48"/>
  <c r="G160" i="48"/>
  <c r="G70" i="48"/>
  <c r="G130" i="48"/>
  <c r="F142" i="48"/>
  <c r="F160" i="48"/>
  <c r="F124" i="48"/>
  <c r="G172" i="48"/>
  <c r="G82" i="48"/>
  <c r="G52" i="48"/>
  <c r="G178" i="48"/>
  <c r="G64" i="48"/>
  <c r="G100" i="48"/>
  <c r="F52" i="48"/>
  <c r="F82" i="48"/>
  <c r="F100" i="48"/>
  <c r="G112" i="48"/>
  <c r="G196" i="48"/>
  <c r="AA202" i="48"/>
  <c r="F184" i="48"/>
  <c r="G184" i="48"/>
  <c r="V162" i="52"/>
  <c r="V145" i="52"/>
  <c r="V80" i="52"/>
  <c r="V82" i="52"/>
  <c r="V214" i="52"/>
  <c r="V128" i="52"/>
  <c r="V104" i="52"/>
  <c r="V35" i="52"/>
  <c r="V143" i="52"/>
  <c r="V179" i="52"/>
  <c r="V124" i="52"/>
  <c r="V99" i="52"/>
  <c r="V148" i="52"/>
  <c r="V22" i="52"/>
  <c r="V140" i="52"/>
  <c r="V75" i="52"/>
  <c r="V182" i="52"/>
  <c r="V231" i="52"/>
  <c r="V155" i="52"/>
  <c r="V32" i="52"/>
  <c r="V102" i="52"/>
  <c r="V12" i="52"/>
  <c r="V10" i="52"/>
  <c r="V118" i="52"/>
  <c r="V228" i="52"/>
  <c r="V86" i="52"/>
  <c r="V57" i="52"/>
  <c r="V21" i="52"/>
  <c r="V17" i="52"/>
  <c r="V9" i="52"/>
  <c r="V157" i="52"/>
  <c r="V11" i="52"/>
  <c r="V171" i="52"/>
  <c r="V91" i="52"/>
  <c r="V133" i="52"/>
  <c r="V226" i="52"/>
  <c r="V135" i="52"/>
  <c r="V71" i="52"/>
  <c r="V180" i="52"/>
  <c r="V87" i="52"/>
  <c r="V218" i="52"/>
  <c r="V30" i="52"/>
  <c r="V100" i="52"/>
  <c r="V185" i="52"/>
  <c r="V109" i="52"/>
  <c r="V198" i="52"/>
  <c r="V220" i="52"/>
  <c r="V16" i="52"/>
  <c r="V44" i="52"/>
  <c r="V59" i="52"/>
  <c r="V68" i="52"/>
  <c r="V123" i="52"/>
  <c r="V49" i="52"/>
  <c r="V7" i="52"/>
  <c r="V122" i="52"/>
  <c r="V36" i="52"/>
  <c r="V119" i="52"/>
  <c r="V199" i="52"/>
  <c r="V131" i="52"/>
  <c r="V61" i="52"/>
  <c r="V20" i="52"/>
  <c r="V178" i="52"/>
  <c r="V212" i="52"/>
  <c r="V8" i="52"/>
  <c r="V6" i="52"/>
  <c r="V81" i="52"/>
  <c r="V201" i="52"/>
  <c r="V107" i="52"/>
  <c r="V230" i="52"/>
  <c r="V55" i="52"/>
  <c r="V208" i="52"/>
  <c r="V154" i="52"/>
  <c r="V39" i="52"/>
  <c r="V137" i="52"/>
  <c r="V113" i="52"/>
  <c r="V194" i="52"/>
  <c r="V207" i="52"/>
  <c r="V126" i="52"/>
  <c r="V51" i="52"/>
  <c r="V114" i="52"/>
  <c r="V78" i="52"/>
  <c r="V170" i="52"/>
  <c r="V62" i="52"/>
  <c r="V153" i="52"/>
  <c r="V166" i="52"/>
  <c r="V205" i="52"/>
  <c r="V217" i="52"/>
  <c r="V105" i="52"/>
  <c r="V224" i="52"/>
  <c r="V88" i="52"/>
  <c r="V176" i="52"/>
  <c r="V190" i="52"/>
  <c r="V47" i="52"/>
  <c r="V112" i="52"/>
  <c r="V53" i="52"/>
  <c r="V163" i="52"/>
  <c r="V216" i="52"/>
  <c r="V28" i="52"/>
  <c r="V43" i="52"/>
  <c r="V147" i="52"/>
  <c r="V45" i="52"/>
  <c r="V151" i="52"/>
  <c r="V70" i="52"/>
  <c r="V213" i="52"/>
  <c r="V64" i="52"/>
  <c r="V149" i="52"/>
  <c r="V94" i="52"/>
  <c r="V197" i="52"/>
  <c r="V116" i="52"/>
  <c r="V146" i="52"/>
  <c r="V121" i="52"/>
  <c r="V115" i="52"/>
  <c r="V4" i="52"/>
  <c r="V215" i="52"/>
  <c r="V164" i="52"/>
  <c r="V52" i="52"/>
  <c r="V73" i="52"/>
  <c r="V97" i="52"/>
  <c r="V31" i="52"/>
  <c r="V89" i="52"/>
  <c r="V181" i="52"/>
  <c r="V202" i="52"/>
  <c r="V23" i="52"/>
  <c r="V83" i="52"/>
  <c r="V111" i="52"/>
  <c r="V223" i="52"/>
  <c r="V211" i="52"/>
  <c r="V209" i="52"/>
  <c r="V48" i="52"/>
  <c r="V125" i="52"/>
  <c r="V5" i="52"/>
  <c r="V152" i="52"/>
  <c r="V186" i="52"/>
  <c r="V26" i="52"/>
  <c r="V84" i="52"/>
  <c r="V108" i="52"/>
  <c r="V42" i="52"/>
  <c r="V136" i="52"/>
  <c r="V161" i="52"/>
  <c r="V40" i="52"/>
  <c r="V38" i="52"/>
  <c r="V195" i="52"/>
  <c r="V130" i="52"/>
  <c r="V96" i="52"/>
  <c r="V204" i="52"/>
  <c r="V67" i="52"/>
  <c r="V92" i="52"/>
  <c r="V188" i="52"/>
  <c r="V117" i="52"/>
  <c r="V41" i="52"/>
  <c r="V167" i="52"/>
  <c r="V79" i="52"/>
  <c r="V103" i="52"/>
  <c r="V37" i="52"/>
  <c r="V193" i="52"/>
  <c r="V77" i="52"/>
  <c r="V174" i="52"/>
  <c r="V158" i="52"/>
  <c r="V189" i="52"/>
  <c r="V24" i="52"/>
  <c r="V76" i="52"/>
  <c r="V200" i="52"/>
  <c r="V156" i="52"/>
  <c r="V173" i="52"/>
  <c r="V90" i="52"/>
  <c r="V206" i="52"/>
  <c r="V141" i="52"/>
  <c r="V95" i="52"/>
  <c r="V25" i="52"/>
  <c r="V187" i="52"/>
  <c r="V144" i="52"/>
  <c r="V74" i="52"/>
  <c r="V98" i="52"/>
  <c r="V165" i="52"/>
  <c r="V142" i="52"/>
  <c r="V172" i="52"/>
  <c r="V54" i="52"/>
  <c r="V169" i="52"/>
  <c r="V221" i="52"/>
  <c r="V33" i="52"/>
  <c r="V196" i="52"/>
  <c r="V50" i="52"/>
  <c r="V192" i="52"/>
  <c r="V46" i="52"/>
  <c r="V85" i="52"/>
  <c r="V56" i="52"/>
  <c r="V175" i="52"/>
  <c r="V139" i="52"/>
  <c r="V69" i="52"/>
  <c r="V19" i="52"/>
  <c r="V138" i="52"/>
  <c r="V210" i="52"/>
  <c r="V227" i="52"/>
  <c r="V132" i="52"/>
  <c r="V177" i="52"/>
  <c r="V184" i="52"/>
  <c r="V203" i="52"/>
  <c r="V222" i="52"/>
  <c r="V168" i="52"/>
  <c r="V110" i="52"/>
  <c r="V63" i="52"/>
  <c r="V13" i="52"/>
  <c r="V150" i="52"/>
  <c r="V134" i="52"/>
  <c r="V65" i="52"/>
  <c r="V66" i="52"/>
  <c r="V14" i="52"/>
  <c r="V18" i="52"/>
  <c r="V229" i="52"/>
  <c r="V58" i="52"/>
  <c r="V15" i="52"/>
  <c r="V160" i="52"/>
  <c r="V29" i="52"/>
  <c r="V93" i="52"/>
  <c r="V27" i="52"/>
  <c r="F1" i="45"/>
  <c r="L154" i="45" s="1"/>
  <c r="V129" i="52"/>
  <c r="V60" i="52"/>
  <c r="V191" i="52"/>
  <c r="V127" i="52"/>
  <c r="V106" i="52"/>
  <c r="V34" i="52"/>
  <c r="V159" i="52"/>
  <c r="V225" i="52"/>
  <c r="V183" i="52"/>
  <c r="V219" i="52"/>
  <c r="V72" i="52"/>
  <c r="V120" i="52"/>
  <c r="Y3" i="52"/>
  <c r="AA106" i="52"/>
  <c r="AA100" i="52"/>
  <c r="W3" i="52"/>
  <c r="V3" i="52"/>
  <c r="F3" i="52"/>
  <c r="G3" i="52"/>
  <c r="AA16" i="52"/>
  <c r="AA22" i="52"/>
  <c r="X3" i="52"/>
  <c r="AA34" i="52"/>
  <c r="AA76" i="52"/>
  <c r="AA52" i="52"/>
  <c r="AA118" i="52"/>
  <c r="R69" i="51"/>
  <c r="R93" i="51"/>
  <c r="R89" i="51"/>
  <c r="R26" i="51"/>
  <c r="R122" i="51"/>
  <c r="R56" i="51"/>
  <c r="R226" i="51"/>
  <c r="R158" i="51"/>
  <c r="R38" i="51"/>
  <c r="R198" i="51"/>
  <c r="R124" i="51"/>
  <c r="R210" i="51"/>
  <c r="R150" i="51"/>
  <c r="R101" i="51"/>
  <c r="R228" i="51"/>
  <c r="R21" i="51"/>
  <c r="R59" i="51"/>
  <c r="R214" i="19"/>
  <c r="R57" i="19"/>
  <c r="R52" i="19"/>
  <c r="R211" i="19"/>
  <c r="R89" i="19"/>
  <c r="R137" i="19"/>
  <c r="R70" i="19"/>
  <c r="R23" i="19"/>
  <c r="R66" i="19"/>
  <c r="R140" i="19"/>
  <c r="R82" i="19"/>
  <c r="R37" i="19"/>
  <c r="R212" i="19"/>
  <c r="R211" i="51"/>
  <c r="R27" i="51"/>
  <c r="R72" i="51"/>
  <c r="R131" i="51"/>
  <c r="R6" i="51"/>
  <c r="R135" i="51"/>
  <c r="R187" i="51"/>
  <c r="R64" i="51"/>
  <c r="V64" i="51" s="1"/>
  <c r="R9" i="51"/>
  <c r="R91" i="51"/>
  <c r="R52" i="51"/>
  <c r="R78" i="51"/>
  <c r="R136" i="51"/>
  <c r="R79" i="51"/>
  <c r="R221" i="51"/>
  <c r="R169" i="51"/>
  <c r="R173" i="51"/>
  <c r="R80" i="51"/>
  <c r="R45" i="51"/>
  <c r="R189" i="51"/>
  <c r="R224" i="51"/>
  <c r="R212" i="51"/>
  <c r="R222" i="51"/>
  <c r="R95" i="51"/>
  <c r="R29" i="51"/>
  <c r="R54" i="51"/>
  <c r="R147" i="51"/>
  <c r="R19" i="51"/>
  <c r="R218" i="51"/>
  <c r="R171" i="51"/>
  <c r="R35" i="51"/>
  <c r="R137" i="51"/>
  <c r="R151" i="51"/>
  <c r="R100" i="51"/>
  <c r="R196" i="19"/>
  <c r="R88" i="19"/>
  <c r="R97" i="19"/>
  <c r="R62" i="19"/>
  <c r="R55" i="19"/>
  <c r="R205" i="19"/>
  <c r="R102" i="19"/>
  <c r="R175" i="19"/>
  <c r="R114" i="19"/>
  <c r="R228" i="19"/>
  <c r="R162" i="19"/>
  <c r="R4" i="19"/>
  <c r="R68" i="19"/>
  <c r="R224" i="19"/>
  <c r="R36" i="19"/>
  <c r="R100" i="19"/>
  <c r="R143" i="19"/>
  <c r="R79" i="19"/>
  <c r="R13" i="19"/>
  <c r="R150" i="19"/>
  <c r="R218" i="19"/>
  <c r="R56" i="19"/>
  <c r="R44" i="19"/>
  <c r="R215" i="19"/>
  <c r="R185" i="19"/>
  <c r="R221" i="19"/>
  <c r="R41" i="19"/>
  <c r="R21" i="19"/>
  <c r="R27" i="19"/>
  <c r="R178" i="19"/>
  <c r="R112" i="19"/>
  <c r="R22" i="19"/>
  <c r="R210" i="19"/>
  <c r="R201" i="19"/>
  <c r="R65" i="19"/>
  <c r="R121" i="19"/>
  <c r="R181" i="19"/>
  <c r="R167" i="19"/>
  <c r="R53" i="19"/>
  <c r="D196" i="19"/>
  <c r="AJ5" i="34" s="1"/>
  <c r="E196" i="19"/>
  <c r="Q3" i="51"/>
  <c r="W4" i="3" s="1"/>
  <c r="X4" i="3" s="1"/>
  <c r="E196" i="51"/>
  <c r="T196" i="19"/>
  <c r="AA196" i="48"/>
  <c r="N196" i="45"/>
  <c r="E196" i="45"/>
  <c r="E190" i="45"/>
  <c r="R193" i="51"/>
  <c r="R194" i="51"/>
  <c r="M3" i="51"/>
  <c r="S4" i="3" s="1"/>
  <c r="T4" i="3" s="1"/>
  <c r="E190" i="51"/>
  <c r="D190" i="19"/>
  <c r="AA190" i="48"/>
  <c r="G190" i="48"/>
  <c r="N190" i="45"/>
  <c r="E190" i="19"/>
  <c r="R190" i="19"/>
  <c r="G3" i="19"/>
  <c r="X2" i="3"/>
  <c r="T2" i="3"/>
  <c r="H1" i="48"/>
  <c r="V2" i="3"/>
  <c r="P2" i="3"/>
  <c r="R23" i="51"/>
  <c r="R86" i="51"/>
  <c r="R22" i="51"/>
  <c r="R201" i="51"/>
  <c r="R230" i="51"/>
  <c r="R186" i="51"/>
  <c r="R57" i="51"/>
  <c r="R117" i="51"/>
  <c r="R188" i="51"/>
  <c r="R103" i="51"/>
  <c r="R146" i="51"/>
  <c r="R195" i="51"/>
  <c r="R202" i="51"/>
  <c r="R51" i="51"/>
  <c r="R128" i="51"/>
  <c r="R73" i="51"/>
  <c r="R75" i="51"/>
  <c r="R13" i="51"/>
  <c r="R199" i="51"/>
  <c r="R225" i="51"/>
  <c r="R30" i="51"/>
  <c r="R90" i="51"/>
  <c r="R207" i="51"/>
  <c r="R130" i="51"/>
  <c r="R53" i="51"/>
  <c r="R132" i="51"/>
  <c r="R159" i="51"/>
  <c r="R111" i="51"/>
  <c r="R33" i="51"/>
  <c r="R142" i="51"/>
  <c r="R68" i="51"/>
  <c r="R66" i="51"/>
  <c r="R197" i="51"/>
  <c r="R165" i="51"/>
  <c r="R87" i="51"/>
  <c r="R154" i="51"/>
  <c r="R102" i="51"/>
  <c r="R12" i="51"/>
  <c r="R44" i="51"/>
  <c r="R76" i="51"/>
  <c r="R196" i="51"/>
  <c r="R71" i="51"/>
  <c r="R175" i="51"/>
  <c r="R58" i="51"/>
  <c r="R104" i="51"/>
  <c r="R231" i="51"/>
  <c r="R46" i="51"/>
  <c r="R215" i="51"/>
  <c r="R114" i="51"/>
  <c r="R14" i="51"/>
  <c r="R152" i="51"/>
  <c r="R15" i="51"/>
  <c r="R172" i="51"/>
  <c r="R220" i="51"/>
  <c r="R133" i="51"/>
  <c r="R74" i="51"/>
  <c r="R65" i="51"/>
  <c r="R178" i="51"/>
  <c r="R170" i="51"/>
  <c r="R183" i="51"/>
  <c r="R227" i="51"/>
  <c r="R179" i="51"/>
  <c r="R32" i="51"/>
  <c r="R110" i="51"/>
  <c r="R4" i="51"/>
  <c r="R219" i="51"/>
  <c r="R160" i="51"/>
  <c r="R206" i="51"/>
  <c r="R55" i="51"/>
  <c r="R174" i="51"/>
  <c r="R77" i="51"/>
  <c r="R43" i="51"/>
  <c r="R24" i="51"/>
  <c r="R204" i="51"/>
  <c r="R62" i="51"/>
  <c r="R182" i="51"/>
  <c r="R167" i="51"/>
  <c r="R50" i="51"/>
  <c r="R138" i="51"/>
  <c r="R185" i="51"/>
  <c r="R119" i="51"/>
  <c r="R39" i="51"/>
  <c r="R208" i="51"/>
  <c r="R156" i="51"/>
  <c r="R11" i="51"/>
  <c r="R84" i="51"/>
  <c r="R168" i="51"/>
  <c r="R120" i="51"/>
  <c r="R139" i="51"/>
  <c r="R60" i="51"/>
  <c r="R109" i="51"/>
  <c r="R162" i="51"/>
  <c r="R180" i="51"/>
  <c r="R85" i="51"/>
  <c r="R97" i="51"/>
  <c r="R112" i="51"/>
  <c r="R200" i="51"/>
  <c r="R10" i="51"/>
  <c r="R113" i="51"/>
  <c r="R164" i="51"/>
  <c r="R177" i="51"/>
  <c r="R140" i="51"/>
  <c r="R126" i="51"/>
  <c r="R5" i="51"/>
  <c r="R16" i="51"/>
  <c r="R81" i="51"/>
  <c r="R36" i="51"/>
  <c r="R17" i="51"/>
  <c r="R145" i="51"/>
  <c r="R105" i="51"/>
  <c r="R121" i="51"/>
  <c r="R161" i="51"/>
  <c r="R192" i="51"/>
  <c r="R28" i="51"/>
  <c r="R88" i="51"/>
  <c r="R31" i="51"/>
  <c r="R148" i="51"/>
  <c r="R205" i="51"/>
  <c r="R181" i="51"/>
  <c r="R63" i="51"/>
  <c r="R108" i="51"/>
  <c r="R118" i="51"/>
  <c r="R214" i="51"/>
  <c r="R163" i="51"/>
  <c r="R127" i="51"/>
  <c r="R115" i="51"/>
  <c r="R129" i="51"/>
  <c r="R116" i="51"/>
  <c r="R98" i="51"/>
  <c r="R107" i="51"/>
  <c r="R49" i="51"/>
  <c r="R40" i="51"/>
  <c r="R94" i="51"/>
  <c r="R8" i="51"/>
  <c r="R134" i="51"/>
  <c r="R48" i="51"/>
  <c r="R203" i="51"/>
  <c r="R20" i="51"/>
  <c r="R25" i="51"/>
  <c r="R47" i="51"/>
  <c r="R41" i="51"/>
  <c r="R176" i="51"/>
  <c r="R216" i="51"/>
  <c r="R70" i="51"/>
  <c r="R82" i="51"/>
  <c r="R157" i="51"/>
  <c r="R143" i="51"/>
  <c r="R144" i="51"/>
  <c r="R191" i="51"/>
  <c r="R34" i="51"/>
  <c r="R213" i="51"/>
  <c r="R7" i="51"/>
  <c r="R96" i="51"/>
  <c r="R223" i="51"/>
  <c r="R37" i="51"/>
  <c r="R155" i="51"/>
  <c r="R123" i="51"/>
  <c r="R67" i="51"/>
  <c r="R83" i="51"/>
  <c r="R209" i="51"/>
  <c r="R141" i="51"/>
  <c r="R92" i="51"/>
  <c r="R153" i="51"/>
  <c r="R42" i="51"/>
  <c r="R106" i="51"/>
  <c r="V106" i="51" s="1"/>
  <c r="R217" i="51"/>
  <c r="R18" i="51"/>
  <c r="R125" i="51"/>
  <c r="R99" i="51"/>
  <c r="R190" i="51"/>
  <c r="R149" i="51"/>
  <c r="V6" i="3"/>
  <c r="T6" i="3"/>
  <c r="R43" i="19"/>
  <c r="R118" i="19"/>
  <c r="R99" i="19"/>
  <c r="R63" i="19"/>
  <c r="R69" i="19"/>
  <c r="R122" i="19"/>
  <c r="R87" i="19"/>
  <c r="R61" i="19"/>
  <c r="R5" i="19"/>
  <c r="R184" i="19"/>
  <c r="R207" i="19"/>
  <c r="R195" i="19"/>
  <c r="R156" i="19"/>
  <c r="R157" i="19"/>
  <c r="R109" i="19"/>
  <c r="R72" i="19"/>
  <c r="R132" i="19"/>
  <c r="R17" i="19"/>
  <c r="R93" i="19"/>
  <c r="R81" i="19"/>
  <c r="R96" i="19"/>
  <c r="R177" i="19"/>
  <c r="R168" i="19"/>
  <c r="R165" i="19"/>
  <c r="R219" i="19"/>
  <c r="R189" i="19"/>
  <c r="R191" i="19"/>
  <c r="R180" i="19"/>
  <c r="R129" i="19"/>
  <c r="R145" i="19"/>
  <c r="R64" i="19"/>
  <c r="R123" i="19"/>
  <c r="R40" i="19"/>
  <c r="R136" i="19"/>
  <c r="R115" i="19"/>
  <c r="R142" i="19"/>
  <c r="R50" i="19"/>
  <c r="R30" i="19"/>
  <c r="R231" i="19"/>
  <c r="R223" i="19"/>
  <c r="R149" i="19"/>
  <c r="R10" i="19"/>
  <c r="R203" i="19"/>
  <c r="R217" i="19"/>
  <c r="R158" i="19"/>
  <c r="R58" i="19"/>
  <c r="R94" i="19"/>
  <c r="R107" i="19"/>
  <c r="R54" i="19"/>
  <c r="R159" i="19"/>
  <c r="R154" i="19"/>
  <c r="R204" i="19"/>
  <c r="R108" i="19"/>
  <c r="R86" i="19"/>
  <c r="R225" i="19"/>
  <c r="R151" i="19"/>
  <c r="R16" i="19"/>
  <c r="R130" i="19"/>
  <c r="R202" i="19"/>
  <c r="R31" i="19"/>
  <c r="R171" i="19"/>
  <c r="R85" i="19"/>
  <c r="R20" i="19"/>
  <c r="R179" i="19"/>
  <c r="R49" i="19"/>
  <c r="R9" i="19"/>
  <c r="R230" i="19"/>
  <c r="R101" i="19"/>
  <c r="R193" i="19"/>
  <c r="R166" i="19"/>
  <c r="R39" i="19"/>
  <c r="R67" i="19"/>
  <c r="R90" i="19"/>
  <c r="R92" i="19"/>
  <c r="R28" i="19"/>
  <c r="R127" i="19"/>
  <c r="R83" i="19"/>
  <c r="R51" i="19"/>
  <c r="R80" i="19"/>
  <c r="R73" i="19"/>
  <c r="R187" i="19"/>
  <c r="R124" i="19"/>
  <c r="R8" i="19"/>
  <c r="R183" i="19"/>
  <c r="R15" i="19"/>
  <c r="R110" i="19"/>
  <c r="R71" i="19"/>
  <c r="R11" i="19"/>
  <c r="R147" i="19"/>
  <c r="R125" i="19"/>
  <c r="R186" i="19"/>
  <c r="R163" i="19"/>
  <c r="R84" i="19"/>
  <c r="R106" i="19"/>
  <c r="R227" i="19"/>
  <c r="R6" i="19"/>
  <c r="R135" i="19"/>
  <c r="R169" i="19"/>
  <c r="R222" i="19"/>
  <c r="R29" i="19"/>
  <c r="R75" i="19"/>
  <c r="R59" i="19"/>
  <c r="R14" i="19"/>
  <c r="R24" i="19"/>
  <c r="R32" i="19"/>
  <c r="R174" i="19"/>
  <c r="R120" i="19"/>
  <c r="R34" i="19"/>
  <c r="R42" i="19"/>
  <c r="R213" i="19"/>
  <c r="R146" i="19"/>
  <c r="R208" i="19"/>
  <c r="R176" i="19"/>
  <c r="R26" i="19"/>
  <c r="R198" i="19"/>
  <c r="R98" i="19"/>
  <c r="R46" i="19"/>
  <c r="R74" i="19"/>
  <c r="R160" i="19"/>
  <c r="R131" i="19"/>
  <c r="R116" i="19"/>
  <c r="R7" i="19"/>
  <c r="R78" i="19"/>
  <c r="R199" i="19"/>
  <c r="R45" i="19"/>
  <c r="R226" i="19"/>
  <c r="R104" i="19"/>
  <c r="R113" i="19"/>
  <c r="R47" i="19"/>
  <c r="R139" i="19"/>
  <c r="R18" i="19"/>
  <c r="R25" i="19"/>
  <c r="R111" i="19"/>
  <c r="R155" i="19"/>
  <c r="R35" i="19"/>
  <c r="R152" i="19"/>
  <c r="R60" i="19"/>
  <c r="R153" i="19"/>
  <c r="R119" i="19"/>
  <c r="R200" i="19"/>
  <c r="R209" i="19"/>
  <c r="R194" i="19"/>
  <c r="R38" i="19"/>
  <c r="R206" i="19"/>
  <c r="R76" i="19"/>
  <c r="R138" i="19"/>
  <c r="R164" i="19"/>
  <c r="R148" i="19"/>
  <c r="R128" i="19"/>
  <c r="R77" i="19"/>
  <c r="R216" i="19"/>
  <c r="R182" i="19"/>
  <c r="R161" i="19"/>
  <c r="R229" i="19"/>
  <c r="R197" i="19"/>
  <c r="R105" i="19"/>
  <c r="R172" i="19"/>
  <c r="R126" i="19"/>
  <c r="R141" i="19"/>
  <c r="R33" i="19"/>
  <c r="R48" i="19"/>
  <c r="R103" i="19"/>
  <c r="R134" i="19"/>
  <c r="R95" i="19"/>
  <c r="R91" i="19"/>
  <c r="R144" i="19"/>
  <c r="R188" i="19"/>
  <c r="R192" i="19"/>
  <c r="R220" i="19"/>
  <c r="R173" i="19"/>
  <c r="R133" i="19"/>
  <c r="V184" i="51" l="1"/>
  <c r="V16" i="51"/>
  <c r="V226" i="51"/>
  <c r="U3" i="19"/>
  <c r="V142" i="51"/>
  <c r="V52" i="51"/>
  <c r="V76" i="51"/>
  <c r="V40" i="51"/>
  <c r="V160" i="51"/>
  <c r="V154" i="51"/>
  <c r="V4" i="51"/>
  <c r="V94" i="51"/>
  <c r="V100" i="51"/>
  <c r="V196" i="51"/>
  <c r="V10" i="51"/>
  <c r="V178" i="51"/>
  <c r="V130" i="51"/>
  <c r="V34" i="51"/>
  <c r="V220" i="51"/>
  <c r="V148" i="51"/>
  <c r="V172" i="51"/>
  <c r="V214" i="51"/>
  <c r="V118" i="51"/>
  <c r="V88" i="51"/>
  <c r="V208" i="51"/>
  <c r="V22" i="51"/>
  <c r="V28" i="51"/>
  <c r="V166" i="51"/>
  <c r="V112" i="51"/>
  <c r="V70" i="51"/>
  <c r="V46" i="51"/>
  <c r="V82" i="51"/>
  <c r="V58" i="51"/>
  <c r="V202" i="51"/>
  <c r="U3" i="51"/>
  <c r="V190" i="51"/>
  <c r="V136" i="51"/>
  <c r="V124" i="51"/>
  <c r="AK6" i="34"/>
  <c r="M4" i="3"/>
  <c r="AM2" i="34"/>
  <c r="AM6" i="34" s="1"/>
  <c r="N94" i="45"/>
  <c r="T46" i="19"/>
  <c r="P6" i="34"/>
  <c r="Q7" i="3"/>
  <c r="H6" i="34"/>
  <c r="AE6" i="34"/>
  <c r="F6" i="34"/>
  <c r="T46" i="51"/>
  <c r="T88" i="51"/>
  <c r="R6" i="34"/>
  <c r="AA40" i="48"/>
  <c r="AA100" i="48"/>
  <c r="J2" i="51"/>
  <c r="R4" i="3"/>
  <c r="T190" i="51"/>
  <c r="AA184" i="48"/>
  <c r="AG6" i="34"/>
  <c r="T178" i="51"/>
  <c r="T166" i="51"/>
  <c r="T160" i="51"/>
  <c r="P5" i="3"/>
  <c r="AA160" i="48"/>
  <c r="AA154" i="48"/>
  <c r="AC6" i="34"/>
  <c r="AA148" i="48"/>
  <c r="T148" i="51"/>
  <c r="AB6" i="34"/>
  <c r="T142" i="51"/>
  <c r="AA142" i="48"/>
  <c r="AA136" i="48"/>
  <c r="T136" i="51"/>
  <c r="T130" i="51"/>
  <c r="AA130" i="48"/>
  <c r="T124" i="51"/>
  <c r="AA124" i="48"/>
  <c r="N112" i="45"/>
  <c r="AA52" i="48"/>
  <c r="X4" i="34"/>
  <c r="X6" i="34" s="1"/>
  <c r="AA34" i="48"/>
  <c r="AD4" i="34"/>
  <c r="AD6" i="34" s="1"/>
  <c r="AA4" i="34"/>
  <c r="AA6" i="34" s="1"/>
  <c r="Y4" i="34"/>
  <c r="Y6" i="34" s="1"/>
  <c r="AF4" i="34"/>
  <c r="AF6" i="34" s="1"/>
  <c r="AA76" i="48"/>
  <c r="AA94" i="48"/>
  <c r="AA112" i="48"/>
  <c r="AA82" i="48"/>
  <c r="AA58" i="48"/>
  <c r="AL4" i="34"/>
  <c r="AL6" i="34" s="1"/>
  <c r="AA64" i="48"/>
  <c r="D4" i="34"/>
  <c r="D6" i="34" s="1"/>
  <c r="D7" i="34" s="1"/>
  <c r="AA70" i="48"/>
  <c r="AH4" i="34"/>
  <c r="AH6" i="34" s="1"/>
  <c r="Z4" i="34"/>
  <c r="Z6" i="34" s="1"/>
  <c r="AA106" i="48"/>
  <c r="AA118" i="48"/>
  <c r="AA16" i="48"/>
  <c r="T118" i="51"/>
  <c r="U7" i="3"/>
  <c r="W4" i="34"/>
  <c r="W6" i="34" s="1"/>
  <c r="T112" i="51"/>
  <c r="V4" i="34"/>
  <c r="V6" i="34" s="1"/>
  <c r="T106" i="51"/>
  <c r="U6" i="34"/>
  <c r="T100" i="51"/>
  <c r="T4" i="34"/>
  <c r="T6" i="34" s="1"/>
  <c r="T94" i="51"/>
  <c r="V5" i="3"/>
  <c r="T82" i="51"/>
  <c r="Q4" i="34"/>
  <c r="Q6" i="34" s="1"/>
  <c r="T76" i="51"/>
  <c r="T70" i="51"/>
  <c r="O4" i="34"/>
  <c r="O6" i="34" s="1"/>
  <c r="T64" i="51"/>
  <c r="N6" i="34"/>
  <c r="T58" i="51"/>
  <c r="M6" i="34"/>
  <c r="T52" i="51"/>
  <c r="L4" i="34"/>
  <c r="L6" i="34" s="1"/>
  <c r="K6" i="34"/>
  <c r="T40" i="51"/>
  <c r="J4" i="34"/>
  <c r="J6" i="34" s="1"/>
  <c r="O7" i="3"/>
  <c r="I6" i="34"/>
  <c r="P6" i="3"/>
  <c r="T28" i="51"/>
  <c r="M3" i="45"/>
  <c r="AN6" i="34"/>
  <c r="G4" i="34"/>
  <c r="G6" i="34" s="1"/>
  <c r="I3" i="3"/>
  <c r="Z3" i="3"/>
  <c r="M6" i="3"/>
  <c r="N6" i="3" s="1"/>
  <c r="L88" i="45"/>
  <c r="L197" i="45"/>
  <c r="E4" i="34"/>
  <c r="E6" i="34" s="1"/>
  <c r="F3" i="3"/>
  <c r="L144" i="45"/>
  <c r="L100" i="45"/>
  <c r="L65" i="45"/>
  <c r="L42" i="45"/>
  <c r="L54" i="45"/>
  <c r="L104" i="45"/>
  <c r="L156" i="45"/>
  <c r="L225" i="45"/>
  <c r="L166" i="45"/>
  <c r="L56" i="45"/>
  <c r="L79" i="45"/>
  <c r="L10" i="45"/>
  <c r="L37" i="45"/>
  <c r="L147" i="45"/>
  <c r="L193" i="45"/>
  <c r="L118" i="45"/>
  <c r="L26" i="45"/>
  <c r="L183" i="45"/>
  <c r="L136" i="45"/>
  <c r="L163" i="45"/>
  <c r="L74" i="45"/>
  <c r="L101" i="45"/>
  <c r="L221" i="45"/>
  <c r="L153" i="45"/>
  <c r="L195" i="45"/>
  <c r="L179" i="45"/>
  <c r="L117" i="45"/>
  <c r="L226" i="45"/>
  <c r="L75" i="45"/>
  <c r="AB40" i="52"/>
  <c r="L231" i="45"/>
  <c r="L94" i="45"/>
  <c r="L211" i="45"/>
  <c r="L48" i="45"/>
  <c r="L196" i="45"/>
  <c r="L7" i="45"/>
  <c r="L182" i="45"/>
  <c r="L67" i="45"/>
  <c r="L21" i="45"/>
  <c r="L60" i="45"/>
  <c r="L20" i="45"/>
  <c r="L132" i="45"/>
  <c r="L194" i="45"/>
  <c r="L51" i="45"/>
  <c r="L164" i="45"/>
  <c r="L129" i="45"/>
  <c r="L73" i="45"/>
  <c r="L61" i="45"/>
  <c r="L228" i="45"/>
  <c r="L186" i="45"/>
  <c r="L131" i="45"/>
  <c r="L134" i="45"/>
  <c r="L36" i="45"/>
  <c r="AB82" i="52"/>
  <c r="L219" i="45"/>
  <c r="L159" i="45"/>
  <c r="L24" i="45"/>
  <c r="L119" i="45"/>
  <c r="L45" i="45"/>
  <c r="L123" i="45"/>
  <c r="L17" i="45"/>
  <c r="L49" i="45"/>
  <c r="L205" i="45"/>
  <c r="L81" i="45"/>
  <c r="L230" i="45"/>
  <c r="L167" i="45"/>
  <c r="L148" i="45"/>
  <c r="L72" i="45"/>
  <c r="L85" i="45"/>
  <c r="L137" i="45"/>
  <c r="L69" i="45"/>
  <c r="L38" i="45"/>
  <c r="L97" i="45"/>
  <c r="L76" i="45"/>
  <c r="L57" i="45"/>
  <c r="L175" i="45"/>
  <c r="L106" i="45"/>
  <c r="L158" i="45"/>
  <c r="L108" i="45"/>
  <c r="AB58" i="52"/>
  <c r="L120" i="45"/>
  <c r="L162" i="45"/>
  <c r="L224" i="45"/>
  <c r="L55" i="45"/>
  <c r="L39" i="45"/>
  <c r="L160" i="45"/>
  <c r="L149" i="45"/>
  <c r="L138" i="45"/>
  <c r="L77" i="45"/>
  <c r="L176" i="45"/>
  <c r="L204" i="45"/>
  <c r="L113" i="45"/>
  <c r="L50" i="45"/>
  <c r="L216" i="45"/>
  <c r="L80" i="45"/>
  <c r="L19" i="45"/>
  <c r="L25" i="45"/>
  <c r="L16" i="45"/>
  <c r="L33" i="45"/>
  <c r="L43" i="45"/>
  <c r="L151" i="45"/>
  <c r="L102" i="45"/>
  <c r="L121" i="45"/>
  <c r="L169" i="45"/>
  <c r="L152" i="45"/>
  <c r="L29" i="45"/>
  <c r="L192" i="45"/>
  <c r="L150" i="45"/>
  <c r="L15" i="45"/>
  <c r="L202" i="45"/>
  <c r="L70" i="45"/>
  <c r="L6" i="45"/>
  <c r="L208" i="45"/>
  <c r="L141" i="45"/>
  <c r="L229" i="45"/>
  <c r="L13" i="45"/>
  <c r="L130" i="45"/>
  <c r="L190" i="45"/>
  <c r="L188" i="45"/>
  <c r="L116" i="45"/>
  <c r="L23" i="45"/>
  <c r="L212" i="45"/>
  <c r="L135" i="45"/>
  <c r="L87" i="45"/>
  <c r="L82" i="45"/>
  <c r="L191" i="45"/>
  <c r="L8" i="45"/>
  <c r="L64" i="45"/>
  <c r="L177" i="45"/>
  <c r="L28" i="45"/>
  <c r="L95" i="45"/>
  <c r="AB34" i="52"/>
  <c r="L200" i="45"/>
  <c r="L140" i="45"/>
  <c r="L30" i="45"/>
  <c r="L78" i="45"/>
  <c r="L98" i="45"/>
  <c r="L86" i="45"/>
  <c r="L35" i="45"/>
  <c r="L63" i="45"/>
  <c r="L223" i="45"/>
  <c r="L111" i="45"/>
  <c r="L71" i="45"/>
  <c r="L198" i="45"/>
  <c r="L185" i="45"/>
  <c r="L187" i="45"/>
  <c r="L125" i="45"/>
  <c r="L31" i="45"/>
  <c r="L68" i="45"/>
  <c r="L168" i="45"/>
  <c r="L217" i="45"/>
  <c r="L209" i="45"/>
  <c r="L201" i="45"/>
  <c r="L210" i="45"/>
  <c r="L18" i="45"/>
  <c r="L122" i="45"/>
  <c r="L46" i="45"/>
  <c r="L142" i="45"/>
  <c r="L107" i="45"/>
  <c r="L84" i="45"/>
  <c r="L9" i="45"/>
  <c r="L66" i="45"/>
  <c r="L27" i="45"/>
  <c r="L170" i="45"/>
  <c r="L171" i="45"/>
  <c r="L59" i="45"/>
  <c r="L58" i="45"/>
  <c r="L110" i="45"/>
  <c r="L40" i="45"/>
  <c r="L127" i="45"/>
  <c r="L133" i="45"/>
  <c r="L114" i="45"/>
  <c r="L44" i="45"/>
  <c r="L112" i="45"/>
  <c r="L14" i="45"/>
  <c r="L5" i="45"/>
  <c r="L99" i="45"/>
  <c r="L53" i="45"/>
  <c r="L105" i="45"/>
  <c r="L62" i="45"/>
  <c r="L165" i="45"/>
  <c r="L206" i="45"/>
  <c r="L178" i="45"/>
  <c r="L83" i="45"/>
  <c r="L89" i="45"/>
  <c r="L52" i="45"/>
  <c r="L115" i="45"/>
  <c r="L189" i="45"/>
  <c r="L128" i="45"/>
  <c r="L103" i="45"/>
  <c r="L124" i="45"/>
  <c r="L126" i="45"/>
  <c r="L139" i="45"/>
  <c r="L4" i="45"/>
  <c r="L218" i="45"/>
  <c r="L47" i="45"/>
  <c r="L90" i="45"/>
  <c r="L12" i="45"/>
  <c r="L41" i="45"/>
  <c r="L155" i="45"/>
  <c r="L11" i="45"/>
  <c r="L172" i="45"/>
  <c r="L143" i="45"/>
  <c r="L93" i="45"/>
  <c r="L214" i="45"/>
  <c r="L96" i="45"/>
  <c r="L161" i="45"/>
  <c r="L180" i="45"/>
  <c r="L203" i="45"/>
  <c r="L109" i="45"/>
  <c r="L91" i="45"/>
  <c r="L22" i="45"/>
  <c r="L34" i="45"/>
  <c r="L174" i="45"/>
  <c r="L227" i="45"/>
  <c r="L199" i="45"/>
  <c r="L146" i="45"/>
  <c r="L213" i="45"/>
  <c r="L184" i="45"/>
  <c r="L157" i="45"/>
  <c r="L181" i="45"/>
  <c r="L207" i="45"/>
  <c r="L92" i="45"/>
  <c r="L32" i="45"/>
  <c r="L145" i="45"/>
  <c r="L173" i="45"/>
  <c r="L220" i="45"/>
  <c r="L215" i="45"/>
  <c r="L3" i="45"/>
  <c r="L222" i="45"/>
  <c r="E3" i="19"/>
  <c r="J2" i="19" s="1"/>
  <c r="V52" i="19"/>
  <c r="E3" i="45"/>
  <c r="D3" i="45"/>
  <c r="S6" i="34"/>
  <c r="T184" i="51"/>
  <c r="D3" i="51"/>
  <c r="K3" i="3"/>
  <c r="AB76" i="52"/>
  <c r="AB106" i="52"/>
  <c r="E3" i="3"/>
  <c r="AB166" i="52"/>
  <c r="G3" i="3"/>
  <c r="AB202" i="52"/>
  <c r="AB88" i="52"/>
  <c r="AB196" i="52"/>
  <c r="AB214" i="52"/>
  <c r="AB28" i="52"/>
  <c r="AB178" i="52"/>
  <c r="AB172" i="52"/>
  <c r="AB136" i="52"/>
  <c r="AB190" i="52"/>
  <c r="AB70" i="52"/>
  <c r="AB160" i="52"/>
  <c r="V232" i="52"/>
  <c r="AB142" i="52"/>
  <c r="AB184" i="52"/>
  <c r="AB130" i="52"/>
  <c r="AB118" i="52"/>
  <c r="AB52" i="52"/>
  <c r="AB154" i="52"/>
  <c r="AB112" i="52"/>
  <c r="AB124" i="52"/>
  <c r="AB64" i="52"/>
  <c r="AB46" i="52"/>
  <c r="AB148" i="52"/>
  <c r="AB22" i="52"/>
  <c r="AB94" i="52"/>
  <c r="AB100" i="52"/>
  <c r="AB208" i="52"/>
  <c r="AB10" i="52"/>
  <c r="AB226" i="52"/>
  <c r="AB220" i="52"/>
  <c r="AB16" i="52"/>
  <c r="V214" i="19"/>
  <c r="AJ6" i="34"/>
  <c r="D3" i="19"/>
  <c r="E3" i="51"/>
  <c r="H2" i="51" s="1"/>
  <c r="W7" i="3"/>
  <c r="S3" i="51"/>
  <c r="S7" i="3"/>
  <c r="R3" i="51"/>
  <c r="T190" i="19"/>
  <c r="AI5" i="34"/>
  <c r="AI6" i="34" s="1"/>
  <c r="V22" i="19"/>
  <c r="V70" i="19"/>
  <c r="V100" i="19"/>
  <c r="V112" i="19"/>
  <c r="V136" i="19"/>
  <c r="V82" i="19"/>
  <c r="W3" i="48"/>
  <c r="G3" i="48"/>
  <c r="X3" i="48"/>
  <c r="F3" i="48"/>
  <c r="N4" i="3"/>
  <c r="H4" i="3"/>
  <c r="L4" i="3"/>
  <c r="V190" i="19"/>
  <c r="R3" i="19"/>
  <c r="S3" i="19"/>
  <c r="M5" i="3"/>
  <c r="H5" i="3" s="1"/>
  <c r="N2" i="3"/>
  <c r="L2" i="3"/>
  <c r="H2" i="3"/>
  <c r="V88" i="19"/>
  <c r="V16" i="19"/>
  <c r="V4" i="19"/>
  <c r="V160" i="19"/>
  <c r="R232" i="51"/>
  <c r="V20" i="48"/>
  <c r="V143" i="48"/>
  <c r="V174" i="48"/>
  <c r="V98" i="48"/>
  <c r="V77" i="48"/>
  <c r="V221" i="48"/>
  <c r="V189" i="48"/>
  <c r="V66" i="48"/>
  <c r="V16" i="48"/>
  <c r="V129" i="48"/>
  <c r="V151" i="48"/>
  <c r="V188" i="48"/>
  <c r="V184" i="48"/>
  <c r="V44" i="48"/>
  <c r="V33" i="48"/>
  <c r="V230" i="48"/>
  <c r="V203" i="48"/>
  <c r="V99" i="48"/>
  <c r="V76" i="48"/>
  <c r="V108" i="48"/>
  <c r="V172" i="48"/>
  <c r="V90" i="48"/>
  <c r="V206" i="48"/>
  <c r="V59" i="48"/>
  <c r="V30" i="48"/>
  <c r="V56" i="48"/>
  <c r="V132" i="48"/>
  <c r="V161" i="48"/>
  <c r="V53" i="48"/>
  <c r="V222" i="48"/>
  <c r="V79" i="48"/>
  <c r="V198" i="48"/>
  <c r="V5" i="48"/>
  <c r="V126" i="48"/>
  <c r="V32" i="48"/>
  <c r="V28" i="48"/>
  <c r="V201" i="48"/>
  <c r="V63" i="48"/>
  <c r="V22" i="48"/>
  <c r="V37" i="48"/>
  <c r="V102" i="48"/>
  <c r="V207" i="48"/>
  <c r="V31" i="48"/>
  <c r="V11" i="48"/>
  <c r="V80" i="48"/>
  <c r="V83" i="48"/>
  <c r="V54" i="48"/>
  <c r="V65" i="48"/>
  <c r="V107" i="48"/>
  <c r="V7" i="48"/>
  <c r="V220" i="48"/>
  <c r="V120" i="48"/>
  <c r="V202" i="48"/>
  <c r="V74" i="48"/>
  <c r="V100" i="48"/>
  <c r="V62" i="48"/>
  <c r="V46" i="48"/>
  <c r="V19" i="48"/>
  <c r="V81" i="48"/>
  <c r="V29" i="48"/>
  <c r="V156" i="48"/>
  <c r="V127" i="48"/>
  <c r="V103" i="48"/>
  <c r="V182" i="48"/>
  <c r="V12" i="48"/>
  <c r="V122" i="48"/>
  <c r="V185" i="48"/>
  <c r="V154" i="48"/>
  <c r="V186" i="48"/>
  <c r="V195" i="48"/>
  <c r="V149" i="48"/>
  <c r="V150" i="48"/>
  <c r="V106" i="48"/>
  <c r="V72" i="48"/>
  <c r="V27" i="48"/>
  <c r="V25" i="48"/>
  <c r="V171" i="48"/>
  <c r="V104" i="48"/>
  <c r="V177" i="48"/>
  <c r="V140" i="48"/>
  <c r="V34" i="48"/>
  <c r="V215" i="48"/>
  <c r="V224" i="48"/>
  <c r="V14" i="48"/>
  <c r="V116" i="48"/>
  <c r="V21" i="48"/>
  <c r="V43" i="48"/>
  <c r="V110" i="48"/>
  <c r="V200" i="48"/>
  <c r="V60" i="48"/>
  <c r="V88" i="48"/>
  <c r="V38" i="48"/>
  <c r="V105" i="48"/>
  <c r="V51" i="48"/>
  <c r="V193" i="48"/>
  <c r="V225" i="48"/>
  <c r="V167" i="48"/>
  <c r="V93" i="48"/>
  <c r="V130" i="48"/>
  <c r="V114" i="48"/>
  <c r="V117" i="48"/>
  <c r="V24" i="48"/>
  <c r="V155" i="48"/>
  <c r="V8" i="48"/>
  <c r="V153" i="48"/>
  <c r="V157" i="48"/>
  <c r="V15" i="48"/>
  <c r="V58" i="48"/>
  <c r="V145" i="48"/>
  <c r="V17" i="48"/>
  <c r="V47" i="48"/>
  <c r="V217" i="48"/>
  <c r="V52" i="48"/>
  <c r="V142" i="48"/>
  <c r="V42" i="48"/>
  <c r="V23" i="48"/>
  <c r="V187" i="48"/>
  <c r="V136" i="48"/>
  <c r="V158" i="48"/>
  <c r="V178" i="48"/>
  <c r="V211" i="48"/>
  <c r="V112" i="48"/>
  <c r="V223" i="48"/>
  <c r="V197" i="48"/>
  <c r="V210" i="48"/>
  <c r="V152" i="48"/>
  <c r="V216" i="48"/>
  <c r="V144" i="48"/>
  <c r="V35" i="48"/>
  <c r="V123" i="48"/>
  <c r="V191" i="48"/>
  <c r="V231" i="48"/>
  <c r="V146" i="48"/>
  <c r="V113" i="48"/>
  <c r="V70" i="48"/>
  <c r="V204" i="48"/>
  <c r="V163" i="48"/>
  <c r="V115" i="48"/>
  <c r="V128" i="48"/>
  <c r="V36" i="48"/>
  <c r="V164" i="48"/>
  <c r="V75" i="48"/>
  <c r="V118" i="48"/>
  <c r="V6" i="48"/>
  <c r="V95" i="48"/>
  <c r="V84" i="48"/>
  <c r="V131" i="48"/>
  <c r="V82" i="48"/>
  <c r="V165" i="48"/>
  <c r="V192" i="48"/>
  <c r="V49" i="48"/>
  <c r="V183" i="48"/>
  <c r="V26" i="48"/>
  <c r="V9" i="48"/>
  <c r="V175" i="48"/>
  <c r="V39" i="48"/>
  <c r="V205" i="48"/>
  <c r="V212" i="48"/>
  <c r="V228" i="48"/>
  <c r="V141" i="48"/>
  <c r="V97" i="48"/>
  <c r="V134" i="48"/>
  <c r="V159" i="48"/>
  <c r="V218" i="48"/>
  <c r="V226" i="48"/>
  <c r="V135" i="48"/>
  <c r="V124" i="48"/>
  <c r="V148" i="48"/>
  <c r="V209" i="48"/>
  <c r="V133" i="48"/>
  <c r="V162" i="48"/>
  <c r="V45" i="48"/>
  <c r="V96" i="48"/>
  <c r="V196" i="48"/>
  <c r="V78" i="48"/>
  <c r="V13" i="48"/>
  <c r="V179" i="48"/>
  <c r="V67" i="48"/>
  <c r="V41" i="48"/>
  <c r="V125" i="48"/>
  <c r="V3" i="48"/>
  <c r="V101" i="48"/>
  <c r="V73" i="48"/>
  <c r="V57" i="48"/>
  <c r="V92" i="48"/>
  <c r="V89" i="48"/>
  <c r="V173" i="48"/>
  <c r="V18" i="48"/>
  <c r="V166" i="48"/>
  <c r="V199" i="48"/>
  <c r="V10" i="48"/>
  <c r="V48" i="48"/>
  <c r="V213" i="48"/>
  <c r="V91" i="48"/>
  <c r="V181" i="48"/>
  <c r="V94" i="48"/>
  <c r="V137" i="48"/>
  <c r="V68" i="48"/>
  <c r="V168" i="48"/>
  <c r="V71" i="48"/>
  <c r="V61" i="48"/>
  <c r="V176" i="48"/>
  <c r="V55" i="48"/>
  <c r="V170" i="48"/>
  <c r="V208" i="48"/>
  <c r="V50" i="48"/>
  <c r="V119" i="48"/>
  <c r="V85" i="48"/>
  <c r="V4" i="48"/>
  <c r="AB4" i="48" s="1"/>
  <c r="V180" i="48"/>
  <c r="V139" i="48"/>
  <c r="V214" i="48"/>
  <c r="V121" i="48"/>
  <c r="V147" i="48"/>
  <c r="V229" i="48"/>
  <c r="V109" i="48"/>
  <c r="V87" i="48"/>
  <c r="V227" i="48"/>
  <c r="V169" i="48"/>
  <c r="V190" i="48"/>
  <c r="V194" i="48"/>
  <c r="V86" i="48"/>
  <c r="V111" i="48"/>
  <c r="V138" i="48"/>
  <c r="V160" i="48"/>
  <c r="V64" i="48"/>
  <c r="V219" i="48"/>
  <c r="V40" i="48"/>
  <c r="V69" i="48"/>
  <c r="V148" i="19"/>
  <c r="V166" i="19"/>
  <c r="V46" i="19"/>
  <c r="V142" i="19"/>
  <c r="V76" i="19"/>
  <c r="V154" i="19"/>
  <c r="V124" i="19"/>
  <c r="V118" i="19"/>
  <c r="V40" i="19"/>
  <c r="V226" i="19"/>
  <c r="V208" i="19"/>
  <c r="V178" i="19"/>
  <c r="V172" i="19"/>
  <c r="V94" i="19"/>
  <c r="V64" i="19"/>
  <c r="V106" i="19"/>
  <c r="V58" i="19"/>
  <c r="V196" i="19"/>
  <c r="V34" i="19"/>
  <c r="V220" i="19"/>
  <c r="V28" i="19"/>
  <c r="V202" i="19"/>
  <c r="V130" i="19"/>
  <c r="V10" i="19"/>
  <c r="R232" i="19"/>
  <c r="V184" i="19"/>
  <c r="V3" i="51" l="1"/>
  <c r="F2" i="51"/>
  <c r="B4" i="34"/>
  <c r="E7" i="34"/>
  <c r="F7" i="34" s="1"/>
  <c r="H6" i="3"/>
  <c r="B2" i="34" s="1"/>
  <c r="L6" i="3"/>
  <c r="J6" i="3" s="1"/>
  <c r="O220" i="45"/>
  <c r="O106" i="45"/>
  <c r="O214" i="45"/>
  <c r="O100" i="45"/>
  <c r="L2" i="19"/>
  <c r="P2" i="19"/>
  <c r="H2" i="19"/>
  <c r="N2" i="19"/>
  <c r="F2" i="19"/>
  <c r="O136" i="45"/>
  <c r="O34" i="45"/>
  <c r="O22" i="45"/>
  <c r="G7" i="34"/>
  <c r="H7" i="34" s="1"/>
  <c r="I7" i="34" s="1"/>
  <c r="J7" i="34" s="1"/>
  <c r="K7" i="34" s="1"/>
  <c r="L7" i="34" s="1"/>
  <c r="M7" i="34" s="1"/>
  <c r="N7" i="34" s="1"/>
  <c r="O7" i="34" s="1"/>
  <c r="P7" i="34" s="1"/>
  <c r="Q7" i="34" s="1"/>
  <c r="R7" i="34" s="1"/>
  <c r="S7" i="34" s="1"/>
  <c r="T7" i="34" s="1"/>
  <c r="U7" i="34" s="1"/>
  <c r="V7" i="34" s="1"/>
  <c r="W7" i="34" s="1"/>
  <c r="X7" i="34" s="1"/>
  <c r="Y7" i="34" s="1"/>
  <c r="Z7" i="34" s="1"/>
  <c r="AA7" i="34" s="1"/>
  <c r="AB7" i="34" s="1"/>
  <c r="AC7" i="34" s="1"/>
  <c r="AD7" i="34" s="1"/>
  <c r="AE7" i="34" s="1"/>
  <c r="AF7" i="34" s="1"/>
  <c r="AG7" i="34" s="1"/>
  <c r="AH7" i="34" s="1"/>
  <c r="AI7" i="34" s="1"/>
  <c r="AJ7" i="34" s="1"/>
  <c r="AK7" i="34" s="1"/>
  <c r="AL7" i="34" s="1"/>
  <c r="AM7" i="34" s="1"/>
  <c r="AN7" i="34" s="1"/>
  <c r="AO7" i="34" s="1"/>
  <c r="O166" i="45"/>
  <c r="O154" i="45"/>
  <c r="O88" i="45"/>
  <c r="O148" i="45"/>
  <c r="O142" i="45"/>
  <c r="O40" i="45"/>
  <c r="O178" i="45"/>
  <c r="O46" i="45"/>
  <c r="O4" i="45"/>
  <c r="O184" i="45"/>
  <c r="O172" i="45"/>
  <c r="O52" i="45"/>
  <c r="O112" i="45"/>
  <c r="O196" i="45"/>
  <c r="O64" i="45"/>
  <c r="O58" i="45"/>
  <c r="O94" i="45"/>
  <c r="O160" i="45"/>
  <c r="O10" i="45"/>
  <c r="O70" i="45"/>
  <c r="O226" i="45"/>
  <c r="O16" i="45"/>
  <c r="O190" i="45"/>
  <c r="O202" i="45"/>
  <c r="O124" i="45"/>
  <c r="O208" i="45"/>
  <c r="O82" i="45"/>
  <c r="O28" i="45"/>
  <c r="O76" i="45"/>
  <c r="O118" i="45"/>
  <c r="O130" i="45"/>
  <c r="L232" i="45"/>
  <c r="L2" i="51"/>
  <c r="P2" i="51"/>
  <c r="N2" i="51"/>
  <c r="AB3" i="52"/>
  <c r="AB160" i="48"/>
  <c r="AB52" i="48"/>
  <c r="AB34" i="48"/>
  <c r="AB184" i="48"/>
  <c r="I4" i="3"/>
  <c r="K4" i="3"/>
  <c r="J4" i="3"/>
  <c r="Z4" i="3"/>
  <c r="E4" i="3"/>
  <c r="B3" i="34"/>
  <c r="G4" i="3"/>
  <c r="F4" i="3"/>
  <c r="N5" i="3"/>
  <c r="L5" i="3"/>
  <c r="M7" i="3"/>
  <c r="L7" i="3" s="1"/>
  <c r="F2" i="3"/>
  <c r="G2" i="3"/>
  <c r="E2" i="3"/>
  <c r="Z2" i="3"/>
  <c r="I2" i="3"/>
  <c r="J2" i="3"/>
  <c r="K2" i="3"/>
  <c r="AB196" i="48"/>
  <c r="AB166" i="48"/>
  <c r="AB190" i="48"/>
  <c r="AB58" i="48"/>
  <c r="AB208" i="48"/>
  <c r="AB88" i="48"/>
  <c r="AB112" i="48"/>
  <c r="AB106" i="48"/>
  <c r="AB46" i="48"/>
  <c r="AB16" i="48"/>
  <c r="AB3" i="48" s="1"/>
  <c r="V232" i="48"/>
  <c r="AB10" i="48"/>
  <c r="AB148" i="48"/>
  <c r="AB178" i="48"/>
  <c r="AB124" i="48"/>
  <c r="AB70" i="48"/>
  <c r="AB100" i="48"/>
  <c r="AB22" i="48"/>
  <c r="AB136" i="48"/>
  <c r="AB226" i="48"/>
  <c r="AB202" i="48"/>
  <c r="AB172" i="48"/>
  <c r="AB40" i="48"/>
  <c r="AB214" i="48"/>
  <c r="AB94" i="48"/>
  <c r="AB82" i="48"/>
  <c r="AB154" i="48"/>
  <c r="AB28" i="48"/>
  <c r="AB118" i="48"/>
  <c r="V3" i="19"/>
  <c r="AB130" i="48"/>
  <c r="AB220" i="48"/>
  <c r="AB76" i="48"/>
  <c r="AB64" i="48"/>
  <c r="AB142" i="48"/>
  <c r="H7" i="3" l="1"/>
  <c r="I6" i="3"/>
  <c r="Z6" i="3"/>
  <c r="F6" i="3"/>
  <c r="K6" i="3"/>
  <c r="G6" i="3"/>
  <c r="E6" i="3"/>
  <c r="O3" i="45"/>
  <c r="I5" i="3"/>
  <c r="I7" i="3" s="1"/>
  <c r="K5" i="3"/>
  <c r="K7" i="3" s="1"/>
  <c r="J5" i="3"/>
  <c r="J7" i="3" s="1"/>
  <c r="Z5" i="3"/>
  <c r="E5" i="3"/>
  <c r="E7" i="3" s="1"/>
  <c r="F5" i="3"/>
  <c r="F7" i="3" s="1"/>
  <c r="B5" i="34"/>
  <c r="B6" i="34" s="1"/>
  <c r="G5" i="3"/>
  <c r="G7" i="3" s="1"/>
  <c r="Z7" i="3" l="1"/>
  <c r="C2" i="34"/>
  <c r="B7" i="34"/>
  <c r="C5" i="34"/>
  <c r="C3" i="34"/>
  <c r="C4" i="34"/>
  <c r="C6" i="34" l="1"/>
  <c r="C7" i="34" s="1"/>
</calcChain>
</file>

<file path=xl/sharedStrings.xml><?xml version="1.0" encoding="utf-8"?>
<sst xmlns="http://schemas.openxmlformats.org/spreadsheetml/2006/main" count="151" uniqueCount="74">
  <si>
    <t>TOTAL</t>
  </si>
  <si>
    <t>PARCELLE</t>
  </si>
  <si>
    <t>RENDEMENT/ HEURE</t>
  </si>
  <si>
    <t>NOMBRE DE PLANTS</t>
  </si>
  <si>
    <t>TONNAGE</t>
  </si>
  <si>
    <t xml:space="preserve">DATE                                       </t>
  </si>
  <si>
    <t xml:space="preserve"> TOTAL</t>
  </si>
  <si>
    <t>VARIETEE</t>
  </si>
  <si>
    <t>%</t>
  </si>
  <si>
    <t>SEMAINE</t>
  </si>
  <si>
    <t>RENDEMENT MOYEN /SEMAINE</t>
  </si>
  <si>
    <t>SURFACE</t>
  </si>
  <si>
    <t>KG / M2</t>
  </si>
  <si>
    <t>TOTAL CUMULE</t>
  </si>
  <si>
    <t>NOMBRE DE TETES</t>
  </si>
  <si>
    <t>TONNAGE GLOBAL</t>
  </si>
  <si>
    <t>1ER CHOIX</t>
  </si>
  <si>
    <t>2EME CHOIX</t>
  </si>
  <si>
    <t>DEGRAPPE</t>
  </si>
  <si>
    <t>VERTE</t>
  </si>
  <si>
    <t>POUBELLE</t>
  </si>
  <si>
    <t>CUEILLETTE EN HEURES</t>
  </si>
  <si>
    <t>KG / M2 GLOBAL</t>
  </si>
  <si>
    <t>KG/TETE GLOBAL</t>
  </si>
  <si>
    <t>KG/PLANT GLOBAL</t>
  </si>
  <si>
    <t>KG / M2                        1 ET 2</t>
  </si>
  <si>
    <t>KG/TETE                      1 ET 2</t>
  </si>
  <si>
    <t>KG/PLANT                  1 ET 2</t>
  </si>
  <si>
    <t>TONNAGE                   1 ET 2</t>
  </si>
  <si>
    <t>HEURES DE CUEILLETTES</t>
  </si>
  <si>
    <t>1er CHOIX</t>
  </si>
  <si>
    <t>2ème CHOIX</t>
  </si>
  <si>
    <t>Kg/M2</t>
  </si>
  <si>
    <t>TONNAGE / SEMAINE GLOBAL</t>
  </si>
  <si>
    <t>TONNAGE / SEMAINE 1 ET 2</t>
  </si>
  <si>
    <t>TONNAGE / SEMAINE 1</t>
  </si>
  <si>
    <t>250 G</t>
  </si>
  <si>
    <t>3,5 KG</t>
  </si>
  <si>
    <t>GRAPPE</t>
  </si>
  <si>
    <t>Moyenne</t>
  </si>
  <si>
    <t>Kg /M2 / Semaine</t>
  </si>
  <si>
    <t>DEGRAPPE en Ronde</t>
  </si>
  <si>
    <t>CORALINA</t>
  </si>
  <si>
    <t>Kg / M2 /SEMAINE</t>
  </si>
  <si>
    <t>Kg / M2 /SEMAINE       N-1      CORALINA</t>
  </si>
  <si>
    <t>Kg / M2 /SEMAINE       N-1      KOMEET</t>
  </si>
  <si>
    <t xml:space="preserve"> 2eme CHOIX</t>
  </si>
  <si>
    <t>Kg / M2 /SEMAINE       N-1 TC 607</t>
  </si>
  <si>
    <t>HEURES DE CUEILLETTES GRAPPES</t>
  </si>
  <si>
    <t>HEURES DE CUEILLETTES 250G</t>
  </si>
  <si>
    <t>RENDEMENT/ HEURE GRAPPES</t>
  </si>
  <si>
    <t>RENDEMENT/ HEURE 250G</t>
  </si>
  <si>
    <t>RENDEMENT/ HEURE LE RESTE</t>
  </si>
  <si>
    <t>RENDEMENT/ HEURE GLOBAL</t>
  </si>
  <si>
    <t>RENDEMENT MOYEN /SEMAINE GLOBAL</t>
  </si>
  <si>
    <t>HEURES DE CUEILLETTES DU RESTE</t>
  </si>
  <si>
    <t>GRAPPE Bois</t>
  </si>
  <si>
    <t>GRAPPE Carton</t>
  </si>
  <si>
    <t>GRAPPE 500 G</t>
  </si>
  <si>
    <t>TC 607 S1</t>
  </si>
  <si>
    <t>AVALANTINO</t>
  </si>
  <si>
    <t>VRAC Caisse Bois</t>
  </si>
  <si>
    <t>TC SORENTINO S1</t>
  </si>
  <si>
    <t>AVALANTINO S2</t>
  </si>
  <si>
    <t>KOMEET S3</t>
  </si>
  <si>
    <t>CORALINA S4</t>
  </si>
  <si>
    <t>TC 607 + SORENTINO</t>
  </si>
  <si>
    <t>Kg / M2 /SEMAINE       N-1      AVALANTINO</t>
  </si>
  <si>
    <t>E15T 534</t>
  </si>
  <si>
    <t>E15T 533</t>
  </si>
  <si>
    <t>T739</t>
  </si>
  <si>
    <t>G5 44</t>
  </si>
  <si>
    <t>cartons</t>
  </si>
  <si>
    <t>Kg/M2/SEMAINE 1 ET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</si>
</sst>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0000"/>
    <numFmt numFmtId="166" formatCode="0.0"/>
    <numFmt numFmtId="167" formatCode="0.000"/>
    <numFmt numFmtId="168" formatCode="#,##0.000"/>
    <numFmt numFmtId="169" formatCode="#,##0.0000"/>
  </numFmts>
  <fonts count="27" x14ac:knownFonts="1">
    <font>
      <sz val="11"/>
      <color theme="1"/>
      <name val="Calibri"/>
      <family val="2"/>
      <scheme val="minor"/>
    </font>
    <font>
      <sz val="11"/>
      <color theme="1"/>
      <name val="Comic Sans MS"/>
      <family val="4"/>
    </font>
    <font>
      <b/>
      <sz val="12"/>
      <color theme="1"/>
      <name val="Calibri"/>
      <family val="2"/>
      <scheme val="minor"/>
    </font>
    <font>
      <sz val="12"/>
      <color theme="1"/>
      <name val="Calibri"/>
      <family val="2"/>
      <scheme val="minor"/>
    </font>
    <font>
      <b/>
      <sz val="11"/>
      <color theme="1"/>
      <name val="Comic Sans MS"/>
      <family val="4"/>
    </font>
    <font>
      <b/>
      <sz val="11"/>
      <color theme="1"/>
      <name val="Calibri"/>
      <family val="2"/>
    </font>
    <font>
      <sz val="11"/>
      <color theme="1"/>
      <name val="Calibri"/>
      <family val="2"/>
    </font>
    <font>
      <b/>
      <sz val="12"/>
      <color theme="1"/>
      <name val="Calibri"/>
      <family val="2"/>
    </font>
    <font>
      <b/>
      <sz val="11"/>
      <name val="Calibri"/>
      <family val="2"/>
    </font>
    <font>
      <b/>
      <sz val="12"/>
      <name val="Calibri"/>
      <family val="2"/>
    </font>
    <font>
      <b/>
      <sz val="11"/>
      <color theme="1"/>
      <name val="Calibri"/>
      <family val="2"/>
      <scheme val="minor"/>
    </font>
    <font>
      <sz val="12"/>
      <color theme="1"/>
      <name val="Comic Sans MS"/>
      <family val="4"/>
    </font>
    <font>
      <sz val="14"/>
      <color theme="1"/>
      <name val="Comic Sans MS"/>
      <family val="4"/>
    </font>
    <font>
      <sz val="13"/>
      <color theme="1"/>
      <name val="Calibri"/>
      <family val="2"/>
      <scheme val="minor"/>
    </font>
    <font>
      <b/>
      <sz val="13"/>
      <color theme="1"/>
      <name val="Calibri"/>
      <family val="2"/>
      <scheme val="minor"/>
    </font>
    <font>
      <b/>
      <sz val="14"/>
      <color theme="1"/>
      <name val="Comic Sans MS"/>
      <family val="4"/>
    </font>
    <font>
      <sz val="16"/>
      <color theme="1"/>
      <name val="Comic Sans MS"/>
      <family val="4"/>
    </font>
    <font>
      <sz val="11"/>
      <color rgb="FFFF0000"/>
      <name val="Comic Sans MS"/>
      <family val="4"/>
    </font>
    <font>
      <sz val="11"/>
      <color rgb="FF0070C0"/>
      <name val="Comic Sans MS"/>
      <family val="4"/>
    </font>
    <font>
      <sz val="11"/>
      <color rgb="FF00B050"/>
      <name val="Comic Sans MS"/>
      <family val="4"/>
    </font>
    <font>
      <sz val="11"/>
      <color theme="9" tint="-0.249977111117893"/>
      <name val="Comic Sans MS"/>
      <family val="4"/>
    </font>
    <font>
      <b/>
      <sz val="11"/>
      <color theme="9" tint="-0.249977111117893"/>
      <name val="Comic Sans MS"/>
      <family val="4"/>
    </font>
    <font>
      <b/>
      <sz val="11"/>
      <color rgb="FF0070C0"/>
      <name val="Comic Sans MS"/>
      <family val="4"/>
    </font>
    <font>
      <b/>
      <sz val="11"/>
      <color rgb="FF00B050"/>
      <name val="Comic Sans MS"/>
      <family val="4"/>
    </font>
    <font>
      <sz val="13"/>
      <name val="Calibri"/>
      <family val="2"/>
    </font>
    <font>
      <sz val="11"/>
      <name val="Comic Sans MS"/>
      <family val="4"/>
    </font>
    <font>
      <b/>
      <sz val="13"/>
      <color rgb="FFFF0000"/>
      <name val="Calibri"/>
      <family val="2"/>
    </font>
  </fonts>
  <fills count="3">
    <fill>
      <patternFill patternType="none"/>
    </fill>
    <fill>
      <patternFill patternType="gray125"/>
    </fill>
    <fill>
      <patternFill patternType="solid">
        <fgColor rgb="FFEAF6A4"/>
        <bgColor indexed="64"/>
      </patternFill>
    </fill>
  </fills>
  <borders count="33">
    <border>
      <left/>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thin">
        <color auto="1"/>
      </left>
      <right style="medium">
        <color auto="1"/>
      </right>
      <top/>
      <bottom/>
      <diagonal/>
    </border>
    <border>
      <left/>
      <right style="medium">
        <color auto="1"/>
      </right>
      <top/>
      <bottom/>
      <diagonal/>
    </border>
    <border>
      <left style="thin">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style="medium">
        <color auto="1"/>
      </top>
      <bottom/>
      <diagonal/>
    </border>
    <border>
      <left style="thin">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190">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0" fillId="0" borderId="3"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xf numFmtId="0" fontId="6" fillId="0" borderId="0" xfId="0" applyFont="1" applyAlignment="1">
      <alignment horizontal="center" vertical="center"/>
    </xf>
    <xf numFmtId="0" fontId="7" fillId="0" borderId="0" xfId="0" applyFont="1" applyBorder="1" applyAlignment="1">
      <alignment horizontal="center" vertical="center"/>
    </xf>
    <xf numFmtId="0" fontId="5" fillId="0" borderId="6" xfId="0" applyFont="1" applyBorder="1" applyAlignment="1">
      <alignment horizontal="center" vertical="center"/>
    </xf>
    <xf numFmtId="0" fontId="5" fillId="0" borderId="2" xfId="0" applyFont="1" applyBorder="1" applyAlignment="1">
      <alignment horizontal="center" vertical="center" wrapText="1"/>
    </xf>
    <xf numFmtId="0" fontId="5" fillId="0" borderId="8" xfId="0" applyFont="1" applyBorder="1" applyAlignment="1">
      <alignment horizontal="center" vertical="center"/>
    </xf>
    <xf numFmtId="164" fontId="5" fillId="0" borderId="6" xfId="0" applyNumberFormat="1" applyFont="1" applyBorder="1" applyAlignment="1">
      <alignment horizontal="center" vertical="center"/>
    </xf>
    <xf numFmtId="0" fontId="7" fillId="0" borderId="9" xfId="0" applyFont="1" applyBorder="1" applyAlignment="1">
      <alignment horizontal="center" vertical="center"/>
    </xf>
    <xf numFmtId="0" fontId="5" fillId="0" borderId="2" xfId="0" applyFont="1" applyBorder="1" applyAlignment="1">
      <alignment horizontal="center" vertical="center"/>
    </xf>
    <xf numFmtId="164" fontId="5" fillId="0" borderId="8"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4" fillId="0" borderId="12" xfId="0" applyFont="1" applyBorder="1" applyAlignment="1">
      <alignment horizontal="center" vertical="center" wrapText="1"/>
    </xf>
    <xf numFmtId="0" fontId="2" fillId="0" borderId="5" xfId="0" applyFont="1" applyBorder="1" applyAlignment="1">
      <alignment horizontal="center" vertical="center"/>
    </xf>
    <xf numFmtId="164" fontId="9" fillId="0" borderId="9" xfId="0" applyNumberFormat="1" applyFont="1" applyBorder="1" applyAlignment="1">
      <alignment horizontal="center" vertical="center"/>
    </xf>
    <xf numFmtId="3" fontId="9" fillId="0" borderId="9" xfId="0" applyNumberFormat="1" applyFont="1" applyBorder="1" applyAlignment="1">
      <alignment horizontal="center" vertical="center"/>
    </xf>
    <xf numFmtId="2" fontId="8" fillId="0" borderId="8" xfId="0" applyNumberFormat="1" applyFont="1" applyBorder="1" applyAlignment="1">
      <alignment horizontal="center" vertical="center"/>
    </xf>
    <xf numFmtId="164" fontId="8" fillId="0" borderId="8" xfId="0" applyNumberFormat="1" applyFont="1" applyBorder="1" applyAlignment="1">
      <alignment horizontal="center" vertical="center"/>
    </xf>
    <xf numFmtId="3" fontId="8" fillId="0" borderId="8" xfId="0" applyNumberFormat="1" applyFont="1" applyBorder="1" applyAlignment="1">
      <alignment horizontal="center" vertical="center"/>
    </xf>
    <xf numFmtId="3" fontId="8" fillId="0" borderId="6" xfId="0" applyNumberFormat="1" applyFont="1" applyBorder="1" applyAlignment="1">
      <alignment horizontal="center" vertical="center"/>
    </xf>
    <xf numFmtId="1" fontId="10" fillId="0" borderId="2" xfId="0" applyNumberFormat="1" applyFont="1" applyBorder="1" applyAlignment="1">
      <alignment horizontal="center" vertical="center"/>
    </xf>
    <xf numFmtId="0" fontId="10" fillId="0" borderId="2" xfId="0" applyFont="1" applyBorder="1" applyAlignment="1">
      <alignment horizontal="center" vertical="center"/>
    </xf>
    <xf numFmtId="0" fontId="1" fillId="0" borderId="7" xfId="0" applyFont="1" applyBorder="1" applyAlignment="1">
      <alignment horizontal="center" vertical="center"/>
    </xf>
    <xf numFmtId="0" fontId="2" fillId="0" borderId="7" xfId="0" applyNumberFormat="1" applyFont="1" applyBorder="1" applyAlignment="1">
      <alignment horizontal="center" vertical="center"/>
    </xf>
    <xf numFmtId="164" fontId="2" fillId="0" borderId="7" xfId="0" applyNumberFormat="1" applyFont="1" applyBorder="1" applyAlignment="1">
      <alignment horizontal="center" vertical="center"/>
    </xf>
    <xf numFmtId="0" fontId="1" fillId="0" borderId="14" xfId="0" applyFont="1" applyBorder="1" applyAlignment="1">
      <alignment horizontal="center" vertical="center"/>
    </xf>
    <xf numFmtId="0" fontId="1" fillId="0" borderId="9" xfId="0" applyFont="1" applyBorder="1" applyAlignment="1">
      <alignment horizontal="center" vertical="center"/>
    </xf>
    <xf numFmtId="0" fontId="1" fillId="0" borderId="16" xfId="0" applyFont="1"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xf numFmtId="0" fontId="1" fillId="0" borderId="15" xfId="0" applyFont="1" applyBorder="1" applyAlignment="1">
      <alignment horizontal="center" vertical="center"/>
    </xf>
    <xf numFmtId="0" fontId="1" fillId="0" borderId="5" xfId="0" applyFont="1" applyBorder="1" applyAlignment="1">
      <alignment horizontal="center" vertical="center"/>
    </xf>
    <xf numFmtId="0" fontId="0" fillId="0" borderId="17" xfId="0" applyBorder="1"/>
    <xf numFmtId="0" fontId="1" fillId="0" borderId="17" xfId="0" applyFont="1" applyBorder="1" applyAlignment="1">
      <alignment horizontal="center" vertical="center"/>
    </xf>
    <xf numFmtId="0" fontId="0" fillId="0" borderId="0" xfId="0" applyBorder="1"/>
    <xf numFmtId="0" fontId="1" fillId="0" borderId="0" xfId="0" applyFont="1" applyBorder="1" applyAlignment="1">
      <alignment horizontal="center" vertical="center"/>
    </xf>
    <xf numFmtId="0" fontId="1" fillId="0" borderId="0" xfId="0" applyFont="1" applyBorder="1"/>
    <xf numFmtId="0" fontId="5" fillId="0" borderId="17" xfId="0" applyFont="1" applyBorder="1" applyAlignment="1">
      <alignment horizontal="center" vertical="center" wrapText="1"/>
    </xf>
    <xf numFmtId="3" fontId="5" fillId="0" borderId="18" xfId="0" applyNumberFormat="1" applyFont="1" applyBorder="1" applyAlignment="1">
      <alignment horizontal="center" vertical="center"/>
    </xf>
    <xf numFmtId="3" fontId="5" fillId="0" borderId="8" xfId="0" applyNumberFormat="1" applyFont="1" applyBorder="1" applyAlignment="1">
      <alignment horizontal="center" vertical="center"/>
    </xf>
    <xf numFmtId="3" fontId="5" fillId="0" borderId="6" xfId="0" applyNumberFormat="1" applyFont="1" applyBorder="1" applyAlignment="1">
      <alignment horizontal="center" vertical="center"/>
    </xf>
    <xf numFmtId="0" fontId="7" fillId="0" borderId="2" xfId="0" applyFont="1" applyBorder="1" applyAlignment="1">
      <alignment horizontal="center" vertical="center"/>
    </xf>
    <xf numFmtId="3" fontId="9" fillId="0" borderId="2" xfId="0" applyNumberFormat="1" applyFont="1" applyBorder="1" applyAlignment="1">
      <alignment horizontal="center" vertical="center"/>
    </xf>
    <xf numFmtId="164" fontId="9" fillId="0" borderId="2" xfId="0" applyNumberFormat="1" applyFont="1" applyBorder="1" applyAlignment="1">
      <alignment horizontal="center" vertical="center"/>
    </xf>
    <xf numFmtId="165" fontId="7" fillId="0" borderId="2" xfId="0" applyNumberFormat="1" applyFont="1" applyBorder="1" applyAlignment="1">
      <alignment horizontal="center" vertical="center"/>
    </xf>
    <xf numFmtId="164" fontId="7"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0" fontId="7" fillId="0" borderId="2" xfId="0" applyFont="1" applyBorder="1" applyAlignment="1">
      <alignment horizontal="center" vertical="center" wrapText="1"/>
    </xf>
    <xf numFmtId="164" fontId="13" fillId="0" borderId="6" xfId="0" applyNumberFormat="1" applyFont="1" applyBorder="1" applyAlignment="1">
      <alignment horizontal="center" vertical="center"/>
    </xf>
    <xf numFmtId="164" fontId="14" fillId="0" borderId="13" xfId="0" applyNumberFormat="1" applyFont="1" applyBorder="1" applyAlignment="1">
      <alignment horizontal="center" vertical="center"/>
    </xf>
    <xf numFmtId="4" fontId="5" fillId="0" borderId="8" xfId="0" applyNumberFormat="1" applyFont="1" applyBorder="1" applyAlignment="1">
      <alignment horizontal="center" vertical="center" wrapText="1"/>
    </xf>
    <xf numFmtId="4" fontId="7" fillId="0" borderId="2" xfId="0" applyNumberFormat="1" applyFont="1" applyBorder="1" applyAlignment="1">
      <alignment horizontal="center" vertical="center"/>
    </xf>
    <xf numFmtId="167" fontId="5" fillId="0" borderId="8" xfId="0" applyNumberFormat="1" applyFont="1" applyBorder="1" applyAlignment="1">
      <alignment horizontal="center" vertical="center"/>
    </xf>
    <xf numFmtId="167" fontId="8" fillId="0" borderId="8" xfId="0" applyNumberFormat="1" applyFont="1" applyBorder="1" applyAlignment="1">
      <alignment horizontal="center" vertical="center"/>
    </xf>
    <xf numFmtId="167" fontId="8" fillId="0" borderId="6" xfId="0" applyNumberFormat="1" applyFont="1" applyBorder="1" applyAlignment="1">
      <alignment horizontal="center" vertical="center"/>
    </xf>
    <xf numFmtId="167" fontId="5" fillId="0" borderId="6" xfId="0" applyNumberFormat="1" applyFont="1" applyBorder="1" applyAlignment="1">
      <alignment horizontal="center" vertical="center"/>
    </xf>
    <xf numFmtId="167" fontId="9" fillId="0" borderId="2" xfId="0" applyNumberFormat="1" applyFont="1" applyBorder="1" applyAlignment="1">
      <alignment horizontal="center" vertical="center"/>
    </xf>
    <xf numFmtId="167" fontId="7" fillId="0" borderId="2" xfId="0" applyNumberFormat="1" applyFont="1" applyBorder="1" applyAlignment="1">
      <alignment horizontal="center" vertical="center"/>
    </xf>
    <xf numFmtId="0" fontId="5" fillId="0" borderId="10" xfId="0" applyFont="1" applyBorder="1" applyAlignment="1">
      <alignment horizontal="center" vertical="center" wrapText="1"/>
    </xf>
    <xf numFmtId="0" fontId="5" fillId="0" borderId="12" xfId="0" applyFont="1" applyBorder="1" applyAlignment="1">
      <alignment horizontal="center" vertical="center" wrapText="1"/>
    </xf>
    <xf numFmtId="166" fontId="9" fillId="0" borderId="12" xfId="0" applyNumberFormat="1" applyFont="1" applyBorder="1" applyAlignment="1">
      <alignment horizontal="center" vertical="center"/>
    </xf>
    <xf numFmtId="4" fontId="8" fillId="0" borderId="19" xfId="0" applyNumberFormat="1" applyFont="1" applyBorder="1" applyAlignment="1">
      <alignment horizontal="center" vertical="center"/>
    </xf>
    <xf numFmtId="4" fontId="8" fillId="0" borderId="20" xfId="0" applyNumberFormat="1" applyFont="1" applyBorder="1" applyAlignment="1">
      <alignment horizontal="center" vertical="center"/>
    </xf>
    <xf numFmtId="168" fontId="8" fillId="0" borderId="21" xfId="0" applyNumberFormat="1" applyFont="1" applyBorder="1" applyAlignment="1">
      <alignment horizontal="center" vertical="center"/>
    </xf>
    <xf numFmtId="168" fontId="8" fillId="0" borderId="22" xfId="0" applyNumberFormat="1"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vertical="center"/>
    </xf>
    <xf numFmtId="0" fontId="3" fillId="0" borderId="5" xfId="0" applyFont="1" applyBorder="1" applyAlignment="1">
      <alignment horizontal="center" vertical="center"/>
    </xf>
    <xf numFmtId="0" fontId="0" fillId="0" borderId="14" xfId="0" applyFont="1" applyBorder="1" applyAlignment="1">
      <alignment horizontal="center" vertical="center"/>
    </xf>
    <xf numFmtId="0" fontId="0" fillId="0" borderId="4" xfId="0" applyFont="1" applyBorder="1" applyAlignment="1">
      <alignment horizontal="center" vertical="center"/>
    </xf>
    <xf numFmtId="0" fontId="0" fillId="0" borderId="16" xfId="0" applyFont="1" applyBorder="1" applyAlignment="1">
      <alignment horizontal="center" vertical="center"/>
    </xf>
    <xf numFmtId="0" fontId="0" fillId="0" borderId="4" xfId="0"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4" fontId="1" fillId="0" borderId="7" xfId="0" applyNumberFormat="1" applyFont="1" applyBorder="1" applyAlignment="1">
      <alignment horizontal="center" vertical="center"/>
    </xf>
    <xf numFmtId="4" fontId="1" fillId="0" borderId="14" xfId="0" applyNumberFormat="1" applyFont="1" applyBorder="1" applyAlignment="1">
      <alignment horizontal="center" vertical="center"/>
    </xf>
    <xf numFmtId="4" fontId="1" fillId="0" borderId="1" xfId="0" applyNumberFormat="1" applyFont="1" applyBorder="1" applyAlignment="1">
      <alignment horizontal="center" vertical="center"/>
    </xf>
    <xf numFmtId="4" fontId="1" fillId="0" borderId="4" xfId="0" applyNumberFormat="1" applyFont="1" applyBorder="1" applyAlignment="1">
      <alignment horizontal="center" vertical="center"/>
    </xf>
    <xf numFmtId="4" fontId="1" fillId="0" borderId="9" xfId="0" applyNumberFormat="1" applyFont="1" applyBorder="1" applyAlignment="1">
      <alignment horizontal="center" vertical="center"/>
    </xf>
    <xf numFmtId="4" fontId="1" fillId="0" borderId="16" xfId="0" applyNumberFormat="1" applyFont="1" applyBorder="1" applyAlignment="1">
      <alignment horizontal="center" vertical="center"/>
    </xf>
    <xf numFmtId="164" fontId="1" fillId="0" borderId="3" xfId="0" applyNumberFormat="1" applyFont="1" applyBorder="1" applyAlignment="1">
      <alignment horizontal="center" vertical="center"/>
    </xf>
    <xf numFmtId="164" fontId="1" fillId="0" borderId="15" xfId="0" applyNumberFormat="1" applyFont="1" applyBorder="1" applyAlignment="1">
      <alignment horizontal="center" vertical="center"/>
    </xf>
    <xf numFmtId="164" fontId="1" fillId="0" borderId="5" xfId="0" applyNumberFormat="1" applyFont="1" applyBorder="1" applyAlignment="1">
      <alignment horizontal="center" vertical="center"/>
    </xf>
    <xf numFmtId="169" fontId="1" fillId="0" borderId="14" xfId="0" applyNumberFormat="1" applyFont="1" applyBorder="1" applyAlignment="1">
      <alignment horizontal="center" vertical="center"/>
    </xf>
    <xf numFmtId="169" fontId="1" fillId="0" borderId="4" xfId="0" applyNumberFormat="1" applyFont="1" applyBorder="1" applyAlignment="1">
      <alignment horizontal="center" vertical="center"/>
    </xf>
    <xf numFmtId="169" fontId="1" fillId="0" borderId="16" xfId="0" applyNumberFormat="1" applyFont="1" applyBorder="1" applyAlignment="1">
      <alignment horizontal="center" vertical="center"/>
    </xf>
    <xf numFmtId="0" fontId="1" fillId="2" borderId="18" xfId="0" applyFont="1" applyFill="1" applyBorder="1" applyAlignment="1">
      <alignment horizontal="center" vertical="center"/>
    </xf>
    <xf numFmtId="0" fontId="1" fillId="2" borderId="6" xfId="0" applyFont="1" applyFill="1" applyBorder="1" applyAlignment="1">
      <alignment horizontal="center" vertical="center"/>
    </xf>
    <xf numFmtId="14" fontId="1" fillId="2" borderId="6" xfId="0" applyNumberFormat="1" applyFont="1" applyFill="1" applyBorder="1" applyAlignment="1">
      <alignment horizontal="center" vertical="center"/>
    </xf>
    <xf numFmtId="14" fontId="1" fillId="2" borderId="13" xfId="0" applyNumberFormat="1" applyFont="1" applyFill="1" applyBorder="1" applyAlignment="1">
      <alignment horizontal="center" vertical="center"/>
    </xf>
    <xf numFmtId="164" fontId="1" fillId="2" borderId="26" xfId="0" applyNumberFormat="1" applyFont="1" applyFill="1" applyBorder="1" applyAlignment="1">
      <alignment horizontal="center" vertical="center"/>
    </xf>
    <xf numFmtId="164" fontId="1" fillId="2" borderId="27" xfId="0" applyNumberFormat="1" applyFont="1" applyFill="1" applyBorder="1" applyAlignment="1">
      <alignment horizontal="center" vertical="center"/>
    </xf>
    <xf numFmtId="164" fontId="1" fillId="2" borderId="28" xfId="0" applyNumberFormat="1" applyFont="1" applyFill="1" applyBorder="1" applyAlignment="1">
      <alignment horizontal="center" vertical="center"/>
    </xf>
    <xf numFmtId="2" fontId="1" fillId="2" borderId="18" xfId="0" applyNumberFormat="1" applyFont="1" applyFill="1" applyBorder="1" applyAlignment="1">
      <alignment horizontal="center" vertical="center"/>
    </xf>
    <xf numFmtId="2" fontId="1" fillId="2" borderId="6" xfId="0" applyNumberFormat="1" applyFont="1" applyFill="1" applyBorder="1" applyAlignment="1">
      <alignment horizontal="center" vertical="center"/>
    </xf>
    <xf numFmtId="2" fontId="1" fillId="2" borderId="13" xfId="0" applyNumberFormat="1" applyFont="1" applyFill="1" applyBorder="1" applyAlignment="1">
      <alignment horizontal="center" vertical="center"/>
    </xf>
    <xf numFmtId="14" fontId="1" fillId="2" borderId="18" xfId="0" applyNumberFormat="1" applyFont="1" applyFill="1" applyBorder="1" applyAlignment="1">
      <alignment horizontal="center" vertical="center"/>
    </xf>
    <xf numFmtId="4" fontId="1" fillId="2" borderId="18" xfId="0" applyNumberFormat="1" applyFont="1" applyFill="1" applyBorder="1" applyAlignment="1">
      <alignment horizontal="center" vertical="center"/>
    </xf>
    <xf numFmtId="4" fontId="1" fillId="2" borderId="6" xfId="0" applyNumberFormat="1" applyFont="1" applyFill="1" applyBorder="1" applyAlignment="1">
      <alignment horizontal="center" vertical="center"/>
    </xf>
    <xf numFmtId="4" fontId="1" fillId="2" borderId="13" xfId="0" applyNumberFormat="1" applyFont="1" applyFill="1" applyBorder="1" applyAlignment="1">
      <alignment horizontal="center" vertical="center"/>
    </xf>
    <xf numFmtId="0" fontId="4" fillId="0" borderId="25" xfId="0" applyFont="1" applyBorder="1" applyAlignment="1">
      <alignment horizontal="center" vertical="center" wrapText="1"/>
    </xf>
    <xf numFmtId="164" fontId="9" fillId="0" borderId="10" xfId="0" applyNumberFormat="1" applyFont="1" applyBorder="1" applyAlignment="1">
      <alignment horizontal="center" vertical="center"/>
    </xf>
    <xf numFmtId="0" fontId="4" fillId="0" borderId="30" xfId="0" applyFont="1" applyBorder="1" applyAlignment="1">
      <alignment horizontal="center" vertical="center" wrapText="1"/>
    </xf>
    <xf numFmtId="2" fontId="4" fillId="0" borderId="29" xfId="0" applyNumberFormat="1" applyFont="1" applyBorder="1" applyAlignment="1">
      <alignment horizontal="center" vertical="center" wrapText="1"/>
    </xf>
    <xf numFmtId="0" fontId="4" fillId="0" borderId="25" xfId="0" applyFont="1" applyBorder="1" applyAlignment="1">
      <alignment horizontal="center" vertical="center" wrapText="1"/>
    </xf>
    <xf numFmtId="0" fontId="15" fillId="0" borderId="17" xfId="0" applyFont="1" applyBorder="1" applyAlignment="1">
      <alignment horizontal="center" vertical="center"/>
    </xf>
    <xf numFmtId="0" fontId="16" fillId="0" borderId="17" xfId="0" applyFont="1" applyBorder="1" applyAlignment="1">
      <alignment horizontal="center" vertical="center"/>
    </xf>
    <xf numFmtId="0" fontId="1" fillId="0" borderId="9" xfId="0" applyFont="1" applyBorder="1" applyAlignment="1">
      <alignment vertical="center" wrapText="1"/>
    </xf>
    <xf numFmtId="0" fontId="1" fillId="2" borderId="6" xfId="0" applyNumberFormat="1" applyFont="1" applyFill="1" applyBorder="1" applyAlignment="1">
      <alignment horizontal="center" vertical="center"/>
    </xf>
    <xf numFmtId="0" fontId="1" fillId="2" borderId="13" xfId="0" applyNumberFormat="1" applyFont="1" applyFill="1" applyBorder="1" applyAlignment="1">
      <alignment horizontal="center" vertical="center"/>
    </xf>
    <xf numFmtId="0" fontId="1" fillId="0" borderId="17" xfId="0" applyNumberFormat="1" applyFont="1" applyBorder="1" applyAlignment="1">
      <alignment horizontal="center" vertical="center"/>
    </xf>
    <xf numFmtId="164" fontId="5" fillId="0" borderId="8" xfId="0" applyNumberFormat="1" applyFont="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1" fillId="0" borderId="9" xfId="0" applyFont="1" applyBorder="1" applyAlignment="1">
      <alignment horizontal="center" vertical="center"/>
    </xf>
    <xf numFmtId="2" fontId="19" fillId="2" borderId="18" xfId="0" applyNumberFormat="1" applyFont="1" applyFill="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1" fillId="0" borderId="9" xfId="0" applyFont="1" applyBorder="1" applyAlignment="1">
      <alignment horizontal="center" vertical="center"/>
    </xf>
    <xf numFmtId="0" fontId="4" fillId="0" borderId="25" xfId="0" applyFont="1" applyBorder="1" applyAlignment="1">
      <alignment horizontal="center" vertical="center" wrapText="1"/>
    </xf>
    <xf numFmtId="0" fontId="1" fillId="0" borderId="7" xfId="0" applyFont="1" applyBorder="1" applyAlignment="1">
      <alignment horizontal="center" vertical="center"/>
    </xf>
    <xf numFmtId="164" fontId="24" fillId="0" borderId="8" xfId="0" applyNumberFormat="1" applyFont="1" applyBorder="1" applyAlignment="1">
      <alignment horizontal="center" vertical="center"/>
    </xf>
    <xf numFmtId="14" fontId="1" fillId="2" borderId="8" xfId="0" applyNumberFormat="1" applyFont="1" applyFill="1" applyBorder="1" applyAlignment="1">
      <alignment horizontal="center" vertical="center"/>
    </xf>
    <xf numFmtId="164" fontId="1" fillId="2" borderId="31" xfId="0" applyNumberFormat="1" applyFont="1" applyFill="1" applyBorder="1" applyAlignment="1">
      <alignment horizontal="center" vertical="center"/>
    </xf>
    <xf numFmtId="164" fontId="25" fillId="2" borderId="27" xfId="0" applyNumberFormat="1" applyFont="1" applyFill="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1" fillId="0" borderId="9" xfId="0" applyFont="1" applyBorder="1" applyAlignment="1">
      <alignment horizontal="center" vertical="center"/>
    </xf>
    <xf numFmtId="14" fontId="1" fillId="2" borderId="32" xfId="0" applyNumberFormat="1" applyFont="1" applyFill="1" applyBorder="1" applyAlignment="1">
      <alignment horizontal="center" vertical="center"/>
    </xf>
    <xf numFmtId="164" fontId="26" fillId="0" borderId="9" xfId="0" applyNumberFormat="1" applyFont="1" applyBorder="1" applyAlignment="1">
      <alignment horizontal="center" vertical="center"/>
    </xf>
    <xf numFmtId="16" fontId="1" fillId="2" borderId="18" xfId="0" applyNumberFormat="1" applyFont="1" applyFill="1" applyBorder="1" applyAlignment="1">
      <alignment horizontal="center" vertical="center"/>
    </xf>
    <xf numFmtId="4" fontId="1" fillId="2" borderId="28" xfId="0" applyNumberFormat="1" applyFont="1" applyFill="1" applyBorder="1" applyAlignment="1">
      <alignment horizontal="center" vertical="center"/>
    </xf>
    <xf numFmtId="2" fontId="4" fillId="0" borderId="10"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1" fillId="0" borderId="9" xfId="0" applyFont="1" applyBorder="1" applyAlignment="1">
      <alignment horizontal="center" vertical="center"/>
    </xf>
    <xf numFmtId="0" fontId="2" fillId="0" borderId="2"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vertical="center"/>
    </xf>
    <xf numFmtId="0" fontId="12" fillId="0" borderId="9" xfId="0" applyFont="1" applyBorder="1" applyAlignment="1">
      <alignment horizontal="center" vertical="center"/>
    </xf>
    <xf numFmtId="164" fontId="1" fillId="0" borderId="7"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1" fillId="0" borderId="9" xfId="0" applyNumberFormat="1" applyFont="1" applyBorder="1" applyAlignment="1">
      <alignment horizontal="center" vertical="center"/>
    </xf>
    <xf numFmtId="0" fontId="1" fillId="0" borderId="2" xfId="0" applyFont="1" applyBorder="1" applyAlignment="1">
      <alignment horizontal="center" vertical="center"/>
    </xf>
    <xf numFmtId="0" fontId="17" fillId="0" borderId="7"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9" xfId="0" applyFont="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4"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4" xfId="0" applyFont="1" applyBorder="1" applyAlignment="1">
      <alignment horizontal="center" vertical="center" wrapText="1"/>
    </xf>
    <xf numFmtId="0" fontId="11" fillId="0" borderId="7" xfId="0" applyFont="1" applyBorder="1" applyAlignment="1">
      <alignment horizontal="center" vertical="center" textRotation="60"/>
    </xf>
    <xf numFmtId="0" fontId="11" fillId="0" borderId="1" xfId="0" applyFont="1" applyBorder="1" applyAlignment="1">
      <alignment horizontal="center" vertical="center" textRotation="60"/>
    </xf>
    <xf numFmtId="0" fontId="11" fillId="0" borderId="9" xfId="0" applyFont="1" applyBorder="1" applyAlignment="1">
      <alignment horizontal="center" vertical="center" textRotation="60"/>
    </xf>
    <xf numFmtId="0" fontId="19" fillId="0" borderId="7" xfId="0" applyFont="1" applyBorder="1" applyAlignment="1">
      <alignment horizontal="center" vertical="center" wrapText="1"/>
    </xf>
    <xf numFmtId="0" fontId="19" fillId="0" borderId="9"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11" xfId="0"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30"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0" fontId="18" fillId="0" borderId="7" xfId="0" applyFont="1" applyBorder="1" applyAlignment="1">
      <alignment horizontal="center" vertical="center" wrapText="1"/>
    </xf>
    <xf numFmtId="0" fontId="18" fillId="0" borderId="9"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9" xfId="0" applyFont="1" applyBorder="1" applyAlignment="1">
      <alignment horizontal="center" vertical="center" wrapText="1"/>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wrapText="1"/>
    </xf>
    <xf numFmtId="3" fontId="4" fillId="0" borderId="23" xfId="0" applyNumberFormat="1"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4" fontId="1" fillId="0" borderId="2" xfId="0" applyNumberFormat="1" applyFont="1" applyBorder="1" applyAlignment="1">
      <alignment horizontal="center" vertical="center"/>
    </xf>
    <xf numFmtId="0" fontId="4" fillId="0" borderId="10"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cellXfs>
  <cellStyles count="1">
    <cellStyle name="Normal" xfId="0" builtinId="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AF6A4"/>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REPARTITION</a:t>
            </a:r>
            <a:r>
              <a:rPr lang="fr-FR" baseline="0"/>
              <a:t> TONNAGE EN %</a:t>
            </a:r>
            <a:endParaRPr lang="fr-FR"/>
          </a:p>
        </c:rich>
      </c:tx>
      <c:overlay val="0"/>
    </c:title>
    <c:autoTitleDeleted val="0"/>
    <c:plotArea>
      <c:layout/>
      <c:pieChart>
        <c:varyColors val="1"/>
        <c:ser>
          <c:idx val="0"/>
          <c:order val="0"/>
          <c:explosion val="25"/>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'RENDEMENT VARIETAL'!$A$2:$A$5</c:f>
              <c:strCache>
                <c:ptCount val="4"/>
                <c:pt idx="0">
                  <c:v>CORALINA</c:v>
                </c:pt>
                <c:pt idx="1">
                  <c:v>AVALANTINO</c:v>
                </c:pt>
                <c:pt idx="2">
                  <c:v>TC 607 + SORENTINO</c:v>
                </c:pt>
                <c:pt idx="3">
                  <c:v>GRAPPE</c:v>
                </c:pt>
              </c:strCache>
            </c:strRef>
          </c:cat>
          <c:val>
            <c:numRef>
              <c:f>'RENDEMENT VARIETAL'!$C$2:$C$5</c:f>
              <c:numCache>
                <c:formatCode>0.00</c:formatCode>
                <c:ptCount val="4"/>
                <c:pt idx="0">
                  <c:v>17.795974331110738</c:v>
                </c:pt>
                <c:pt idx="1">
                  <c:v>28.793402416059237</c:v>
                </c:pt>
                <c:pt idx="2">
                  <c:v>34.989686565971731</c:v>
                </c:pt>
                <c:pt idx="3">
                  <c:v>18.420936686858301</c:v>
                </c:pt>
              </c:numCache>
            </c:numRef>
          </c:val>
          <c:extLst>
            <c:ext xmlns:c16="http://schemas.microsoft.com/office/drawing/2014/chart" uri="{C3380CC4-5D6E-409C-BE32-E72D297353CC}">
              <c16:uniqueId val="{00000000-2953-409A-A2A0-A98C29B55BE1}"/>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82807606740417994"/>
          <c:y val="0.32867667456017624"/>
          <c:w val="0.11181999623973901"/>
          <c:h val="0.30282193323862677"/>
        </c:manualLayout>
      </c:layout>
      <c:overlay val="0"/>
    </c:legend>
    <c:plotVisOnly val="1"/>
    <c:dispBlanksAs val="zero"/>
    <c:showDLblsOverMax val="0"/>
  </c:chart>
  <c:printSettings>
    <c:headerFooter/>
    <c:pageMargins b="0.75000000000000377" l="0.70000000000000062" r="0.70000000000000062" t="0.75000000000000377"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TONNAGE</a:t>
            </a:r>
            <a:r>
              <a:rPr lang="en-US" baseline="0"/>
              <a:t> GLOBAL</a:t>
            </a:r>
            <a:r>
              <a:rPr lang="en-US"/>
              <a:t> / SEMAINE</a:t>
            </a:r>
          </a:p>
        </c:rich>
      </c:tx>
      <c:overlay val="0"/>
    </c:title>
    <c:autoTitleDeleted val="0"/>
    <c:plotArea>
      <c:layout/>
      <c:barChart>
        <c:barDir val="col"/>
        <c:grouping val="clustered"/>
        <c:varyColors val="0"/>
        <c:ser>
          <c:idx val="1"/>
          <c:order val="0"/>
          <c:tx>
            <c:v>TONNES / SEMAINE</c:v>
          </c:tx>
          <c:invertIfNegative val="0"/>
          <c:cat>
            <c:numRef>
              <c:f>'KOMEET S3'!$A$10:$A$231</c:f>
              <c:numCache>
                <c:formatCode>General</c:formatCode>
                <c:ptCount val="222"/>
                <c:pt idx="0">
                  <c:v>14</c:v>
                </c:pt>
                <c:pt idx="6">
                  <c:v>15</c:v>
                </c:pt>
                <c:pt idx="12">
                  <c:v>16</c:v>
                </c:pt>
                <c:pt idx="18">
                  <c:v>17</c:v>
                </c:pt>
                <c:pt idx="24">
                  <c:v>18</c:v>
                </c:pt>
                <c:pt idx="30">
                  <c:v>19</c:v>
                </c:pt>
                <c:pt idx="36">
                  <c:v>20</c:v>
                </c:pt>
                <c:pt idx="42">
                  <c:v>21</c:v>
                </c:pt>
                <c:pt idx="48">
                  <c:v>22</c:v>
                </c:pt>
                <c:pt idx="54">
                  <c:v>23</c:v>
                </c:pt>
                <c:pt idx="60">
                  <c:v>24</c:v>
                </c:pt>
                <c:pt idx="66">
                  <c:v>25</c:v>
                </c:pt>
                <c:pt idx="72">
                  <c:v>26</c:v>
                </c:pt>
                <c:pt idx="78">
                  <c:v>27</c:v>
                </c:pt>
                <c:pt idx="84">
                  <c:v>28</c:v>
                </c:pt>
                <c:pt idx="90">
                  <c:v>29</c:v>
                </c:pt>
                <c:pt idx="96">
                  <c:v>30</c:v>
                </c:pt>
                <c:pt idx="102">
                  <c:v>31</c:v>
                </c:pt>
                <c:pt idx="108">
                  <c:v>32</c:v>
                </c:pt>
                <c:pt idx="114">
                  <c:v>33</c:v>
                </c:pt>
                <c:pt idx="120">
                  <c:v>34</c:v>
                </c:pt>
                <c:pt idx="126">
                  <c:v>35</c:v>
                </c:pt>
                <c:pt idx="132">
                  <c:v>36</c:v>
                </c:pt>
                <c:pt idx="138">
                  <c:v>37</c:v>
                </c:pt>
                <c:pt idx="144">
                  <c:v>38</c:v>
                </c:pt>
                <c:pt idx="150">
                  <c:v>39</c:v>
                </c:pt>
                <c:pt idx="156">
                  <c:v>40</c:v>
                </c:pt>
                <c:pt idx="162">
                  <c:v>41</c:v>
                </c:pt>
                <c:pt idx="168">
                  <c:v>42</c:v>
                </c:pt>
                <c:pt idx="174">
                  <c:v>43</c:v>
                </c:pt>
                <c:pt idx="180">
                  <c:v>44</c:v>
                </c:pt>
                <c:pt idx="186">
                  <c:v>45</c:v>
                </c:pt>
                <c:pt idx="192">
                  <c:v>46</c:v>
                </c:pt>
                <c:pt idx="198">
                  <c:v>47</c:v>
                </c:pt>
                <c:pt idx="204">
                  <c:v>48</c:v>
                </c:pt>
                <c:pt idx="210">
                  <c:v>49</c:v>
                </c:pt>
                <c:pt idx="216">
                  <c:v>50</c:v>
                </c:pt>
              </c:numCache>
            </c:numRef>
          </c:cat>
          <c:val>
            <c:numRef>
              <c:f>'KOMEET S3'!$E$10:$E$231</c:f>
              <c:numCache>
                <c:formatCode>#\ ##0.0</c:formatCode>
                <c:ptCount val="222"/>
                <c:pt idx="0">
                  <c:v>0</c:v>
                </c:pt>
                <c:pt idx="6">
                  <c:v>0</c:v>
                </c:pt>
                <c:pt idx="12">
                  <c:v>0</c:v>
                </c:pt>
                <c:pt idx="18">
                  <c:v>5515.8</c:v>
                </c:pt>
                <c:pt idx="24">
                  <c:v>10137.400000000001</c:v>
                </c:pt>
                <c:pt idx="30">
                  <c:v>29711.100000000002</c:v>
                </c:pt>
                <c:pt idx="36">
                  <c:v>24085.5</c:v>
                </c:pt>
                <c:pt idx="42">
                  <c:v>21842.1</c:v>
                </c:pt>
                <c:pt idx="48">
                  <c:v>28484.100000000002</c:v>
                </c:pt>
                <c:pt idx="54">
                  <c:v>15317.7</c:v>
                </c:pt>
                <c:pt idx="60">
                  <c:v>21225.7</c:v>
                </c:pt>
                <c:pt idx="66">
                  <c:v>21465.600000000002</c:v>
                </c:pt>
                <c:pt idx="72">
                  <c:v>21166.800000000003</c:v>
                </c:pt>
                <c:pt idx="78">
                  <c:v>22983.500000000007</c:v>
                </c:pt>
                <c:pt idx="84">
                  <c:v>25375.300000000003</c:v>
                </c:pt>
                <c:pt idx="90">
                  <c:v>16672.100000000002</c:v>
                </c:pt>
                <c:pt idx="96">
                  <c:v>6741.7</c:v>
                </c:pt>
                <c:pt idx="102">
                  <c:v>21216.5</c:v>
                </c:pt>
                <c:pt idx="108">
                  <c:v>20251</c:v>
                </c:pt>
                <c:pt idx="114">
                  <c:v>12576.1</c:v>
                </c:pt>
                <c:pt idx="120">
                  <c:v>11006.7</c:v>
                </c:pt>
                <c:pt idx="126">
                  <c:v>5508</c:v>
                </c:pt>
                <c:pt idx="132">
                  <c:v>11795.099999999999</c:v>
                </c:pt>
                <c:pt idx="138">
                  <c:v>16081.200000000003</c:v>
                </c:pt>
                <c:pt idx="144">
                  <c:v>13606.1</c:v>
                </c:pt>
                <c:pt idx="150">
                  <c:v>21690.700000000004</c:v>
                </c:pt>
                <c:pt idx="156">
                  <c:v>7721.0999999999995</c:v>
                </c:pt>
                <c:pt idx="162">
                  <c:v>15633.6</c:v>
                </c:pt>
                <c:pt idx="168">
                  <c:v>10726.9</c:v>
                </c:pt>
                <c:pt idx="174">
                  <c:v>14590.699999999997</c:v>
                </c:pt>
                <c:pt idx="180">
                  <c:v>18333.7</c:v>
                </c:pt>
                <c:pt idx="186">
                  <c:v>4287.8</c:v>
                </c:pt>
                <c:pt idx="192">
                  <c:v>0</c:v>
                </c:pt>
                <c:pt idx="198">
                  <c:v>0</c:v>
                </c:pt>
                <c:pt idx="204">
                  <c:v>0</c:v>
                </c:pt>
                <c:pt idx="210">
                  <c:v>0</c:v>
                </c:pt>
                <c:pt idx="216">
                  <c:v>0</c:v>
                </c:pt>
              </c:numCache>
            </c:numRef>
          </c:val>
          <c:extLst>
            <c:ext xmlns:c16="http://schemas.microsoft.com/office/drawing/2014/chart" uri="{C3380CC4-5D6E-409C-BE32-E72D297353CC}">
              <c16:uniqueId val="{00000000-47E0-4B92-93D4-0E976417A304}"/>
            </c:ext>
          </c:extLst>
        </c:ser>
        <c:dLbls>
          <c:showLegendKey val="0"/>
          <c:showVal val="0"/>
          <c:showCatName val="0"/>
          <c:showSerName val="0"/>
          <c:showPercent val="0"/>
          <c:showBubbleSize val="0"/>
        </c:dLbls>
        <c:gapWidth val="150"/>
        <c:axId val="76290304"/>
        <c:axId val="76312576"/>
      </c:barChart>
      <c:catAx>
        <c:axId val="76290304"/>
        <c:scaling>
          <c:orientation val="minMax"/>
        </c:scaling>
        <c:delete val="0"/>
        <c:axPos val="b"/>
        <c:numFmt formatCode="General" sourceLinked="1"/>
        <c:majorTickMark val="out"/>
        <c:minorTickMark val="none"/>
        <c:tickLblPos val="nextTo"/>
        <c:crossAx val="76312576"/>
        <c:crosses val="autoZero"/>
        <c:auto val="1"/>
        <c:lblAlgn val="ctr"/>
        <c:lblOffset val="100"/>
        <c:noMultiLvlLbl val="0"/>
      </c:catAx>
      <c:valAx>
        <c:axId val="76312576"/>
        <c:scaling>
          <c:orientation val="minMax"/>
        </c:scaling>
        <c:delete val="0"/>
        <c:axPos val="l"/>
        <c:majorGridlines/>
        <c:numFmt formatCode="#\ ##0.0" sourceLinked="1"/>
        <c:majorTickMark val="out"/>
        <c:minorTickMark val="none"/>
        <c:tickLblPos val="nextTo"/>
        <c:crossAx val="762903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TONNAGE</a:t>
            </a:r>
            <a:r>
              <a:rPr lang="en-US" baseline="0"/>
              <a:t> GLOBAL</a:t>
            </a:r>
            <a:r>
              <a:rPr lang="en-US"/>
              <a:t> / SEMAINE</a:t>
            </a:r>
          </a:p>
        </c:rich>
      </c:tx>
      <c:overlay val="0"/>
    </c:title>
    <c:autoTitleDeleted val="0"/>
    <c:plotArea>
      <c:layout/>
      <c:barChart>
        <c:barDir val="col"/>
        <c:grouping val="clustered"/>
        <c:varyColors val="0"/>
        <c:ser>
          <c:idx val="1"/>
          <c:order val="0"/>
          <c:tx>
            <c:v>TONNES / SEMAINE</c:v>
          </c:tx>
          <c:invertIfNegative val="0"/>
          <c:cat>
            <c:numRef>
              <c:f>'CORALINA S4'!$A$10:$A$231</c:f>
              <c:numCache>
                <c:formatCode>General</c:formatCode>
                <c:ptCount val="222"/>
                <c:pt idx="0">
                  <c:v>14</c:v>
                </c:pt>
                <c:pt idx="6">
                  <c:v>15</c:v>
                </c:pt>
                <c:pt idx="12">
                  <c:v>16</c:v>
                </c:pt>
                <c:pt idx="18">
                  <c:v>17</c:v>
                </c:pt>
                <c:pt idx="24">
                  <c:v>18</c:v>
                </c:pt>
                <c:pt idx="30">
                  <c:v>19</c:v>
                </c:pt>
                <c:pt idx="36">
                  <c:v>20</c:v>
                </c:pt>
                <c:pt idx="42">
                  <c:v>21</c:v>
                </c:pt>
                <c:pt idx="48">
                  <c:v>22</c:v>
                </c:pt>
                <c:pt idx="54">
                  <c:v>23</c:v>
                </c:pt>
                <c:pt idx="60">
                  <c:v>24</c:v>
                </c:pt>
                <c:pt idx="66">
                  <c:v>25</c:v>
                </c:pt>
                <c:pt idx="72">
                  <c:v>26</c:v>
                </c:pt>
                <c:pt idx="78">
                  <c:v>27</c:v>
                </c:pt>
                <c:pt idx="84">
                  <c:v>28</c:v>
                </c:pt>
                <c:pt idx="90">
                  <c:v>29</c:v>
                </c:pt>
                <c:pt idx="96">
                  <c:v>30</c:v>
                </c:pt>
                <c:pt idx="102">
                  <c:v>31</c:v>
                </c:pt>
                <c:pt idx="108">
                  <c:v>32</c:v>
                </c:pt>
                <c:pt idx="114">
                  <c:v>33</c:v>
                </c:pt>
                <c:pt idx="120">
                  <c:v>34</c:v>
                </c:pt>
                <c:pt idx="126">
                  <c:v>35</c:v>
                </c:pt>
                <c:pt idx="132">
                  <c:v>36</c:v>
                </c:pt>
                <c:pt idx="138">
                  <c:v>37</c:v>
                </c:pt>
                <c:pt idx="144">
                  <c:v>38</c:v>
                </c:pt>
                <c:pt idx="150">
                  <c:v>39</c:v>
                </c:pt>
                <c:pt idx="156">
                  <c:v>40</c:v>
                </c:pt>
                <c:pt idx="162">
                  <c:v>41</c:v>
                </c:pt>
                <c:pt idx="168">
                  <c:v>42</c:v>
                </c:pt>
                <c:pt idx="174">
                  <c:v>43</c:v>
                </c:pt>
                <c:pt idx="180">
                  <c:v>44</c:v>
                </c:pt>
                <c:pt idx="186">
                  <c:v>45</c:v>
                </c:pt>
                <c:pt idx="192">
                  <c:v>46</c:v>
                </c:pt>
                <c:pt idx="198">
                  <c:v>47</c:v>
                </c:pt>
                <c:pt idx="204">
                  <c:v>48</c:v>
                </c:pt>
                <c:pt idx="210">
                  <c:v>49</c:v>
                </c:pt>
                <c:pt idx="216">
                  <c:v>50</c:v>
                </c:pt>
              </c:numCache>
            </c:numRef>
          </c:cat>
          <c:val>
            <c:numRef>
              <c:f>'CORALINA S4'!$E$10:$E$231</c:f>
              <c:numCache>
                <c:formatCode>#\ ##0.0</c:formatCode>
                <c:ptCount val="222"/>
                <c:pt idx="0">
                  <c:v>0</c:v>
                </c:pt>
                <c:pt idx="6">
                  <c:v>1273.5</c:v>
                </c:pt>
                <c:pt idx="12">
                  <c:v>7033</c:v>
                </c:pt>
                <c:pt idx="18">
                  <c:v>16093</c:v>
                </c:pt>
                <c:pt idx="24">
                  <c:v>28214</c:v>
                </c:pt>
                <c:pt idx="30">
                  <c:v>21680</c:v>
                </c:pt>
                <c:pt idx="36">
                  <c:v>39607.5</c:v>
                </c:pt>
                <c:pt idx="42">
                  <c:v>24769.5</c:v>
                </c:pt>
                <c:pt idx="48">
                  <c:v>24663.5</c:v>
                </c:pt>
                <c:pt idx="54">
                  <c:v>21305.5</c:v>
                </c:pt>
                <c:pt idx="60">
                  <c:v>16303.5</c:v>
                </c:pt>
                <c:pt idx="66">
                  <c:v>16153</c:v>
                </c:pt>
                <c:pt idx="72">
                  <c:v>17087.5</c:v>
                </c:pt>
                <c:pt idx="78">
                  <c:v>22311.5</c:v>
                </c:pt>
                <c:pt idx="84">
                  <c:v>15044</c:v>
                </c:pt>
                <c:pt idx="90">
                  <c:v>11993.5</c:v>
                </c:pt>
                <c:pt idx="96">
                  <c:v>4260</c:v>
                </c:pt>
                <c:pt idx="102">
                  <c:v>13095.5</c:v>
                </c:pt>
                <c:pt idx="108">
                  <c:v>18446.5</c:v>
                </c:pt>
                <c:pt idx="114">
                  <c:v>10100.5</c:v>
                </c:pt>
                <c:pt idx="120">
                  <c:v>7733.5</c:v>
                </c:pt>
                <c:pt idx="126">
                  <c:v>13682</c:v>
                </c:pt>
                <c:pt idx="132">
                  <c:v>16308.5</c:v>
                </c:pt>
                <c:pt idx="138">
                  <c:v>4279.5</c:v>
                </c:pt>
                <c:pt idx="144">
                  <c:v>17984.5</c:v>
                </c:pt>
                <c:pt idx="150">
                  <c:v>14270.5</c:v>
                </c:pt>
                <c:pt idx="156">
                  <c:v>7038</c:v>
                </c:pt>
                <c:pt idx="162">
                  <c:v>14682.5</c:v>
                </c:pt>
                <c:pt idx="168">
                  <c:v>10357.5</c:v>
                </c:pt>
                <c:pt idx="174">
                  <c:v>17178.5</c:v>
                </c:pt>
                <c:pt idx="180">
                  <c:v>3777</c:v>
                </c:pt>
                <c:pt idx="186">
                  <c:v>1302</c:v>
                </c:pt>
                <c:pt idx="192">
                  <c:v>0</c:v>
                </c:pt>
                <c:pt idx="198">
                  <c:v>0</c:v>
                </c:pt>
                <c:pt idx="204">
                  <c:v>0</c:v>
                </c:pt>
                <c:pt idx="210">
                  <c:v>0</c:v>
                </c:pt>
                <c:pt idx="216">
                  <c:v>0</c:v>
                </c:pt>
              </c:numCache>
            </c:numRef>
          </c:val>
          <c:extLst>
            <c:ext xmlns:c16="http://schemas.microsoft.com/office/drawing/2014/chart" uri="{C3380CC4-5D6E-409C-BE32-E72D297353CC}">
              <c16:uniqueId val="{00000000-8165-44BD-A517-E0EDE837ED99}"/>
            </c:ext>
          </c:extLst>
        </c:ser>
        <c:dLbls>
          <c:showLegendKey val="0"/>
          <c:showVal val="0"/>
          <c:showCatName val="0"/>
          <c:showSerName val="0"/>
          <c:showPercent val="0"/>
          <c:showBubbleSize val="0"/>
        </c:dLbls>
        <c:gapWidth val="150"/>
        <c:axId val="74047488"/>
        <c:axId val="74049024"/>
      </c:barChart>
      <c:catAx>
        <c:axId val="74047488"/>
        <c:scaling>
          <c:orientation val="minMax"/>
        </c:scaling>
        <c:delete val="0"/>
        <c:axPos val="b"/>
        <c:numFmt formatCode="General" sourceLinked="1"/>
        <c:majorTickMark val="out"/>
        <c:minorTickMark val="none"/>
        <c:tickLblPos val="nextTo"/>
        <c:crossAx val="74049024"/>
        <c:crosses val="autoZero"/>
        <c:auto val="1"/>
        <c:lblAlgn val="ctr"/>
        <c:lblOffset val="100"/>
        <c:noMultiLvlLbl val="0"/>
      </c:catAx>
      <c:valAx>
        <c:axId val="74049024"/>
        <c:scaling>
          <c:orientation val="minMax"/>
        </c:scaling>
        <c:delete val="0"/>
        <c:axPos val="l"/>
        <c:majorGridlines/>
        <c:numFmt formatCode="#\ ##0.0" sourceLinked="1"/>
        <c:majorTickMark val="out"/>
        <c:minorTickMark val="none"/>
        <c:tickLblPos val="nextTo"/>
        <c:crossAx val="740474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a:pPr>
            <a:r>
              <a:rPr lang="fr-FR"/>
              <a:t>REPARTITION DE PRODUCTION / SEMAINE</a:t>
            </a:r>
          </a:p>
        </c:rich>
      </c:tx>
      <c:overlay val="0"/>
    </c:title>
    <c:autoTitleDeleted val="0"/>
    <c:plotArea>
      <c:layout/>
      <c:barChart>
        <c:barDir val="col"/>
        <c:grouping val="clustered"/>
        <c:varyColors val="0"/>
        <c:ser>
          <c:idx val="1"/>
          <c:order val="0"/>
          <c:tx>
            <c:v>TONNAGE</c:v>
          </c:tx>
          <c:invertIfNegative val="0"/>
          <c:cat>
            <c:numRef>
              <c:f>'RENDEMENT VARIETAL'!$E$1:$AO$1</c:f>
              <c:numCache>
                <c:formatCode>General</c:formatCode>
                <c:ptCount val="37"/>
                <c:pt idx="0" formatCode="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numCache>
            </c:numRef>
          </c:cat>
          <c:val>
            <c:numRef>
              <c:f>'RENDEMENT VARIETAL'!$E$6:$AO$6</c:f>
              <c:numCache>
                <c:formatCode>#\ ##0.0</c:formatCode>
                <c:ptCount val="37"/>
                <c:pt idx="0">
                  <c:v>7655</c:v>
                </c:pt>
                <c:pt idx="1">
                  <c:v>10726</c:v>
                </c:pt>
                <c:pt idx="2">
                  <c:v>35660</c:v>
                </c:pt>
                <c:pt idx="3">
                  <c:v>66939.8</c:v>
                </c:pt>
                <c:pt idx="4">
                  <c:v>90112.9</c:v>
                </c:pt>
                <c:pt idx="5">
                  <c:v>93212.1</c:v>
                </c:pt>
                <c:pt idx="6">
                  <c:v>119593.5</c:v>
                </c:pt>
                <c:pt idx="7">
                  <c:v>114479.6</c:v>
                </c:pt>
                <c:pt idx="8">
                  <c:v>111329.1</c:v>
                </c:pt>
                <c:pt idx="9">
                  <c:v>84024.7</c:v>
                </c:pt>
                <c:pt idx="10">
                  <c:v>79006.2</c:v>
                </c:pt>
                <c:pt idx="11">
                  <c:v>82602.600000000006</c:v>
                </c:pt>
                <c:pt idx="12">
                  <c:v>92290.3</c:v>
                </c:pt>
                <c:pt idx="13">
                  <c:v>98626</c:v>
                </c:pt>
                <c:pt idx="14">
                  <c:v>100661.8</c:v>
                </c:pt>
                <c:pt idx="15">
                  <c:v>71709.600000000006</c:v>
                </c:pt>
                <c:pt idx="16">
                  <c:v>50466.2</c:v>
                </c:pt>
                <c:pt idx="17">
                  <c:v>84373</c:v>
                </c:pt>
                <c:pt idx="18">
                  <c:v>73072</c:v>
                </c:pt>
                <c:pt idx="19">
                  <c:v>55367.6</c:v>
                </c:pt>
                <c:pt idx="20">
                  <c:v>40474.199999999997</c:v>
                </c:pt>
                <c:pt idx="21">
                  <c:v>51985</c:v>
                </c:pt>
                <c:pt idx="22">
                  <c:v>63902.6</c:v>
                </c:pt>
                <c:pt idx="23">
                  <c:v>63453.200000000004</c:v>
                </c:pt>
                <c:pt idx="24">
                  <c:v>71884.100000000006</c:v>
                </c:pt>
                <c:pt idx="25">
                  <c:v>75696.700000000012</c:v>
                </c:pt>
                <c:pt idx="26">
                  <c:v>39542.6</c:v>
                </c:pt>
                <c:pt idx="27">
                  <c:v>66393.600000000006</c:v>
                </c:pt>
                <c:pt idx="28">
                  <c:v>42285.4</c:v>
                </c:pt>
                <c:pt idx="29">
                  <c:v>54514.2</c:v>
                </c:pt>
                <c:pt idx="30">
                  <c:v>60040.7</c:v>
                </c:pt>
                <c:pt idx="31">
                  <c:v>21301.8</c:v>
                </c:pt>
                <c:pt idx="32">
                  <c:v>0</c:v>
                </c:pt>
                <c:pt idx="33">
                  <c:v>0</c:v>
                </c:pt>
                <c:pt idx="34">
                  <c:v>0</c:v>
                </c:pt>
                <c:pt idx="35">
                  <c:v>0</c:v>
                </c:pt>
                <c:pt idx="36">
                  <c:v>0</c:v>
                </c:pt>
              </c:numCache>
            </c:numRef>
          </c:val>
          <c:extLst>
            <c:ext xmlns:c16="http://schemas.microsoft.com/office/drawing/2014/chart" uri="{C3380CC4-5D6E-409C-BE32-E72D297353CC}">
              <c16:uniqueId val="{00000000-701D-493B-A0B3-DB059ECE81AE}"/>
            </c:ext>
          </c:extLst>
        </c:ser>
        <c:dLbls>
          <c:showLegendKey val="0"/>
          <c:showVal val="0"/>
          <c:showCatName val="0"/>
          <c:showSerName val="0"/>
          <c:showPercent val="0"/>
          <c:showBubbleSize val="0"/>
        </c:dLbls>
        <c:gapWidth val="150"/>
        <c:axId val="63972480"/>
        <c:axId val="63974016"/>
      </c:barChart>
      <c:catAx>
        <c:axId val="63972480"/>
        <c:scaling>
          <c:orientation val="minMax"/>
        </c:scaling>
        <c:delete val="0"/>
        <c:axPos val="b"/>
        <c:numFmt formatCode="0" sourceLinked="1"/>
        <c:majorTickMark val="out"/>
        <c:minorTickMark val="none"/>
        <c:tickLblPos val="nextTo"/>
        <c:crossAx val="63974016"/>
        <c:crosses val="autoZero"/>
        <c:auto val="1"/>
        <c:lblAlgn val="ctr"/>
        <c:lblOffset val="100"/>
        <c:noMultiLvlLbl val="0"/>
      </c:catAx>
      <c:valAx>
        <c:axId val="63974016"/>
        <c:scaling>
          <c:orientation val="minMax"/>
        </c:scaling>
        <c:delete val="0"/>
        <c:axPos val="l"/>
        <c:majorGridlines/>
        <c:numFmt formatCode="#\ ##0.0" sourceLinked="1"/>
        <c:majorTickMark val="out"/>
        <c:minorTickMark val="none"/>
        <c:tickLblPos val="nextTo"/>
        <c:crossAx val="63972480"/>
        <c:crosses val="autoZero"/>
        <c:crossBetween val="between"/>
      </c:valAx>
    </c:plotArea>
    <c:legend>
      <c:legendPos val="r"/>
      <c:overlay val="0"/>
    </c:legend>
    <c:plotVisOnly val="1"/>
    <c:dispBlanksAs val="gap"/>
    <c:showDLblsOverMax val="0"/>
  </c:chart>
  <c:printSettings>
    <c:headerFooter/>
    <c:pageMargins b="0.75000000000000266" l="0.70000000000000062" r="0.70000000000000062" t="0.750000000000002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27"/>
    </mc:Choice>
    <mc:Fallback>
      <c:style val="27"/>
    </mc:Fallback>
  </mc:AlternateContent>
  <c:chart>
    <c:title>
      <c:tx>
        <c:rich>
          <a:bodyPr/>
          <a:lstStyle/>
          <a:p>
            <a:pPr>
              <a:defRPr/>
            </a:pPr>
            <a:r>
              <a:rPr lang="fr-FR"/>
              <a:t>PRODUCTION</a:t>
            </a:r>
            <a:r>
              <a:rPr lang="fr-FR" baseline="0"/>
              <a:t> CUMULEE</a:t>
            </a:r>
            <a:endParaRPr lang="fr-FR"/>
          </a:p>
        </c:rich>
      </c:tx>
      <c:overlay val="0"/>
    </c:title>
    <c:autoTitleDeleted val="0"/>
    <c:plotArea>
      <c:layout>
        <c:manualLayout>
          <c:layoutTarget val="inner"/>
          <c:xMode val="edge"/>
          <c:yMode val="edge"/>
          <c:x val="8.4834911273616476E-2"/>
          <c:y val="1.2738269342850465E-2"/>
          <c:w val="0.8113830002018978"/>
          <c:h val="0.92453255045128468"/>
        </c:manualLayout>
      </c:layout>
      <c:barChart>
        <c:barDir val="col"/>
        <c:grouping val="clustered"/>
        <c:varyColors val="0"/>
        <c:ser>
          <c:idx val="1"/>
          <c:order val="0"/>
          <c:tx>
            <c:v>TONNAGE CUMULE</c:v>
          </c:tx>
          <c:invertIfNegative val="0"/>
          <c:cat>
            <c:numRef>
              <c:f>'RENDEMENT VARIETAL'!$E$1:$AO$1</c:f>
              <c:numCache>
                <c:formatCode>General</c:formatCode>
                <c:ptCount val="37"/>
                <c:pt idx="0" formatCode="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numCache>
            </c:numRef>
          </c:cat>
          <c:val>
            <c:numRef>
              <c:f>'RENDEMENT VARIETAL'!$E$7:$AO$7</c:f>
              <c:numCache>
                <c:formatCode>#\ ##0.0</c:formatCode>
                <c:ptCount val="37"/>
                <c:pt idx="0">
                  <c:v>10900</c:v>
                </c:pt>
                <c:pt idx="1">
                  <c:v>21626</c:v>
                </c:pt>
                <c:pt idx="2">
                  <c:v>57286</c:v>
                </c:pt>
                <c:pt idx="3">
                  <c:v>124225.8</c:v>
                </c:pt>
                <c:pt idx="4">
                  <c:v>214338.7</c:v>
                </c:pt>
                <c:pt idx="5">
                  <c:v>307550.80000000005</c:v>
                </c:pt>
                <c:pt idx="6">
                  <c:v>427144.30000000005</c:v>
                </c:pt>
                <c:pt idx="7">
                  <c:v>541623.9</c:v>
                </c:pt>
                <c:pt idx="8">
                  <c:v>652953</c:v>
                </c:pt>
                <c:pt idx="9">
                  <c:v>736977.7</c:v>
                </c:pt>
                <c:pt idx="10">
                  <c:v>815983.89999999991</c:v>
                </c:pt>
                <c:pt idx="11">
                  <c:v>898586.49999999988</c:v>
                </c:pt>
                <c:pt idx="12">
                  <c:v>990876.79999999993</c:v>
                </c:pt>
                <c:pt idx="13">
                  <c:v>1089502.7999999998</c:v>
                </c:pt>
                <c:pt idx="14">
                  <c:v>1190164.5999999999</c:v>
                </c:pt>
                <c:pt idx="15">
                  <c:v>1261874.2</c:v>
                </c:pt>
                <c:pt idx="16">
                  <c:v>1312340.3999999999</c:v>
                </c:pt>
                <c:pt idx="17">
                  <c:v>1396713.4</c:v>
                </c:pt>
                <c:pt idx="18">
                  <c:v>1469785.4</c:v>
                </c:pt>
                <c:pt idx="19">
                  <c:v>1525153</c:v>
                </c:pt>
                <c:pt idx="20">
                  <c:v>1565627.2</c:v>
                </c:pt>
                <c:pt idx="21">
                  <c:v>1617612.2</c:v>
                </c:pt>
                <c:pt idx="22">
                  <c:v>1681514.8</c:v>
                </c:pt>
                <c:pt idx="23">
                  <c:v>1744968</c:v>
                </c:pt>
                <c:pt idx="24">
                  <c:v>1816852.1</c:v>
                </c:pt>
                <c:pt idx="25">
                  <c:v>1892548.8</c:v>
                </c:pt>
                <c:pt idx="26">
                  <c:v>1932091.4000000001</c:v>
                </c:pt>
                <c:pt idx="27">
                  <c:v>1998485.0000000002</c:v>
                </c:pt>
                <c:pt idx="28">
                  <c:v>2040770.4000000001</c:v>
                </c:pt>
                <c:pt idx="29">
                  <c:v>2095284.6</c:v>
                </c:pt>
                <c:pt idx="30">
                  <c:v>2155325.3000000003</c:v>
                </c:pt>
                <c:pt idx="31">
                  <c:v>2176627.1</c:v>
                </c:pt>
                <c:pt idx="32">
                  <c:v>2176627.1</c:v>
                </c:pt>
                <c:pt idx="33">
                  <c:v>2176627.1</c:v>
                </c:pt>
                <c:pt idx="34">
                  <c:v>2176627.1</c:v>
                </c:pt>
                <c:pt idx="35">
                  <c:v>2176627.1</c:v>
                </c:pt>
                <c:pt idx="36">
                  <c:v>2176627.1</c:v>
                </c:pt>
              </c:numCache>
            </c:numRef>
          </c:val>
          <c:extLst>
            <c:ext xmlns:c16="http://schemas.microsoft.com/office/drawing/2014/chart" uri="{C3380CC4-5D6E-409C-BE32-E72D297353CC}">
              <c16:uniqueId val="{00000000-7C6F-4FAD-BD0B-47BEAAFD19A7}"/>
            </c:ext>
          </c:extLst>
        </c:ser>
        <c:dLbls>
          <c:showLegendKey val="0"/>
          <c:showVal val="0"/>
          <c:showCatName val="0"/>
          <c:showSerName val="0"/>
          <c:showPercent val="0"/>
          <c:showBubbleSize val="0"/>
        </c:dLbls>
        <c:gapWidth val="150"/>
        <c:axId val="63998592"/>
        <c:axId val="64004480"/>
      </c:barChart>
      <c:catAx>
        <c:axId val="63998592"/>
        <c:scaling>
          <c:orientation val="minMax"/>
        </c:scaling>
        <c:delete val="0"/>
        <c:axPos val="b"/>
        <c:numFmt formatCode="0" sourceLinked="1"/>
        <c:majorTickMark val="out"/>
        <c:minorTickMark val="none"/>
        <c:tickLblPos val="nextTo"/>
        <c:crossAx val="64004480"/>
        <c:crosses val="autoZero"/>
        <c:auto val="1"/>
        <c:lblAlgn val="ctr"/>
        <c:lblOffset val="100"/>
        <c:noMultiLvlLbl val="0"/>
      </c:catAx>
      <c:valAx>
        <c:axId val="64004480"/>
        <c:scaling>
          <c:orientation val="minMax"/>
        </c:scaling>
        <c:delete val="0"/>
        <c:axPos val="l"/>
        <c:majorGridlines/>
        <c:numFmt formatCode="#\ ##0.0" sourceLinked="1"/>
        <c:majorTickMark val="out"/>
        <c:minorTickMark val="none"/>
        <c:tickLblPos val="nextTo"/>
        <c:crossAx val="63998592"/>
        <c:crosses val="autoZero"/>
        <c:crossBetween val="between"/>
      </c:valAx>
    </c:plotArea>
    <c:legend>
      <c:legendPos val="r"/>
      <c:layout>
        <c:manualLayout>
          <c:xMode val="edge"/>
          <c:yMode val="edge"/>
          <c:x val="0.89321169156181057"/>
          <c:y val="0.53445314007981859"/>
          <c:w val="0.10678830843818941"/>
          <c:h val="4.0334856606320607E-2"/>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REPARTITION DE PRODUCTION VARIETAL / SEMAINE</a:t>
            </a:r>
          </a:p>
        </c:rich>
      </c:tx>
      <c:overlay val="0"/>
    </c:title>
    <c:autoTitleDeleted val="0"/>
    <c:plotArea>
      <c:layout/>
      <c:lineChart>
        <c:grouping val="standard"/>
        <c:varyColors val="0"/>
        <c:ser>
          <c:idx val="9"/>
          <c:order val="0"/>
          <c:tx>
            <c:v>CORALINA</c:v>
          </c:tx>
          <c:marker>
            <c:symbol val="none"/>
          </c:marker>
          <c:cat>
            <c:numRef>
              <c:f>'RENDEMENT VARIETAL'!$E$1:$AO$1</c:f>
              <c:numCache>
                <c:formatCode>General</c:formatCode>
                <c:ptCount val="37"/>
                <c:pt idx="0" formatCode="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numCache>
            </c:numRef>
          </c:cat>
          <c:val>
            <c:numRef>
              <c:f>'RENDEMENT VARIETAL'!$E$2:$AO$2</c:f>
              <c:numCache>
                <c:formatCode>#\ ##0.0</c:formatCode>
                <c:ptCount val="37"/>
                <c:pt idx="0">
                  <c:v>0</c:v>
                </c:pt>
                <c:pt idx="1">
                  <c:v>1071</c:v>
                </c:pt>
                <c:pt idx="2">
                  <c:v>5845</c:v>
                </c:pt>
                <c:pt idx="3">
                  <c:v>13636</c:v>
                </c:pt>
                <c:pt idx="4">
                  <c:v>19061</c:v>
                </c:pt>
                <c:pt idx="5">
                  <c:v>15848</c:v>
                </c:pt>
                <c:pt idx="6">
                  <c:v>36435</c:v>
                </c:pt>
                <c:pt idx="7">
                  <c:v>21084</c:v>
                </c:pt>
                <c:pt idx="8">
                  <c:v>20951</c:v>
                </c:pt>
                <c:pt idx="9">
                  <c:v>16702</c:v>
                </c:pt>
                <c:pt idx="10">
                  <c:v>13482</c:v>
                </c:pt>
                <c:pt idx="11">
                  <c:v>14560</c:v>
                </c:pt>
                <c:pt idx="12">
                  <c:v>15967</c:v>
                </c:pt>
                <c:pt idx="13">
                  <c:v>21623</c:v>
                </c:pt>
                <c:pt idx="14">
                  <c:v>14504</c:v>
                </c:pt>
                <c:pt idx="15">
                  <c:v>11116</c:v>
                </c:pt>
                <c:pt idx="16">
                  <c:v>3423</c:v>
                </c:pt>
                <c:pt idx="17">
                  <c:v>11732</c:v>
                </c:pt>
                <c:pt idx="18">
                  <c:v>17353</c:v>
                </c:pt>
                <c:pt idx="19">
                  <c:v>8953</c:v>
                </c:pt>
                <c:pt idx="20">
                  <c:v>6181</c:v>
                </c:pt>
                <c:pt idx="21">
                  <c:v>9254</c:v>
                </c:pt>
                <c:pt idx="22">
                  <c:v>15554</c:v>
                </c:pt>
                <c:pt idx="23">
                  <c:v>4074</c:v>
                </c:pt>
                <c:pt idx="24">
                  <c:v>17773</c:v>
                </c:pt>
                <c:pt idx="25">
                  <c:v>13426</c:v>
                </c:pt>
                <c:pt idx="26">
                  <c:v>4494</c:v>
                </c:pt>
                <c:pt idx="27">
                  <c:v>10514</c:v>
                </c:pt>
                <c:pt idx="28">
                  <c:v>7014</c:v>
                </c:pt>
                <c:pt idx="29">
                  <c:v>11669</c:v>
                </c:pt>
                <c:pt idx="30">
                  <c:v>2751</c:v>
                </c:pt>
                <c:pt idx="31">
                  <c:v>1302</c:v>
                </c:pt>
                <c:pt idx="32">
                  <c:v>0</c:v>
                </c:pt>
                <c:pt idx="33">
                  <c:v>0</c:v>
                </c:pt>
                <c:pt idx="34">
                  <c:v>0</c:v>
                </c:pt>
                <c:pt idx="35">
                  <c:v>0</c:v>
                </c:pt>
                <c:pt idx="36">
                  <c:v>0</c:v>
                </c:pt>
              </c:numCache>
            </c:numRef>
          </c:val>
          <c:smooth val="0"/>
          <c:extLst>
            <c:ext xmlns:c16="http://schemas.microsoft.com/office/drawing/2014/chart" uri="{C3380CC4-5D6E-409C-BE32-E72D297353CC}">
              <c16:uniqueId val="{00000000-3CFE-4431-B7C4-07DD403E3D58}"/>
            </c:ext>
          </c:extLst>
        </c:ser>
        <c:ser>
          <c:idx val="10"/>
          <c:order val="1"/>
          <c:tx>
            <c:v>ADMIRO</c:v>
          </c:tx>
          <c:marker>
            <c:symbol val="none"/>
          </c:marker>
          <c:cat>
            <c:numRef>
              <c:f>'RENDEMENT VARIETAL'!$E$1:$AO$1</c:f>
              <c:numCache>
                <c:formatCode>General</c:formatCode>
                <c:ptCount val="37"/>
                <c:pt idx="0" formatCode="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numCache>
            </c:numRef>
          </c:cat>
          <c:val>
            <c:numRef>
              <c:f>'RENDEMENT VARIETAL'!$E$3:$AO$3</c:f>
              <c:numCache>
                <c:formatCode>#\ ##0.0</c:formatCode>
                <c:ptCount val="37"/>
                <c:pt idx="0">
                  <c:v>0</c:v>
                </c:pt>
                <c:pt idx="1">
                  <c:v>0</c:v>
                </c:pt>
                <c:pt idx="2">
                  <c:v>10360</c:v>
                </c:pt>
                <c:pt idx="3">
                  <c:v>17495</c:v>
                </c:pt>
                <c:pt idx="4">
                  <c:v>29045</c:v>
                </c:pt>
                <c:pt idx="5">
                  <c:v>20580</c:v>
                </c:pt>
                <c:pt idx="6">
                  <c:v>28240</c:v>
                </c:pt>
                <c:pt idx="7">
                  <c:v>25815</c:v>
                </c:pt>
                <c:pt idx="8">
                  <c:v>21455</c:v>
                </c:pt>
                <c:pt idx="9">
                  <c:v>20115</c:v>
                </c:pt>
                <c:pt idx="10">
                  <c:v>21110</c:v>
                </c:pt>
                <c:pt idx="11">
                  <c:v>25460</c:v>
                </c:pt>
                <c:pt idx="12">
                  <c:v>29660</c:v>
                </c:pt>
                <c:pt idx="13">
                  <c:v>25250</c:v>
                </c:pt>
                <c:pt idx="14">
                  <c:v>34150</c:v>
                </c:pt>
                <c:pt idx="15">
                  <c:v>23100</c:v>
                </c:pt>
                <c:pt idx="16">
                  <c:v>19220</c:v>
                </c:pt>
                <c:pt idx="17">
                  <c:v>28035</c:v>
                </c:pt>
                <c:pt idx="18">
                  <c:v>25000</c:v>
                </c:pt>
                <c:pt idx="19">
                  <c:v>23075</c:v>
                </c:pt>
                <c:pt idx="20">
                  <c:v>7440</c:v>
                </c:pt>
                <c:pt idx="21">
                  <c:v>12285</c:v>
                </c:pt>
                <c:pt idx="22">
                  <c:v>16670</c:v>
                </c:pt>
                <c:pt idx="23">
                  <c:v>21200</c:v>
                </c:pt>
                <c:pt idx="24">
                  <c:v>21485</c:v>
                </c:pt>
                <c:pt idx="25">
                  <c:v>21395</c:v>
                </c:pt>
                <c:pt idx="26">
                  <c:v>14190</c:v>
                </c:pt>
                <c:pt idx="27">
                  <c:v>21615</c:v>
                </c:pt>
                <c:pt idx="28">
                  <c:v>12960</c:v>
                </c:pt>
                <c:pt idx="29">
                  <c:v>9500</c:v>
                </c:pt>
                <c:pt idx="30">
                  <c:v>30325</c:v>
                </c:pt>
                <c:pt idx="31">
                  <c:v>10495</c:v>
                </c:pt>
                <c:pt idx="32">
                  <c:v>0</c:v>
                </c:pt>
                <c:pt idx="33">
                  <c:v>0</c:v>
                </c:pt>
                <c:pt idx="34">
                  <c:v>0</c:v>
                </c:pt>
                <c:pt idx="35">
                  <c:v>0</c:v>
                </c:pt>
                <c:pt idx="36">
                  <c:v>0</c:v>
                </c:pt>
              </c:numCache>
            </c:numRef>
          </c:val>
          <c:smooth val="0"/>
          <c:extLst>
            <c:ext xmlns:c16="http://schemas.microsoft.com/office/drawing/2014/chart" uri="{C3380CC4-5D6E-409C-BE32-E72D297353CC}">
              <c16:uniqueId val="{00000001-3CFE-4431-B7C4-07DD403E3D58}"/>
            </c:ext>
          </c:extLst>
        </c:ser>
        <c:ser>
          <c:idx val="11"/>
          <c:order val="2"/>
          <c:tx>
            <c:v>TC 607</c:v>
          </c:tx>
          <c:marker>
            <c:symbol val="none"/>
          </c:marker>
          <c:cat>
            <c:numRef>
              <c:f>'RENDEMENT VARIETAL'!$E$1:$AO$1</c:f>
              <c:numCache>
                <c:formatCode>General</c:formatCode>
                <c:ptCount val="37"/>
                <c:pt idx="0" formatCode="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numCache>
            </c:numRef>
          </c:cat>
          <c:val>
            <c:numRef>
              <c:f>'RENDEMENT VARIETAL'!$E$4:$AO$4</c:f>
              <c:numCache>
                <c:formatCode>#\ ##0.0</c:formatCode>
                <c:ptCount val="37"/>
                <c:pt idx="0">
                  <c:v>7655</c:v>
                </c:pt>
                <c:pt idx="1">
                  <c:v>9655</c:v>
                </c:pt>
                <c:pt idx="2">
                  <c:v>19455</c:v>
                </c:pt>
                <c:pt idx="3">
                  <c:v>31340</c:v>
                </c:pt>
                <c:pt idx="4">
                  <c:v>33930</c:v>
                </c:pt>
                <c:pt idx="5">
                  <c:v>31630</c:v>
                </c:pt>
                <c:pt idx="6">
                  <c:v>33230</c:v>
                </c:pt>
                <c:pt idx="7">
                  <c:v>47870</c:v>
                </c:pt>
                <c:pt idx="8">
                  <c:v>43085</c:v>
                </c:pt>
                <c:pt idx="9">
                  <c:v>33465</c:v>
                </c:pt>
                <c:pt idx="10">
                  <c:v>25285</c:v>
                </c:pt>
                <c:pt idx="11">
                  <c:v>23100</c:v>
                </c:pt>
                <c:pt idx="12">
                  <c:v>27460</c:v>
                </c:pt>
                <c:pt idx="13">
                  <c:v>31290</c:v>
                </c:pt>
                <c:pt idx="14">
                  <c:v>29185</c:v>
                </c:pt>
                <c:pt idx="15">
                  <c:v>22970</c:v>
                </c:pt>
                <c:pt idx="16">
                  <c:v>22545</c:v>
                </c:pt>
                <c:pt idx="17">
                  <c:v>26765</c:v>
                </c:pt>
                <c:pt idx="18">
                  <c:v>14360</c:v>
                </c:pt>
                <c:pt idx="19">
                  <c:v>13490</c:v>
                </c:pt>
                <c:pt idx="20">
                  <c:v>19580</c:v>
                </c:pt>
                <c:pt idx="21">
                  <c:v>27140</c:v>
                </c:pt>
                <c:pt idx="22">
                  <c:v>23995</c:v>
                </c:pt>
                <c:pt idx="23">
                  <c:v>25035</c:v>
                </c:pt>
                <c:pt idx="24">
                  <c:v>21950</c:v>
                </c:pt>
                <c:pt idx="25">
                  <c:v>22915</c:v>
                </c:pt>
                <c:pt idx="26">
                  <c:v>15170</c:v>
                </c:pt>
                <c:pt idx="27">
                  <c:v>21565</c:v>
                </c:pt>
                <c:pt idx="28">
                  <c:v>13465</c:v>
                </c:pt>
                <c:pt idx="29">
                  <c:v>20885</c:v>
                </c:pt>
                <c:pt idx="30">
                  <c:v>12310</c:v>
                </c:pt>
                <c:pt idx="31">
                  <c:v>6575</c:v>
                </c:pt>
                <c:pt idx="32">
                  <c:v>0</c:v>
                </c:pt>
                <c:pt idx="33">
                  <c:v>0</c:v>
                </c:pt>
                <c:pt idx="34">
                  <c:v>0</c:v>
                </c:pt>
                <c:pt idx="35">
                  <c:v>0</c:v>
                </c:pt>
                <c:pt idx="36">
                  <c:v>0</c:v>
                </c:pt>
              </c:numCache>
            </c:numRef>
          </c:val>
          <c:smooth val="0"/>
          <c:extLst>
            <c:ext xmlns:c16="http://schemas.microsoft.com/office/drawing/2014/chart" uri="{C3380CC4-5D6E-409C-BE32-E72D297353CC}">
              <c16:uniqueId val="{00000002-3CFE-4431-B7C4-07DD403E3D58}"/>
            </c:ext>
          </c:extLst>
        </c:ser>
        <c:ser>
          <c:idx val="12"/>
          <c:order val="3"/>
          <c:tx>
            <c:v>GRAPPE</c:v>
          </c:tx>
          <c:marker>
            <c:symbol val="none"/>
          </c:marker>
          <c:cat>
            <c:numRef>
              <c:f>'RENDEMENT VARIETAL'!$E$1:$AO$1</c:f>
              <c:numCache>
                <c:formatCode>General</c:formatCode>
                <c:ptCount val="37"/>
                <c:pt idx="0" formatCode="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numCache>
            </c:numRef>
          </c:cat>
          <c:val>
            <c:numRef>
              <c:f>'RENDEMENT VARIETAL'!$E$5:$AO$5</c:f>
              <c:numCache>
                <c:formatCode>#\ ##0.0</c:formatCode>
                <c:ptCount val="37"/>
                <c:pt idx="0">
                  <c:v>0</c:v>
                </c:pt>
                <c:pt idx="1">
                  <c:v>0</c:v>
                </c:pt>
                <c:pt idx="2">
                  <c:v>0</c:v>
                </c:pt>
                <c:pt idx="3">
                  <c:v>4468.8</c:v>
                </c:pt>
                <c:pt idx="4">
                  <c:v>8076.9000000000005</c:v>
                </c:pt>
                <c:pt idx="5">
                  <c:v>25154.100000000002</c:v>
                </c:pt>
                <c:pt idx="6">
                  <c:v>21688.5</c:v>
                </c:pt>
                <c:pt idx="7">
                  <c:v>19710.599999999999</c:v>
                </c:pt>
                <c:pt idx="8">
                  <c:v>25838.100000000002</c:v>
                </c:pt>
                <c:pt idx="9">
                  <c:v>13742.7</c:v>
                </c:pt>
                <c:pt idx="10">
                  <c:v>19129.2</c:v>
                </c:pt>
                <c:pt idx="11">
                  <c:v>19482.600000000002</c:v>
                </c:pt>
                <c:pt idx="12">
                  <c:v>19203.300000000003</c:v>
                </c:pt>
                <c:pt idx="13">
                  <c:v>20463.000000000007</c:v>
                </c:pt>
                <c:pt idx="14">
                  <c:v>22822.800000000003</c:v>
                </c:pt>
                <c:pt idx="15">
                  <c:v>14523.600000000002</c:v>
                </c:pt>
                <c:pt idx="16">
                  <c:v>5278.2</c:v>
                </c:pt>
                <c:pt idx="17">
                  <c:v>17841</c:v>
                </c:pt>
                <c:pt idx="18">
                  <c:v>16359</c:v>
                </c:pt>
                <c:pt idx="19">
                  <c:v>9849.6</c:v>
                </c:pt>
                <c:pt idx="20">
                  <c:v>7273.2000000000007</c:v>
                </c:pt>
                <c:pt idx="21">
                  <c:v>3306</c:v>
                </c:pt>
                <c:pt idx="22">
                  <c:v>7683.5999999999995</c:v>
                </c:pt>
                <c:pt idx="23">
                  <c:v>13144.200000000003</c:v>
                </c:pt>
                <c:pt idx="24">
                  <c:v>10676.1</c:v>
                </c:pt>
                <c:pt idx="25">
                  <c:v>17960.700000000004</c:v>
                </c:pt>
                <c:pt idx="26">
                  <c:v>5688.5999999999995</c:v>
                </c:pt>
                <c:pt idx="27">
                  <c:v>12699.6</c:v>
                </c:pt>
                <c:pt idx="28">
                  <c:v>8846.4</c:v>
                </c:pt>
                <c:pt idx="29">
                  <c:v>12460.199999999997</c:v>
                </c:pt>
                <c:pt idx="30">
                  <c:v>14654.7</c:v>
                </c:pt>
                <c:pt idx="31">
                  <c:v>2929.8</c:v>
                </c:pt>
                <c:pt idx="32">
                  <c:v>0</c:v>
                </c:pt>
                <c:pt idx="33">
                  <c:v>0</c:v>
                </c:pt>
                <c:pt idx="34">
                  <c:v>0</c:v>
                </c:pt>
                <c:pt idx="35">
                  <c:v>0</c:v>
                </c:pt>
                <c:pt idx="36">
                  <c:v>0</c:v>
                </c:pt>
              </c:numCache>
            </c:numRef>
          </c:val>
          <c:smooth val="0"/>
          <c:extLst>
            <c:ext xmlns:c16="http://schemas.microsoft.com/office/drawing/2014/chart" uri="{C3380CC4-5D6E-409C-BE32-E72D297353CC}">
              <c16:uniqueId val="{00000003-3CFE-4431-B7C4-07DD403E3D58}"/>
            </c:ext>
          </c:extLst>
        </c:ser>
        <c:ser>
          <c:idx val="13"/>
          <c:order val="4"/>
          <c:tx>
            <c:v>FORONTI</c:v>
          </c:tx>
          <c:marker>
            <c:symbol val="none"/>
          </c:marker>
          <c:cat>
            <c:numRef>
              <c:f>'RENDEMENT VARIETAL'!$E$1:$AO$1</c:f>
              <c:numCache>
                <c:formatCode>General</c:formatCode>
                <c:ptCount val="37"/>
                <c:pt idx="0" formatCode="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numCache>
            </c:numRef>
          </c:cat>
          <c:val>
            <c:numRef>
              <c:f>'RENDEMENT VARIETAL'!#REF!</c:f>
              <c:numCache>
                <c:formatCode>General</c:formatCode>
                <c:ptCount val="1"/>
                <c:pt idx="0">
                  <c:v>1</c:v>
                </c:pt>
              </c:numCache>
            </c:numRef>
          </c:val>
          <c:smooth val="0"/>
          <c:extLst>
            <c:ext xmlns:c16="http://schemas.microsoft.com/office/drawing/2014/chart" uri="{C3380CC4-5D6E-409C-BE32-E72D297353CC}">
              <c16:uniqueId val="{00000004-3CFE-4431-B7C4-07DD403E3D58}"/>
            </c:ext>
          </c:extLst>
        </c:ser>
        <c:dLbls>
          <c:showLegendKey val="0"/>
          <c:showVal val="0"/>
          <c:showCatName val="0"/>
          <c:showSerName val="0"/>
          <c:showPercent val="0"/>
          <c:showBubbleSize val="0"/>
        </c:dLbls>
        <c:smooth val="0"/>
        <c:axId val="64105856"/>
        <c:axId val="64115840"/>
      </c:lineChart>
      <c:catAx>
        <c:axId val="64105856"/>
        <c:scaling>
          <c:orientation val="minMax"/>
        </c:scaling>
        <c:delete val="0"/>
        <c:axPos val="b"/>
        <c:numFmt formatCode="0" sourceLinked="1"/>
        <c:majorTickMark val="out"/>
        <c:minorTickMark val="none"/>
        <c:tickLblPos val="nextTo"/>
        <c:crossAx val="64115840"/>
        <c:crosses val="autoZero"/>
        <c:auto val="1"/>
        <c:lblAlgn val="ctr"/>
        <c:lblOffset val="100"/>
        <c:noMultiLvlLbl val="0"/>
      </c:catAx>
      <c:valAx>
        <c:axId val="64115840"/>
        <c:scaling>
          <c:orientation val="minMax"/>
        </c:scaling>
        <c:delete val="0"/>
        <c:axPos val="l"/>
        <c:majorGridlines/>
        <c:numFmt formatCode="#\ ##0.0" sourceLinked="1"/>
        <c:majorTickMark val="out"/>
        <c:minorTickMark val="none"/>
        <c:tickLblPos val="nextTo"/>
        <c:crossAx val="64105856"/>
        <c:crosses val="autoZero"/>
        <c:crossBetween val="between"/>
      </c:valAx>
    </c:plotArea>
    <c:legend>
      <c:legendPos val="r"/>
      <c:layout>
        <c:manualLayout>
          <c:xMode val="edge"/>
          <c:yMode val="edge"/>
          <c:x val="0.90897733793250901"/>
          <c:y val="0.38355369321524868"/>
          <c:w val="8.65893010256511E-2"/>
          <c:h val="0.3289938757655293"/>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KG</a:t>
            </a:r>
            <a:r>
              <a:rPr lang="fr-FR" baseline="0"/>
              <a:t> / M2 GLOBAL</a:t>
            </a:r>
            <a:endParaRPr lang="fr-FR"/>
          </a:p>
        </c:rich>
      </c:tx>
      <c:overlay val="0"/>
    </c:title>
    <c:autoTitleDeleted val="0"/>
    <c:plotArea>
      <c:layout/>
      <c:barChart>
        <c:barDir val="col"/>
        <c:grouping val="stacked"/>
        <c:varyColors val="0"/>
        <c:ser>
          <c:idx val="0"/>
          <c:order val="0"/>
          <c:tx>
            <c:v>1ER CHOIX</c:v>
          </c:tx>
          <c:invertIfNegative val="0"/>
          <c:cat>
            <c:strRef>
              <c:f>'RECAP RENDEMENT'!$A$2:$A$5</c:f>
              <c:strCache>
                <c:ptCount val="4"/>
                <c:pt idx="0">
                  <c:v>TC 607 S1</c:v>
                </c:pt>
                <c:pt idx="1">
                  <c:v>TC SORENTINO S1</c:v>
                </c:pt>
                <c:pt idx="2">
                  <c:v>AVALANTINO S2</c:v>
                </c:pt>
                <c:pt idx="3">
                  <c:v>KOMEET S3</c:v>
                </c:pt>
              </c:strCache>
            </c:strRef>
          </c:cat>
          <c:val>
            <c:numRef>
              <c:f>'RECAP RENDEMENT'!$N$2:$N$5</c:f>
              <c:numCache>
                <c:formatCode>#\ ##0.000</c:formatCode>
                <c:ptCount val="4"/>
                <c:pt idx="0">
                  <c:v>25.746357107996932</c:v>
                </c:pt>
                <c:pt idx="1">
                  <c:v>19.995659722222221</c:v>
                </c:pt>
                <c:pt idx="2">
                  <c:v>36.866176470588236</c:v>
                </c:pt>
                <c:pt idx="3">
                  <c:v>42.339599999999983</c:v>
                </c:pt>
              </c:numCache>
            </c:numRef>
          </c:val>
          <c:extLst>
            <c:ext xmlns:c16="http://schemas.microsoft.com/office/drawing/2014/chart" uri="{C3380CC4-5D6E-409C-BE32-E72D297353CC}">
              <c16:uniqueId val="{00000000-7B5F-4BE6-B906-C1E4530DF9CA}"/>
            </c:ext>
          </c:extLst>
        </c:ser>
        <c:ser>
          <c:idx val="1"/>
          <c:order val="1"/>
          <c:tx>
            <c:v>2EME CHOIX</c:v>
          </c:tx>
          <c:invertIfNegative val="0"/>
          <c:cat>
            <c:strRef>
              <c:f>'RECAP RENDEMENT'!$A$2:$A$5</c:f>
              <c:strCache>
                <c:ptCount val="4"/>
                <c:pt idx="0">
                  <c:v>TC 607 S1</c:v>
                </c:pt>
                <c:pt idx="1">
                  <c:v>TC SORENTINO S1</c:v>
                </c:pt>
                <c:pt idx="2">
                  <c:v>AVALANTINO S2</c:v>
                </c:pt>
                <c:pt idx="3">
                  <c:v>KOMEET S3</c:v>
                </c:pt>
              </c:strCache>
            </c:strRef>
          </c:cat>
          <c:val>
            <c:numRef>
              <c:f>'RECAP RENDEMENT'!$P$2:$P$5</c:f>
              <c:numCache>
                <c:formatCode>#\ ##0.000</c:formatCode>
                <c:ptCount val="4"/>
                <c:pt idx="0">
                  <c:v>0</c:v>
                </c:pt>
                <c:pt idx="1">
                  <c:v>0</c:v>
                </c:pt>
                <c:pt idx="2">
                  <c:v>0</c:v>
                </c:pt>
                <c:pt idx="3">
                  <c:v>2.2109666666666654</c:v>
                </c:pt>
              </c:numCache>
            </c:numRef>
          </c:val>
          <c:extLst>
            <c:ext xmlns:c16="http://schemas.microsoft.com/office/drawing/2014/chart" uri="{C3380CC4-5D6E-409C-BE32-E72D297353CC}">
              <c16:uniqueId val="{00000001-7B5F-4BE6-B906-C1E4530DF9CA}"/>
            </c:ext>
          </c:extLst>
        </c:ser>
        <c:ser>
          <c:idx val="2"/>
          <c:order val="2"/>
          <c:tx>
            <c:v>DEGRAPPE</c:v>
          </c:tx>
          <c:invertIfNegative val="0"/>
          <c:cat>
            <c:strRef>
              <c:f>'RECAP RENDEMENT'!$A$2:$A$5</c:f>
              <c:strCache>
                <c:ptCount val="4"/>
                <c:pt idx="0">
                  <c:v>TC 607 S1</c:v>
                </c:pt>
                <c:pt idx="1">
                  <c:v>TC SORENTINO S1</c:v>
                </c:pt>
                <c:pt idx="2">
                  <c:v>AVALANTINO S2</c:v>
                </c:pt>
                <c:pt idx="3">
                  <c:v>KOMEET S3</c:v>
                </c:pt>
              </c:strCache>
            </c:strRef>
          </c:cat>
          <c:val>
            <c:numRef>
              <c:f>'RECAP RENDEMENT'!$T$2:$T$5</c:f>
              <c:numCache>
                <c:formatCode>#\ ##0.000</c:formatCode>
                <c:ptCount val="4"/>
                <c:pt idx="0">
                  <c:v>0</c:v>
                </c:pt>
                <c:pt idx="1">
                  <c:v>0</c:v>
                </c:pt>
                <c:pt idx="2">
                  <c:v>2.697058823529412</c:v>
                </c:pt>
                <c:pt idx="3">
                  <c:v>2.3916666666666666</c:v>
                </c:pt>
              </c:numCache>
            </c:numRef>
          </c:val>
          <c:extLst>
            <c:ext xmlns:c16="http://schemas.microsoft.com/office/drawing/2014/chart" uri="{C3380CC4-5D6E-409C-BE32-E72D297353CC}">
              <c16:uniqueId val="{00000002-7B5F-4BE6-B906-C1E4530DF9CA}"/>
            </c:ext>
          </c:extLst>
        </c:ser>
        <c:ser>
          <c:idx val="3"/>
          <c:order val="3"/>
          <c:tx>
            <c:v>VERTE</c:v>
          </c:tx>
          <c:invertIfNegative val="0"/>
          <c:cat>
            <c:strRef>
              <c:f>'RECAP RENDEMENT'!$A$2:$A$5</c:f>
              <c:strCache>
                <c:ptCount val="4"/>
                <c:pt idx="0">
                  <c:v>TC 607 S1</c:v>
                </c:pt>
                <c:pt idx="1">
                  <c:v>TC SORENTINO S1</c:v>
                </c:pt>
                <c:pt idx="2">
                  <c:v>AVALANTINO S2</c:v>
                </c:pt>
                <c:pt idx="3">
                  <c:v>KOMEET S3</c:v>
                </c:pt>
              </c:strCache>
            </c:strRef>
          </c:cat>
          <c:val>
            <c:numRef>
              <c:f>'RECAP RENDEMENT'!$V$2:$V$5</c:f>
              <c:numCache>
                <c:formatCode>#\ ##0.000</c:formatCode>
                <c:ptCount val="4"/>
                <c:pt idx="0">
                  <c:v>0</c:v>
                </c:pt>
                <c:pt idx="1">
                  <c:v>0</c:v>
                </c:pt>
                <c:pt idx="2">
                  <c:v>0.45941176470588235</c:v>
                </c:pt>
                <c:pt idx="3">
                  <c:v>2.1793333333333331</c:v>
                </c:pt>
              </c:numCache>
            </c:numRef>
          </c:val>
          <c:extLst>
            <c:ext xmlns:c16="http://schemas.microsoft.com/office/drawing/2014/chart" uri="{C3380CC4-5D6E-409C-BE32-E72D297353CC}">
              <c16:uniqueId val="{00000003-7B5F-4BE6-B906-C1E4530DF9CA}"/>
            </c:ext>
          </c:extLst>
        </c:ser>
        <c:ser>
          <c:idx val="4"/>
          <c:order val="4"/>
          <c:tx>
            <c:v>POUBELLE</c:v>
          </c:tx>
          <c:invertIfNegative val="0"/>
          <c:cat>
            <c:strRef>
              <c:f>'RECAP RENDEMENT'!$A$2:$A$5</c:f>
              <c:strCache>
                <c:ptCount val="4"/>
                <c:pt idx="0">
                  <c:v>TC 607 S1</c:v>
                </c:pt>
                <c:pt idx="1">
                  <c:v>TC SORENTINO S1</c:v>
                </c:pt>
                <c:pt idx="2">
                  <c:v>AVALANTINO S2</c:v>
                </c:pt>
                <c:pt idx="3">
                  <c:v>KOMEET S3</c:v>
                </c:pt>
              </c:strCache>
            </c:strRef>
          </c:cat>
          <c:val>
            <c:numRef>
              <c:f>'RECAP RENDEMENT'!$X$2:$X$5</c:f>
              <c:numCache>
                <c:formatCode>#\ ##0.000</c:formatCode>
                <c:ptCount val="4"/>
                <c:pt idx="0">
                  <c:v>0</c:v>
                </c:pt>
                <c:pt idx="1">
                  <c:v>0</c:v>
                </c:pt>
                <c:pt idx="2">
                  <c:v>2.6078823529411763</c:v>
                </c:pt>
                <c:pt idx="3">
                  <c:v>3.7395</c:v>
                </c:pt>
              </c:numCache>
            </c:numRef>
          </c:val>
          <c:extLst>
            <c:ext xmlns:c16="http://schemas.microsoft.com/office/drawing/2014/chart" uri="{C3380CC4-5D6E-409C-BE32-E72D297353CC}">
              <c16:uniqueId val="{00000004-7B5F-4BE6-B906-C1E4530DF9CA}"/>
            </c:ext>
          </c:extLst>
        </c:ser>
        <c:ser>
          <c:idx val="5"/>
          <c:order val="5"/>
          <c:tx>
            <c:strRef>
              <c:f>'RECAP RENDEMENT'!$Q$1</c:f>
              <c:strCache>
                <c:ptCount val="1"/>
                <c:pt idx="0">
                  <c:v>DEGRAPPE en Ronde</c:v>
                </c:pt>
              </c:strCache>
            </c:strRef>
          </c:tx>
          <c:invertIfNegative val="0"/>
          <c:val>
            <c:numRef>
              <c:f>'RECAP RENDEMENT'!$R$2:$R$5</c:f>
              <c:numCache>
                <c:formatCode>#\ ##0.000</c:formatCode>
                <c:ptCount val="4"/>
                <c:pt idx="0">
                  <c:v>0</c:v>
                </c:pt>
                <c:pt idx="1">
                  <c:v>0</c:v>
                </c:pt>
                <c:pt idx="2">
                  <c:v>0</c:v>
                </c:pt>
                <c:pt idx="3">
                  <c:v>0</c:v>
                </c:pt>
              </c:numCache>
            </c:numRef>
          </c:val>
          <c:extLst>
            <c:ext xmlns:c16="http://schemas.microsoft.com/office/drawing/2014/chart" uri="{C3380CC4-5D6E-409C-BE32-E72D297353CC}">
              <c16:uniqueId val="{00000005-7B5F-4BE6-B906-C1E4530DF9CA}"/>
            </c:ext>
          </c:extLst>
        </c:ser>
        <c:dLbls>
          <c:showLegendKey val="0"/>
          <c:showVal val="0"/>
          <c:showCatName val="0"/>
          <c:showSerName val="0"/>
          <c:showPercent val="0"/>
          <c:showBubbleSize val="0"/>
        </c:dLbls>
        <c:gapWidth val="150"/>
        <c:overlap val="100"/>
        <c:axId val="69594112"/>
        <c:axId val="69600000"/>
      </c:barChart>
      <c:catAx>
        <c:axId val="69594112"/>
        <c:scaling>
          <c:orientation val="minMax"/>
        </c:scaling>
        <c:delete val="0"/>
        <c:axPos val="b"/>
        <c:numFmt formatCode="General" sourceLinked="0"/>
        <c:majorTickMark val="out"/>
        <c:minorTickMark val="none"/>
        <c:tickLblPos val="nextTo"/>
        <c:crossAx val="69600000"/>
        <c:crosses val="autoZero"/>
        <c:auto val="1"/>
        <c:lblAlgn val="ctr"/>
        <c:lblOffset val="100"/>
        <c:noMultiLvlLbl val="0"/>
      </c:catAx>
      <c:valAx>
        <c:axId val="69600000"/>
        <c:scaling>
          <c:orientation val="minMax"/>
        </c:scaling>
        <c:delete val="0"/>
        <c:axPos val="l"/>
        <c:majorGridlines/>
        <c:numFmt formatCode="#\ ##0.000" sourceLinked="1"/>
        <c:majorTickMark val="out"/>
        <c:minorTickMark val="none"/>
        <c:tickLblPos val="nextTo"/>
        <c:crossAx val="69594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RDT / HEURES</c:v>
          </c:tx>
          <c:invertIfNegative val="0"/>
          <c:cat>
            <c:strRef>
              <c:f>'RECAP RENDEMENT'!$A$2:$A$5</c:f>
              <c:strCache>
                <c:ptCount val="4"/>
                <c:pt idx="0">
                  <c:v>TC 607 S1</c:v>
                </c:pt>
                <c:pt idx="1">
                  <c:v>TC SORENTINO S1</c:v>
                </c:pt>
                <c:pt idx="2">
                  <c:v>AVALANTINO S2</c:v>
                </c:pt>
                <c:pt idx="3">
                  <c:v>KOMEET S3</c:v>
                </c:pt>
              </c:strCache>
            </c:strRef>
          </c:cat>
          <c:val>
            <c:numRef>
              <c:f>'RECAP RENDEMENT'!$Z$2:$Z$5</c:f>
              <c:numCache>
                <c:formatCode>#,##0.00</c:formatCode>
                <c:ptCount val="4"/>
                <c:pt idx="0">
                  <c:v>34.13491091442701</c:v>
                </c:pt>
                <c:pt idx="1">
                  <c:v>36.944667201283082</c:v>
                </c:pt>
                <c:pt idx="2">
                  <c:v>117.47754903550008</c:v>
                </c:pt>
                <c:pt idx="3">
                  <c:v>142.58942005095156</c:v>
                </c:pt>
              </c:numCache>
            </c:numRef>
          </c:val>
          <c:extLst>
            <c:ext xmlns:c16="http://schemas.microsoft.com/office/drawing/2014/chart" uri="{C3380CC4-5D6E-409C-BE32-E72D297353CC}">
              <c16:uniqueId val="{00000000-989D-4D4F-9401-D0F7C76B1B5A}"/>
            </c:ext>
          </c:extLst>
        </c:ser>
        <c:dLbls>
          <c:showLegendKey val="0"/>
          <c:showVal val="0"/>
          <c:showCatName val="0"/>
          <c:showSerName val="0"/>
          <c:showPercent val="0"/>
          <c:showBubbleSize val="0"/>
        </c:dLbls>
        <c:gapWidth val="150"/>
        <c:axId val="69624960"/>
        <c:axId val="69626496"/>
      </c:barChart>
      <c:catAx>
        <c:axId val="69624960"/>
        <c:scaling>
          <c:orientation val="minMax"/>
        </c:scaling>
        <c:delete val="0"/>
        <c:axPos val="b"/>
        <c:numFmt formatCode="General" sourceLinked="0"/>
        <c:majorTickMark val="out"/>
        <c:minorTickMark val="none"/>
        <c:tickLblPos val="nextTo"/>
        <c:crossAx val="69626496"/>
        <c:crosses val="autoZero"/>
        <c:auto val="1"/>
        <c:lblAlgn val="ctr"/>
        <c:lblOffset val="100"/>
        <c:noMultiLvlLbl val="0"/>
      </c:catAx>
      <c:valAx>
        <c:axId val="69626496"/>
        <c:scaling>
          <c:orientation val="minMax"/>
        </c:scaling>
        <c:delete val="0"/>
        <c:axPos val="l"/>
        <c:majorGridlines/>
        <c:numFmt formatCode="#,##0.00" sourceLinked="1"/>
        <c:majorTickMark val="out"/>
        <c:minorTickMark val="none"/>
        <c:tickLblPos val="nextTo"/>
        <c:crossAx val="696249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TONNAGE</a:t>
            </a:r>
            <a:r>
              <a:rPr lang="en-US" baseline="0"/>
              <a:t> GLOBAL</a:t>
            </a:r>
            <a:r>
              <a:rPr lang="en-US"/>
              <a:t> / SEMAINE</a:t>
            </a:r>
          </a:p>
        </c:rich>
      </c:tx>
      <c:layout/>
      <c:overlay val="0"/>
    </c:title>
    <c:autoTitleDeleted val="0"/>
    <c:plotArea>
      <c:layout/>
      <c:barChart>
        <c:barDir val="col"/>
        <c:grouping val="clustered"/>
        <c:varyColors val="0"/>
        <c:ser>
          <c:idx val="1"/>
          <c:order val="0"/>
          <c:tx>
            <c:v>TONNES / SEMAINE</c:v>
          </c:tx>
          <c:invertIfNegative val="0"/>
          <c:cat>
            <c:numRef>
              <c:f>'TC 607 S1'!$A$10:$A$231</c:f>
              <c:numCache>
                <c:formatCode>General</c:formatCode>
                <c:ptCount val="222"/>
                <c:pt idx="0">
                  <c:v>14</c:v>
                </c:pt>
                <c:pt idx="6">
                  <c:v>15</c:v>
                </c:pt>
                <c:pt idx="12">
                  <c:v>16</c:v>
                </c:pt>
                <c:pt idx="18">
                  <c:v>17</c:v>
                </c:pt>
                <c:pt idx="24">
                  <c:v>18</c:v>
                </c:pt>
                <c:pt idx="30">
                  <c:v>19</c:v>
                </c:pt>
                <c:pt idx="36">
                  <c:v>20</c:v>
                </c:pt>
                <c:pt idx="42">
                  <c:v>21</c:v>
                </c:pt>
                <c:pt idx="48">
                  <c:v>22</c:v>
                </c:pt>
                <c:pt idx="54">
                  <c:v>23</c:v>
                </c:pt>
                <c:pt idx="60">
                  <c:v>24</c:v>
                </c:pt>
                <c:pt idx="66">
                  <c:v>25</c:v>
                </c:pt>
                <c:pt idx="72">
                  <c:v>26</c:v>
                </c:pt>
                <c:pt idx="78">
                  <c:v>27</c:v>
                </c:pt>
                <c:pt idx="84">
                  <c:v>28</c:v>
                </c:pt>
                <c:pt idx="90">
                  <c:v>29</c:v>
                </c:pt>
                <c:pt idx="96">
                  <c:v>30</c:v>
                </c:pt>
                <c:pt idx="102">
                  <c:v>31</c:v>
                </c:pt>
                <c:pt idx="108">
                  <c:v>32</c:v>
                </c:pt>
                <c:pt idx="114">
                  <c:v>33</c:v>
                </c:pt>
                <c:pt idx="120">
                  <c:v>34</c:v>
                </c:pt>
                <c:pt idx="126">
                  <c:v>35</c:v>
                </c:pt>
                <c:pt idx="132">
                  <c:v>36</c:v>
                </c:pt>
                <c:pt idx="138">
                  <c:v>37</c:v>
                </c:pt>
                <c:pt idx="144">
                  <c:v>38</c:v>
                </c:pt>
                <c:pt idx="150">
                  <c:v>39</c:v>
                </c:pt>
                <c:pt idx="156">
                  <c:v>40</c:v>
                </c:pt>
                <c:pt idx="162">
                  <c:v>41</c:v>
                </c:pt>
                <c:pt idx="168">
                  <c:v>42</c:v>
                </c:pt>
                <c:pt idx="174">
                  <c:v>43</c:v>
                </c:pt>
                <c:pt idx="180">
                  <c:v>44</c:v>
                </c:pt>
                <c:pt idx="186">
                  <c:v>45</c:v>
                </c:pt>
                <c:pt idx="192">
                  <c:v>46</c:v>
                </c:pt>
                <c:pt idx="198">
                  <c:v>47</c:v>
                </c:pt>
                <c:pt idx="204">
                  <c:v>48</c:v>
                </c:pt>
                <c:pt idx="210">
                  <c:v>49</c:v>
                </c:pt>
                <c:pt idx="216">
                  <c:v>50</c:v>
                </c:pt>
              </c:numCache>
            </c:numRef>
          </c:cat>
          <c:val>
            <c:numRef>
              <c:f>'TC 607 S1'!$G$10:$G$231</c:f>
              <c:numCache>
                <c:formatCode>#\ ##0.0</c:formatCode>
                <c:ptCount val="222"/>
                <c:pt idx="0">
                  <c:v>7655</c:v>
                </c:pt>
                <c:pt idx="6">
                  <c:v>9655</c:v>
                </c:pt>
                <c:pt idx="12">
                  <c:v>18990</c:v>
                </c:pt>
                <c:pt idx="18">
                  <c:v>30215</c:v>
                </c:pt>
                <c:pt idx="24">
                  <c:v>33930</c:v>
                </c:pt>
                <c:pt idx="30">
                  <c:v>29990</c:v>
                </c:pt>
                <c:pt idx="36">
                  <c:v>31570</c:v>
                </c:pt>
                <c:pt idx="42">
                  <c:v>47870</c:v>
                </c:pt>
                <c:pt idx="48">
                  <c:v>40785</c:v>
                </c:pt>
                <c:pt idx="54">
                  <c:v>32225</c:v>
                </c:pt>
                <c:pt idx="60">
                  <c:v>24715</c:v>
                </c:pt>
                <c:pt idx="66">
                  <c:v>21605</c:v>
                </c:pt>
                <c:pt idx="72">
                  <c:v>26685</c:v>
                </c:pt>
                <c:pt idx="78">
                  <c:v>30205</c:v>
                </c:pt>
                <c:pt idx="84">
                  <c:v>28330</c:v>
                </c:pt>
                <c:pt idx="90">
                  <c:v>22360</c:v>
                </c:pt>
                <c:pt idx="96">
                  <c:v>21860</c:v>
                </c:pt>
                <c:pt idx="102">
                  <c:v>26275</c:v>
                </c:pt>
                <c:pt idx="108">
                  <c:v>13375</c:v>
                </c:pt>
                <c:pt idx="114">
                  <c:v>13000</c:v>
                </c:pt>
                <c:pt idx="120">
                  <c:v>19580</c:v>
                </c:pt>
                <c:pt idx="126">
                  <c:v>26400</c:v>
                </c:pt>
                <c:pt idx="132">
                  <c:v>23065</c:v>
                </c:pt>
                <c:pt idx="138">
                  <c:v>24130</c:v>
                </c:pt>
                <c:pt idx="144">
                  <c:v>20975</c:v>
                </c:pt>
                <c:pt idx="150">
                  <c:v>22345</c:v>
                </c:pt>
                <c:pt idx="156">
                  <c:v>14080</c:v>
                </c:pt>
                <c:pt idx="162">
                  <c:v>21565</c:v>
                </c:pt>
                <c:pt idx="168">
                  <c:v>12650</c:v>
                </c:pt>
                <c:pt idx="174">
                  <c:v>20345</c:v>
                </c:pt>
                <c:pt idx="180">
                  <c:v>12310</c:v>
                </c:pt>
                <c:pt idx="186">
                  <c:v>6575</c:v>
                </c:pt>
                <c:pt idx="192">
                  <c:v>0</c:v>
                </c:pt>
                <c:pt idx="198">
                  <c:v>0</c:v>
                </c:pt>
                <c:pt idx="204">
                  <c:v>0</c:v>
                </c:pt>
                <c:pt idx="210">
                  <c:v>0</c:v>
                </c:pt>
                <c:pt idx="216">
                  <c:v>0</c:v>
                </c:pt>
              </c:numCache>
            </c:numRef>
          </c:val>
          <c:extLst>
            <c:ext xmlns:c16="http://schemas.microsoft.com/office/drawing/2014/chart" uri="{C3380CC4-5D6E-409C-BE32-E72D297353CC}">
              <c16:uniqueId val="{00000000-3C03-450A-B6A2-767B8F422D9D}"/>
            </c:ext>
          </c:extLst>
        </c:ser>
        <c:dLbls>
          <c:showLegendKey val="0"/>
          <c:showVal val="0"/>
          <c:showCatName val="0"/>
          <c:showSerName val="0"/>
          <c:showPercent val="0"/>
          <c:showBubbleSize val="0"/>
        </c:dLbls>
        <c:gapWidth val="150"/>
        <c:axId val="72539136"/>
        <c:axId val="72553216"/>
      </c:barChart>
      <c:catAx>
        <c:axId val="72539136"/>
        <c:scaling>
          <c:orientation val="minMax"/>
        </c:scaling>
        <c:delete val="0"/>
        <c:axPos val="b"/>
        <c:numFmt formatCode="General" sourceLinked="1"/>
        <c:majorTickMark val="out"/>
        <c:minorTickMark val="none"/>
        <c:tickLblPos val="nextTo"/>
        <c:crossAx val="72553216"/>
        <c:crosses val="autoZero"/>
        <c:auto val="1"/>
        <c:lblAlgn val="ctr"/>
        <c:lblOffset val="100"/>
        <c:noMultiLvlLbl val="0"/>
      </c:catAx>
      <c:valAx>
        <c:axId val="72553216"/>
        <c:scaling>
          <c:orientation val="minMax"/>
        </c:scaling>
        <c:delete val="0"/>
        <c:axPos val="l"/>
        <c:majorGridlines/>
        <c:numFmt formatCode="#\ ##0.0" sourceLinked="1"/>
        <c:majorTickMark val="out"/>
        <c:minorTickMark val="none"/>
        <c:tickLblPos val="nextTo"/>
        <c:crossAx val="725391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TONNAGE</a:t>
            </a:r>
            <a:r>
              <a:rPr lang="en-US" baseline="0"/>
              <a:t> GLOBAL</a:t>
            </a:r>
            <a:r>
              <a:rPr lang="en-US"/>
              <a:t> / SEMAINE</a:t>
            </a:r>
          </a:p>
        </c:rich>
      </c:tx>
      <c:overlay val="0"/>
    </c:title>
    <c:autoTitleDeleted val="0"/>
    <c:plotArea>
      <c:layout/>
      <c:barChart>
        <c:barDir val="col"/>
        <c:grouping val="clustered"/>
        <c:varyColors val="0"/>
        <c:ser>
          <c:idx val="1"/>
          <c:order val="0"/>
          <c:tx>
            <c:v>TONNES / SEMAINE</c:v>
          </c:tx>
          <c:invertIfNegative val="0"/>
          <c:cat>
            <c:numRef>
              <c:f>'TC SORENTINO S1'!$A$10:$A$231</c:f>
              <c:numCache>
                <c:formatCode>General</c:formatCode>
                <c:ptCount val="222"/>
                <c:pt idx="0">
                  <c:v>14</c:v>
                </c:pt>
                <c:pt idx="6">
                  <c:v>15</c:v>
                </c:pt>
                <c:pt idx="12">
                  <c:v>16</c:v>
                </c:pt>
                <c:pt idx="18">
                  <c:v>17</c:v>
                </c:pt>
                <c:pt idx="24">
                  <c:v>18</c:v>
                </c:pt>
                <c:pt idx="30">
                  <c:v>19</c:v>
                </c:pt>
                <c:pt idx="36">
                  <c:v>20</c:v>
                </c:pt>
                <c:pt idx="42">
                  <c:v>21</c:v>
                </c:pt>
                <c:pt idx="48">
                  <c:v>22</c:v>
                </c:pt>
                <c:pt idx="54">
                  <c:v>23</c:v>
                </c:pt>
                <c:pt idx="60">
                  <c:v>24</c:v>
                </c:pt>
                <c:pt idx="66">
                  <c:v>25</c:v>
                </c:pt>
                <c:pt idx="72">
                  <c:v>26</c:v>
                </c:pt>
                <c:pt idx="78">
                  <c:v>27</c:v>
                </c:pt>
                <c:pt idx="84">
                  <c:v>28</c:v>
                </c:pt>
                <c:pt idx="90">
                  <c:v>29</c:v>
                </c:pt>
                <c:pt idx="96">
                  <c:v>30</c:v>
                </c:pt>
                <c:pt idx="102">
                  <c:v>31</c:v>
                </c:pt>
                <c:pt idx="108">
                  <c:v>32</c:v>
                </c:pt>
                <c:pt idx="114">
                  <c:v>33</c:v>
                </c:pt>
                <c:pt idx="120">
                  <c:v>34</c:v>
                </c:pt>
                <c:pt idx="126">
                  <c:v>35</c:v>
                </c:pt>
                <c:pt idx="132">
                  <c:v>36</c:v>
                </c:pt>
                <c:pt idx="138">
                  <c:v>37</c:v>
                </c:pt>
                <c:pt idx="144">
                  <c:v>38</c:v>
                </c:pt>
                <c:pt idx="150">
                  <c:v>39</c:v>
                </c:pt>
                <c:pt idx="156">
                  <c:v>40</c:v>
                </c:pt>
                <c:pt idx="162">
                  <c:v>41</c:v>
                </c:pt>
                <c:pt idx="168">
                  <c:v>42</c:v>
                </c:pt>
                <c:pt idx="174">
                  <c:v>43</c:v>
                </c:pt>
                <c:pt idx="180">
                  <c:v>44</c:v>
                </c:pt>
                <c:pt idx="186">
                  <c:v>45</c:v>
                </c:pt>
                <c:pt idx="192">
                  <c:v>46</c:v>
                </c:pt>
                <c:pt idx="198">
                  <c:v>47</c:v>
                </c:pt>
                <c:pt idx="204">
                  <c:v>48</c:v>
                </c:pt>
                <c:pt idx="210">
                  <c:v>49</c:v>
                </c:pt>
                <c:pt idx="216">
                  <c:v>50</c:v>
                </c:pt>
              </c:numCache>
            </c:numRef>
          </c:cat>
          <c:val>
            <c:numRef>
              <c:f>'TC SORENTINO S1'!$G$10:$G$231</c:f>
              <c:numCache>
                <c:formatCode>#\ ##0.0</c:formatCode>
                <c:ptCount val="222"/>
                <c:pt idx="0">
                  <c:v>0</c:v>
                </c:pt>
                <c:pt idx="6">
                  <c:v>0</c:v>
                </c:pt>
                <c:pt idx="12">
                  <c:v>465</c:v>
                </c:pt>
                <c:pt idx="18">
                  <c:v>1125</c:v>
                </c:pt>
                <c:pt idx="24">
                  <c:v>0</c:v>
                </c:pt>
                <c:pt idx="30">
                  <c:v>1640</c:v>
                </c:pt>
                <c:pt idx="36">
                  <c:v>1660</c:v>
                </c:pt>
                <c:pt idx="42">
                  <c:v>0</c:v>
                </c:pt>
                <c:pt idx="48">
                  <c:v>2300</c:v>
                </c:pt>
                <c:pt idx="54">
                  <c:v>1240</c:v>
                </c:pt>
                <c:pt idx="60">
                  <c:v>570</c:v>
                </c:pt>
                <c:pt idx="66">
                  <c:v>1495</c:v>
                </c:pt>
                <c:pt idx="72">
                  <c:v>775</c:v>
                </c:pt>
                <c:pt idx="78">
                  <c:v>1085</c:v>
                </c:pt>
                <c:pt idx="84">
                  <c:v>855</c:v>
                </c:pt>
                <c:pt idx="90">
                  <c:v>610</c:v>
                </c:pt>
                <c:pt idx="96">
                  <c:v>685</c:v>
                </c:pt>
                <c:pt idx="102">
                  <c:v>490</c:v>
                </c:pt>
                <c:pt idx="108">
                  <c:v>985</c:v>
                </c:pt>
                <c:pt idx="114">
                  <c:v>490</c:v>
                </c:pt>
                <c:pt idx="120">
                  <c:v>0</c:v>
                </c:pt>
                <c:pt idx="126">
                  <c:v>740</c:v>
                </c:pt>
                <c:pt idx="132">
                  <c:v>930</c:v>
                </c:pt>
                <c:pt idx="138">
                  <c:v>905</c:v>
                </c:pt>
                <c:pt idx="144">
                  <c:v>975</c:v>
                </c:pt>
                <c:pt idx="150">
                  <c:v>570</c:v>
                </c:pt>
                <c:pt idx="156">
                  <c:v>1090</c:v>
                </c:pt>
                <c:pt idx="162">
                  <c:v>0</c:v>
                </c:pt>
                <c:pt idx="168">
                  <c:v>815</c:v>
                </c:pt>
                <c:pt idx="174">
                  <c:v>540</c:v>
                </c:pt>
                <c:pt idx="180">
                  <c:v>0</c:v>
                </c:pt>
                <c:pt idx="186">
                  <c:v>0</c:v>
                </c:pt>
                <c:pt idx="192">
                  <c:v>0</c:v>
                </c:pt>
                <c:pt idx="198">
                  <c:v>0</c:v>
                </c:pt>
                <c:pt idx="204">
                  <c:v>0</c:v>
                </c:pt>
                <c:pt idx="210">
                  <c:v>0</c:v>
                </c:pt>
                <c:pt idx="216">
                  <c:v>0</c:v>
                </c:pt>
              </c:numCache>
            </c:numRef>
          </c:val>
          <c:extLst>
            <c:ext xmlns:c16="http://schemas.microsoft.com/office/drawing/2014/chart" uri="{C3380CC4-5D6E-409C-BE32-E72D297353CC}">
              <c16:uniqueId val="{00000000-0C05-408C-BB4E-B744EDD06739}"/>
            </c:ext>
          </c:extLst>
        </c:ser>
        <c:dLbls>
          <c:showLegendKey val="0"/>
          <c:showVal val="0"/>
          <c:showCatName val="0"/>
          <c:showSerName val="0"/>
          <c:showPercent val="0"/>
          <c:showBubbleSize val="0"/>
        </c:dLbls>
        <c:gapWidth val="150"/>
        <c:axId val="72539136"/>
        <c:axId val="72553216"/>
      </c:barChart>
      <c:catAx>
        <c:axId val="72539136"/>
        <c:scaling>
          <c:orientation val="minMax"/>
        </c:scaling>
        <c:delete val="0"/>
        <c:axPos val="b"/>
        <c:numFmt formatCode="General" sourceLinked="1"/>
        <c:majorTickMark val="out"/>
        <c:minorTickMark val="none"/>
        <c:tickLblPos val="nextTo"/>
        <c:crossAx val="72553216"/>
        <c:crosses val="autoZero"/>
        <c:auto val="1"/>
        <c:lblAlgn val="ctr"/>
        <c:lblOffset val="100"/>
        <c:noMultiLvlLbl val="0"/>
      </c:catAx>
      <c:valAx>
        <c:axId val="72553216"/>
        <c:scaling>
          <c:orientation val="minMax"/>
        </c:scaling>
        <c:delete val="0"/>
        <c:axPos val="l"/>
        <c:majorGridlines/>
        <c:numFmt formatCode="#\ ##0.0" sourceLinked="1"/>
        <c:majorTickMark val="out"/>
        <c:minorTickMark val="none"/>
        <c:tickLblPos val="nextTo"/>
        <c:crossAx val="725391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TONNAGE</a:t>
            </a:r>
            <a:r>
              <a:rPr lang="en-US" baseline="0"/>
              <a:t> GLOBAL</a:t>
            </a:r>
            <a:r>
              <a:rPr lang="en-US"/>
              <a:t> / SEMAINE</a:t>
            </a:r>
          </a:p>
        </c:rich>
      </c:tx>
      <c:layout/>
      <c:overlay val="0"/>
    </c:title>
    <c:autoTitleDeleted val="0"/>
    <c:plotArea>
      <c:layout/>
      <c:barChart>
        <c:barDir val="col"/>
        <c:grouping val="clustered"/>
        <c:varyColors val="0"/>
        <c:ser>
          <c:idx val="1"/>
          <c:order val="0"/>
          <c:tx>
            <c:v>TONNES / SEMAINE</c:v>
          </c:tx>
          <c:invertIfNegative val="0"/>
          <c:cat>
            <c:numRef>
              <c:f>'AVALANTINO S2'!$A$10:$A$231</c:f>
              <c:numCache>
                <c:formatCode>General</c:formatCode>
                <c:ptCount val="222"/>
                <c:pt idx="0">
                  <c:v>14</c:v>
                </c:pt>
                <c:pt idx="6">
                  <c:v>15</c:v>
                </c:pt>
                <c:pt idx="12">
                  <c:v>16</c:v>
                </c:pt>
                <c:pt idx="18">
                  <c:v>17</c:v>
                </c:pt>
                <c:pt idx="24">
                  <c:v>18</c:v>
                </c:pt>
                <c:pt idx="30">
                  <c:v>19</c:v>
                </c:pt>
                <c:pt idx="36">
                  <c:v>20</c:v>
                </c:pt>
                <c:pt idx="42">
                  <c:v>21</c:v>
                </c:pt>
                <c:pt idx="48">
                  <c:v>22</c:v>
                </c:pt>
                <c:pt idx="54">
                  <c:v>23</c:v>
                </c:pt>
                <c:pt idx="60">
                  <c:v>24</c:v>
                </c:pt>
                <c:pt idx="66">
                  <c:v>25</c:v>
                </c:pt>
                <c:pt idx="72">
                  <c:v>26</c:v>
                </c:pt>
                <c:pt idx="78">
                  <c:v>27</c:v>
                </c:pt>
                <c:pt idx="84">
                  <c:v>28</c:v>
                </c:pt>
                <c:pt idx="90">
                  <c:v>29</c:v>
                </c:pt>
                <c:pt idx="96">
                  <c:v>30</c:v>
                </c:pt>
                <c:pt idx="102">
                  <c:v>31</c:v>
                </c:pt>
                <c:pt idx="108">
                  <c:v>32</c:v>
                </c:pt>
                <c:pt idx="114">
                  <c:v>33</c:v>
                </c:pt>
                <c:pt idx="120">
                  <c:v>34</c:v>
                </c:pt>
                <c:pt idx="126">
                  <c:v>35</c:v>
                </c:pt>
                <c:pt idx="132">
                  <c:v>36</c:v>
                </c:pt>
                <c:pt idx="138">
                  <c:v>37</c:v>
                </c:pt>
                <c:pt idx="144">
                  <c:v>38</c:v>
                </c:pt>
                <c:pt idx="150">
                  <c:v>39</c:v>
                </c:pt>
                <c:pt idx="156">
                  <c:v>40</c:v>
                </c:pt>
                <c:pt idx="162">
                  <c:v>41</c:v>
                </c:pt>
                <c:pt idx="168">
                  <c:v>42</c:v>
                </c:pt>
                <c:pt idx="174">
                  <c:v>43</c:v>
                </c:pt>
                <c:pt idx="180">
                  <c:v>44</c:v>
                </c:pt>
                <c:pt idx="186">
                  <c:v>45</c:v>
                </c:pt>
                <c:pt idx="192">
                  <c:v>46</c:v>
                </c:pt>
                <c:pt idx="198">
                  <c:v>47</c:v>
                </c:pt>
                <c:pt idx="204">
                  <c:v>48</c:v>
                </c:pt>
                <c:pt idx="210">
                  <c:v>49</c:v>
                </c:pt>
                <c:pt idx="216">
                  <c:v>50</c:v>
                </c:pt>
              </c:numCache>
            </c:numRef>
          </c:cat>
          <c:val>
            <c:numRef>
              <c:f>'AVALANTINO S2'!$E$10:$E$231</c:f>
              <c:numCache>
                <c:formatCode>#\ ##0.0</c:formatCode>
                <c:ptCount val="222"/>
                <c:pt idx="0">
                  <c:v>0</c:v>
                </c:pt>
                <c:pt idx="6">
                  <c:v>0</c:v>
                </c:pt>
                <c:pt idx="12">
                  <c:v>12641.5</c:v>
                </c:pt>
                <c:pt idx="18">
                  <c:v>19658.5</c:v>
                </c:pt>
                <c:pt idx="24">
                  <c:v>31754.5</c:v>
                </c:pt>
                <c:pt idx="30">
                  <c:v>22708.5</c:v>
                </c:pt>
                <c:pt idx="36">
                  <c:v>30283.5</c:v>
                </c:pt>
                <c:pt idx="42">
                  <c:v>28017.5</c:v>
                </c:pt>
                <c:pt idx="48">
                  <c:v>23262</c:v>
                </c:pt>
                <c:pt idx="54">
                  <c:v>21498.5</c:v>
                </c:pt>
                <c:pt idx="60">
                  <c:v>22784</c:v>
                </c:pt>
                <c:pt idx="66">
                  <c:v>27346.5</c:v>
                </c:pt>
                <c:pt idx="72">
                  <c:v>31539.5</c:v>
                </c:pt>
                <c:pt idx="78">
                  <c:v>26906.5</c:v>
                </c:pt>
                <c:pt idx="84">
                  <c:v>36685.5</c:v>
                </c:pt>
                <c:pt idx="90">
                  <c:v>25539.5</c:v>
                </c:pt>
                <c:pt idx="96">
                  <c:v>20978</c:v>
                </c:pt>
                <c:pt idx="102">
                  <c:v>30334</c:v>
                </c:pt>
                <c:pt idx="108">
                  <c:v>27613</c:v>
                </c:pt>
                <c:pt idx="114">
                  <c:v>28777.5</c:v>
                </c:pt>
                <c:pt idx="120">
                  <c:v>16565.5</c:v>
                </c:pt>
                <c:pt idx="126">
                  <c:v>22348.5</c:v>
                </c:pt>
                <c:pt idx="132">
                  <c:v>21317</c:v>
                </c:pt>
                <c:pt idx="138">
                  <c:v>24560.5</c:v>
                </c:pt>
                <c:pt idx="144">
                  <c:v>28396</c:v>
                </c:pt>
                <c:pt idx="150">
                  <c:v>27656</c:v>
                </c:pt>
                <c:pt idx="156">
                  <c:v>17616</c:v>
                </c:pt>
                <c:pt idx="162">
                  <c:v>24983.5</c:v>
                </c:pt>
                <c:pt idx="168">
                  <c:v>15537.5</c:v>
                </c:pt>
                <c:pt idx="174">
                  <c:v>11489.5</c:v>
                </c:pt>
                <c:pt idx="180">
                  <c:v>34305</c:v>
                </c:pt>
                <c:pt idx="186">
                  <c:v>11615.5</c:v>
                </c:pt>
                <c:pt idx="192">
                  <c:v>0</c:v>
                </c:pt>
                <c:pt idx="198">
                  <c:v>0</c:v>
                </c:pt>
                <c:pt idx="204">
                  <c:v>0</c:v>
                </c:pt>
                <c:pt idx="210">
                  <c:v>0</c:v>
                </c:pt>
                <c:pt idx="216">
                  <c:v>0</c:v>
                </c:pt>
              </c:numCache>
            </c:numRef>
          </c:val>
          <c:extLst>
            <c:ext xmlns:c16="http://schemas.microsoft.com/office/drawing/2014/chart" uri="{C3380CC4-5D6E-409C-BE32-E72D297353CC}">
              <c16:uniqueId val="{00000000-4DA9-4B17-8613-B5851E85169C}"/>
            </c:ext>
          </c:extLst>
        </c:ser>
        <c:dLbls>
          <c:showLegendKey val="0"/>
          <c:showVal val="0"/>
          <c:showCatName val="0"/>
          <c:showSerName val="0"/>
          <c:showPercent val="0"/>
          <c:showBubbleSize val="0"/>
        </c:dLbls>
        <c:gapWidth val="150"/>
        <c:axId val="73779072"/>
        <c:axId val="73780608"/>
      </c:barChart>
      <c:catAx>
        <c:axId val="73779072"/>
        <c:scaling>
          <c:orientation val="minMax"/>
        </c:scaling>
        <c:delete val="0"/>
        <c:axPos val="b"/>
        <c:numFmt formatCode="General" sourceLinked="1"/>
        <c:majorTickMark val="out"/>
        <c:minorTickMark val="none"/>
        <c:tickLblPos val="nextTo"/>
        <c:crossAx val="73780608"/>
        <c:crosses val="autoZero"/>
        <c:auto val="1"/>
        <c:lblAlgn val="ctr"/>
        <c:lblOffset val="100"/>
        <c:noMultiLvlLbl val="0"/>
      </c:catAx>
      <c:valAx>
        <c:axId val="73780608"/>
        <c:scaling>
          <c:orientation val="minMax"/>
        </c:scaling>
        <c:delete val="0"/>
        <c:axPos val="l"/>
        <c:majorGridlines/>
        <c:numFmt formatCode="#\ ##0.0" sourceLinked="1"/>
        <c:majorTickMark val="out"/>
        <c:minorTickMark val="none"/>
        <c:tickLblPos val="nextTo"/>
        <c:crossAx val="737790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absoluteAnchor>
    <xdr:pos x="1352550" y="4543425"/>
    <xdr:ext cx="9297228" cy="6067011"/>
    <xdr:graphicFrame macro="">
      <xdr:nvGraphicFramePr>
        <xdr:cNvPr id="3" name="Graphique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219074" y="10267950"/>
    <xdr:ext cx="11420476" cy="4962525"/>
    <xdr:graphicFrame macro="">
      <xdr:nvGraphicFramePr>
        <xdr:cNvPr id="4" name="Graphique 3"/>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209550" y="20469224"/>
    <xdr:ext cx="11477625" cy="5693661"/>
    <xdr:graphicFrame macro="">
      <xdr:nvGraphicFramePr>
        <xdr:cNvPr id="7" name="Graphique 6"/>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200025" y="15344775"/>
    <xdr:ext cx="11458575" cy="4886325"/>
    <xdr:graphicFrame macro="">
      <xdr:nvGraphicFramePr>
        <xdr:cNvPr id="8" name="Graphique 7"/>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846666" y="5101167"/>
    <xdr:ext cx="9310872" cy="6084186"/>
    <xdr:graphicFrame macro="">
      <xdr:nvGraphicFramePr>
        <xdr:cNvPr id="5" name="Graphique 4"/>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857250" y="11472334"/>
    <xdr:ext cx="9310872" cy="6084186"/>
    <xdr:graphicFrame macro="">
      <xdr:nvGraphicFramePr>
        <xdr:cNvPr id="7" name="Graphique 6"/>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847724" y="51396900"/>
    <xdr:ext cx="12849225" cy="62293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781049" y="51339750"/>
    <xdr:ext cx="12849225" cy="62293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857249" y="51168300"/>
    <xdr:ext cx="12849225" cy="62293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838199" y="51463575"/>
    <xdr:ext cx="12849225" cy="6229350"/>
    <xdr:graphicFrame macro="">
      <xdr:nvGraphicFramePr>
        <xdr:cNvPr id="5" name="Graphique 4"/>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838199" y="51349275"/>
    <xdr:ext cx="12849225" cy="62293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
  <sheetViews>
    <sheetView zoomScaleNormal="100" workbookViewId="0">
      <pane xSplit="3" ySplit="1" topLeftCell="AB2" activePane="bottomRight" state="frozen"/>
      <selection pane="topRight" activeCell="D1" sqref="D1"/>
      <selection pane="bottomLeft" activeCell="A2" sqref="A2"/>
      <selection pane="bottomRight" activeCell="G15" sqref="G15"/>
    </sheetView>
  </sheetViews>
  <sheetFormatPr baseColWidth="10" defaultRowHeight="15" x14ac:dyDescent="0.25"/>
  <cols>
    <col min="1" max="1" width="25.7109375" customWidth="1"/>
    <col min="2" max="2" width="20.7109375" customWidth="1"/>
    <col min="3" max="3" width="10.7109375" customWidth="1"/>
    <col min="4" max="41" width="14.7109375" customWidth="1"/>
  </cols>
  <sheetData>
    <row r="1" spans="1:41" ht="30" customHeight="1" thickBot="1" x14ac:dyDescent="0.3">
      <c r="A1" s="18" t="s">
        <v>7</v>
      </c>
      <c r="B1" s="14" t="s">
        <v>4</v>
      </c>
      <c r="C1" s="56" t="s">
        <v>8</v>
      </c>
      <c r="D1" s="14">
        <v>13</v>
      </c>
      <c r="E1" s="29">
        <v>14</v>
      </c>
      <c r="F1" s="30">
        <v>15</v>
      </c>
      <c r="G1" s="30">
        <v>16</v>
      </c>
      <c r="H1" s="30">
        <v>17</v>
      </c>
      <c r="I1" s="30">
        <v>18</v>
      </c>
      <c r="J1" s="30">
        <v>19</v>
      </c>
      <c r="K1" s="30">
        <v>20</v>
      </c>
      <c r="L1" s="30">
        <v>21</v>
      </c>
      <c r="M1" s="30">
        <v>22</v>
      </c>
      <c r="N1" s="30">
        <v>23</v>
      </c>
      <c r="O1" s="30">
        <v>24</v>
      </c>
      <c r="P1" s="30">
        <v>25</v>
      </c>
      <c r="Q1" s="30">
        <v>26</v>
      </c>
      <c r="R1" s="30">
        <v>27</v>
      </c>
      <c r="S1" s="30">
        <v>28</v>
      </c>
      <c r="T1" s="30">
        <v>29</v>
      </c>
      <c r="U1" s="30">
        <v>30</v>
      </c>
      <c r="V1" s="30">
        <v>31</v>
      </c>
      <c r="W1" s="30">
        <v>32</v>
      </c>
      <c r="X1" s="30">
        <v>33</v>
      </c>
      <c r="Y1" s="30">
        <v>34</v>
      </c>
      <c r="Z1" s="30">
        <v>35</v>
      </c>
      <c r="AA1" s="30">
        <v>36</v>
      </c>
      <c r="AB1" s="30">
        <v>37</v>
      </c>
      <c r="AC1" s="30">
        <v>38</v>
      </c>
      <c r="AD1" s="30">
        <v>39</v>
      </c>
      <c r="AE1" s="30">
        <v>40</v>
      </c>
      <c r="AF1" s="30">
        <v>41</v>
      </c>
      <c r="AG1" s="30">
        <v>42</v>
      </c>
      <c r="AH1" s="30">
        <v>43</v>
      </c>
      <c r="AI1" s="30">
        <v>44</v>
      </c>
      <c r="AJ1" s="30">
        <v>45</v>
      </c>
      <c r="AK1" s="30">
        <v>46</v>
      </c>
      <c r="AL1" s="30">
        <v>47</v>
      </c>
      <c r="AM1" s="30">
        <v>48</v>
      </c>
      <c r="AN1" s="30">
        <v>49</v>
      </c>
      <c r="AO1" s="30">
        <v>50</v>
      </c>
    </row>
    <row r="2" spans="1:41" ht="30" customHeight="1" x14ac:dyDescent="0.25">
      <c r="A2" s="13" t="s">
        <v>42</v>
      </c>
      <c r="B2" s="20">
        <f>'RECAP RENDEMENT'!H6</f>
        <v>387352</v>
      </c>
      <c r="C2" s="25">
        <f>100*B2/B6</f>
        <v>17.795974331110738</v>
      </c>
      <c r="D2" s="131">
        <f>'CORALINA S4'!$D4</f>
        <v>0</v>
      </c>
      <c r="E2" s="57">
        <f>'CORALINA S4'!$D10</f>
        <v>0</v>
      </c>
      <c r="F2" s="57">
        <f>'CORALINA S4'!$D16</f>
        <v>1071</v>
      </c>
      <c r="G2" s="57">
        <f>'CORALINA S4'!$D22</f>
        <v>5845</v>
      </c>
      <c r="H2" s="57">
        <f>'CORALINA S4'!$D28</f>
        <v>13636</v>
      </c>
      <c r="I2" s="57">
        <f>'CORALINA S4'!$D34</f>
        <v>19061</v>
      </c>
      <c r="J2" s="57">
        <f>'CORALINA S4'!$D40</f>
        <v>15848</v>
      </c>
      <c r="K2" s="57">
        <f>'CORALINA S4'!$D46</f>
        <v>36435</v>
      </c>
      <c r="L2" s="57">
        <f>'CORALINA S4'!$D52</f>
        <v>21084</v>
      </c>
      <c r="M2" s="57">
        <f>'CORALINA S4'!$D58</f>
        <v>20951</v>
      </c>
      <c r="N2" s="57">
        <f>'CORALINA S4'!$D64</f>
        <v>16702</v>
      </c>
      <c r="O2" s="57">
        <f>'CORALINA S4'!$D70</f>
        <v>13482</v>
      </c>
      <c r="P2" s="57">
        <f>'CORALINA S4'!$D76</f>
        <v>14560</v>
      </c>
      <c r="Q2" s="57">
        <f>'CORALINA S4'!$D82</f>
        <v>15967</v>
      </c>
      <c r="R2" s="57">
        <f>'CORALINA S4'!$D88</f>
        <v>21623</v>
      </c>
      <c r="S2" s="57">
        <f>'CORALINA S4'!$D94</f>
        <v>14504</v>
      </c>
      <c r="T2" s="57">
        <f>'CORALINA S4'!$D100</f>
        <v>11116</v>
      </c>
      <c r="U2" s="57">
        <f>'CORALINA S4'!$D106</f>
        <v>3423</v>
      </c>
      <c r="V2" s="57">
        <f>'CORALINA S4'!$D112</f>
        <v>11732</v>
      </c>
      <c r="W2" s="57">
        <f>'CORALINA S4'!$D118</f>
        <v>17353</v>
      </c>
      <c r="X2" s="57">
        <f>'CORALINA S4'!$D124</f>
        <v>8953</v>
      </c>
      <c r="Y2" s="57">
        <f>'CORALINA S4'!$D130</f>
        <v>6181</v>
      </c>
      <c r="Z2" s="57">
        <f>'CORALINA S4'!$D136</f>
        <v>9254</v>
      </c>
      <c r="AA2" s="57">
        <f>'CORALINA S4'!$D142</f>
        <v>15554</v>
      </c>
      <c r="AB2" s="57">
        <f>'CORALINA S4'!$D148</f>
        <v>4074</v>
      </c>
      <c r="AC2" s="57">
        <f>'CORALINA S4'!$D154</f>
        <v>17773</v>
      </c>
      <c r="AD2" s="57">
        <f>'CORALINA S4'!$D160</f>
        <v>13426</v>
      </c>
      <c r="AE2" s="57">
        <f>'CORALINA S4'!$D166</f>
        <v>4494</v>
      </c>
      <c r="AF2" s="57">
        <f>'CORALINA S4'!$D172</f>
        <v>10514</v>
      </c>
      <c r="AG2" s="57">
        <f>'CORALINA S4'!$D178</f>
        <v>7014</v>
      </c>
      <c r="AH2" s="57">
        <f>'CORALINA S4'!$D184</f>
        <v>11669</v>
      </c>
      <c r="AI2" s="57">
        <f>'CORALINA S4'!$D190</f>
        <v>2751</v>
      </c>
      <c r="AJ2" s="57">
        <f>'CORALINA S4'!$D196</f>
        <v>1302</v>
      </c>
      <c r="AK2" s="57">
        <f>'CORALINA S4'!$D202</f>
        <v>0</v>
      </c>
      <c r="AL2" s="57">
        <f>'CORALINA S4'!$D208</f>
        <v>0</v>
      </c>
      <c r="AM2" s="57">
        <f>'CORALINA S4'!$D214</f>
        <v>0</v>
      </c>
      <c r="AN2" s="57">
        <f>'CORALINA S4'!$D220</f>
        <v>0</v>
      </c>
      <c r="AO2" s="57">
        <f>'CORALINA S4'!$D226</f>
        <v>0</v>
      </c>
    </row>
    <row r="3" spans="1:41" ht="30" customHeight="1" x14ac:dyDescent="0.25">
      <c r="A3" s="13" t="s">
        <v>60</v>
      </c>
      <c r="B3" s="20">
        <f>'RECAP RENDEMENT'!H4</f>
        <v>626725</v>
      </c>
      <c r="C3" s="25">
        <f>100*B3/B6</f>
        <v>28.793402416059237</v>
      </c>
      <c r="D3" s="131">
        <f>'AVALANTINO S2'!$D4</f>
        <v>0</v>
      </c>
      <c r="E3" s="57">
        <f>'AVALANTINO S2'!$D10</f>
        <v>0</v>
      </c>
      <c r="F3" s="57">
        <f>'AVALANTINO S2'!$D16</f>
        <v>0</v>
      </c>
      <c r="G3" s="57">
        <f>'AVALANTINO S2'!$D22</f>
        <v>10360</v>
      </c>
      <c r="H3" s="57">
        <f>'AVALANTINO S2'!$D28</f>
        <v>17495</v>
      </c>
      <c r="I3" s="57">
        <f>'AVALANTINO S2'!$D34</f>
        <v>29045</v>
      </c>
      <c r="J3" s="57">
        <f>'AVALANTINO S2'!$D40</f>
        <v>20580</v>
      </c>
      <c r="K3" s="57">
        <f>'AVALANTINO S2'!$D46</f>
        <v>28240</v>
      </c>
      <c r="L3" s="57">
        <f>'AVALANTINO S2'!$D52</f>
        <v>25815</v>
      </c>
      <c r="M3" s="57">
        <f>'AVALANTINO S2'!$D58</f>
        <v>21455</v>
      </c>
      <c r="N3" s="57">
        <f>'AVALANTINO S2'!$D64</f>
        <v>20115</v>
      </c>
      <c r="O3" s="57">
        <f>'AVALANTINO S2'!$D70</f>
        <v>21110</v>
      </c>
      <c r="P3" s="57">
        <f>'AVALANTINO S2'!$D76</f>
        <v>25460</v>
      </c>
      <c r="Q3" s="57">
        <f>'AVALANTINO S2'!$D82</f>
        <v>29660</v>
      </c>
      <c r="R3" s="57">
        <f>'AVALANTINO S2'!$D88</f>
        <v>25250</v>
      </c>
      <c r="S3" s="57">
        <f>'AVALANTINO S2'!$D94</f>
        <v>34150</v>
      </c>
      <c r="T3" s="57">
        <f>'AVALANTINO S2'!$D100</f>
        <v>23100</v>
      </c>
      <c r="U3" s="57">
        <f>'AVALANTINO S2'!$D106</f>
        <v>19220</v>
      </c>
      <c r="V3" s="57">
        <f>'AVALANTINO S2'!$D112</f>
        <v>28035</v>
      </c>
      <c r="W3" s="57">
        <f>'AVALANTINO S2'!$D118</f>
        <v>25000</v>
      </c>
      <c r="X3" s="57">
        <f>'AVALANTINO S2'!$D124</f>
        <v>23075</v>
      </c>
      <c r="Y3" s="57">
        <f>'AVALANTINO S2'!$D130</f>
        <v>7440</v>
      </c>
      <c r="Z3" s="57">
        <f>'AVALANTINO S2'!$D136</f>
        <v>12285</v>
      </c>
      <c r="AA3" s="57">
        <f>'AVALANTINO S2'!$D142</f>
        <v>16670</v>
      </c>
      <c r="AB3" s="57">
        <f>'AVALANTINO S2'!$D148</f>
        <v>21200</v>
      </c>
      <c r="AC3" s="57">
        <f>'AVALANTINO S2'!$D154</f>
        <v>21485</v>
      </c>
      <c r="AD3" s="57">
        <f>'AVALANTINO S2'!$D160</f>
        <v>21395</v>
      </c>
      <c r="AE3" s="57">
        <f>'AVALANTINO S2'!$D166</f>
        <v>14190</v>
      </c>
      <c r="AF3" s="57">
        <f>'AVALANTINO S2'!$D172</f>
        <v>21615</v>
      </c>
      <c r="AG3" s="57">
        <f>'AVALANTINO S2'!$D178</f>
        <v>12960</v>
      </c>
      <c r="AH3" s="57">
        <f>'AVALANTINO S2'!$D184</f>
        <v>9500</v>
      </c>
      <c r="AI3" s="57">
        <f>'AVALANTINO S2'!$D190</f>
        <v>30325</v>
      </c>
      <c r="AJ3" s="57">
        <f>'AVALANTINO S2'!$D196</f>
        <v>10495</v>
      </c>
      <c r="AK3" s="57">
        <f>'AVALANTINO S2'!$D202</f>
        <v>0</v>
      </c>
      <c r="AL3" s="57">
        <f>'AVALANTINO S2'!$D208</f>
        <v>0</v>
      </c>
      <c r="AM3" s="57">
        <f>'AVALANTINO S2'!$D214</f>
        <v>0</v>
      </c>
      <c r="AN3" s="57">
        <f>'AVALANTINO S2'!$D220</f>
        <v>0</v>
      </c>
      <c r="AO3" s="57">
        <f>'AVALANTINO S2'!$D226</f>
        <v>0</v>
      </c>
    </row>
    <row r="4" spans="1:41" ht="30" customHeight="1" x14ac:dyDescent="0.25">
      <c r="A4" s="13" t="s">
        <v>66</v>
      </c>
      <c r="B4" s="20">
        <f>'RECAP RENDEMENT'!H2+'RECAP RENDEMENT'!H3</f>
        <v>761595</v>
      </c>
      <c r="C4" s="25">
        <f>100*B4/B6</f>
        <v>34.989686565971731</v>
      </c>
      <c r="D4" s="131">
        <f>'TC 607 S1'!$F4+'TC SORENTINO S1'!F4</f>
        <v>3245</v>
      </c>
      <c r="E4" s="57">
        <f>'TC 607 S1'!$F10+'TC SORENTINO S1'!$F10</f>
        <v>7655</v>
      </c>
      <c r="F4" s="57">
        <f>'TC 607 S1'!$F16+'TC SORENTINO S1'!$F16</f>
        <v>9655</v>
      </c>
      <c r="G4" s="57">
        <f>'TC 607 S1'!$F22+'TC SORENTINO S1'!$F22</f>
        <v>19455</v>
      </c>
      <c r="H4" s="57">
        <f>'TC 607 S1'!$F28+'TC SORENTINO S1'!$F28</f>
        <v>31340</v>
      </c>
      <c r="I4" s="57">
        <f>'TC 607 S1'!$F34+'TC SORENTINO S1'!$F34</f>
        <v>33930</v>
      </c>
      <c r="J4" s="57">
        <f>'TC 607 S1'!$F40+'TC SORENTINO S1'!$F40</f>
        <v>31630</v>
      </c>
      <c r="K4" s="57">
        <f>'TC 607 S1'!$F46+'TC SORENTINO S1'!$F46</f>
        <v>33230</v>
      </c>
      <c r="L4" s="57">
        <f>'TC 607 S1'!$F52+'TC SORENTINO S1'!$F52</f>
        <v>47870</v>
      </c>
      <c r="M4" s="57">
        <f>'TC 607 S1'!$F58+'TC SORENTINO S1'!$F58</f>
        <v>43085</v>
      </c>
      <c r="N4" s="57">
        <f>'TC 607 S1'!$F64+'TC SORENTINO S1'!$F64</f>
        <v>33465</v>
      </c>
      <c r="O4" s="57">
        <f>'TC 607 S1'!$F70+'TC SORENTINO S1'!$F70</f>
        <v>25285</v>
      </c>
      <c r="P4" s="57">
        <f>'TC 607 S1'!$F76+'TC SORENTINO S1'!$F76</f>
        <v>23100</v>
      </c>
      <c r="Q4" s="57">
        <f>'TC 607 S1'!$F82+'TC SORENTINO S1'!$F82</f>
        <v>27460</v>
      </c>
      <c r="R4" s="57">
        <f>'TC 607 S1'!$F88+'TC SORENTINO S1'!$F88</f>
        <v>31290</v>
      </c>
      <c r="S4" s="57">
        <f>'TC 607 S1'!$F94+'TC SORENTINO S1'!$F94</f>
        <v>29185</v>
      </c>
      <c r="T4" s="57">
        <f>'TC 607 S1'!$F100+'TC SORENTINO S1'!$F100</f>
        <v>22970</v>
      </c>
      <c r="U4" s="57">
        <f>'TC 607 S1'!$F106+'TC SORENTINO S1'!$F106</f>
        <v>22545</v>
      </c>
      <c r="V4" s="57">
        <f>'TC 607 S1'!$F112+'TC SORENTINO S1'!$F112</f>
        <v>26765</v>
      </c>
      <c r="W4" s="57">
        <f>'TC 607 S1'!$F118+'TC SORENTINO S1'!$F118</f>
        <v>14360</v>
      </c>
      <c r="X4" s="57">
        <f>'TC 607 S1'!$F124+'TC SORENTINO S1'!$F124</f>
        <v>13490</v>
      </c>
      <c r="Y4" s="57">
        <f>'TC 607 S1'!$F130+'TC SORENTINO S1'!$F130</f>
        <v>19580</v>
      </c>
      <c r="Z4" s="57">
        <f>'TC 607 S1'!$F136+'TC SORENTINO S1'!$F136</f>
        <v>27140</v>
      </c>
      <c r="AA4" s="57">
        <f>'TC 607 S1'!$F142+'TC SORENTINO S1'!$F142</f>
        <v>23995</v>
      </c>
      <c r="AB4" s="57">
        <f>'TC 607 S1'!$F148+'TC SORENTINO S1'!$F148</f>
        <v>25035</v>
      </c>
      <c r="AC4" s="57">
        <f>'TC 607 S1'!$F154+'TC SORENTINO S1'!$F154</f>
        <v>21950</v>
      </c>
      <c r="AD4" s="57">
        <f>'TC 607 S1'!$F160+'TC SORENTINO S1'!$F160</f>
        <v>22915</v>
      </c>
      <c r="AE4" s="57">
        <f>'TC 607 S1'!$F166+'TC SORENTINO S1'!$F166</f>
        <v>15170</v>
      </c>
      <c r="AF4" s="57">
        <f>'TC 607 S1'!$F172+'TC SORENTINO S1'!$F172</f>
        <v>21565</v>
      </c>
      <c r="AG4" s="57">
        <f>'TC 607 S1'!$F178+'TC SORENTINO S1'!$F178</f>
        <v>13465</v>
      </c>
      <c r="AH4" s="57">
        <f>'TC 607 S1'!$F184+'TC SORENTINO S1'!$F184</f>
        <v>20885</v>
      </c>
      <c r="AI4" s="57">
        <f>'TC 607 S1'!$F190+'TC SORENTINO S1'!$F190</f>
        <v>12310</v>
      </c>
      <c r="AJ4" s="57">
        <f>'TC 607 S1'!$F196+'TC SORENTINO S1'!$F196</f>
        <v>6575</v>
      </c>
      <c r="AK4" s="57">
        <f>'TC 607 S1'!$F202+'TC SORENTINO S1'!$F202</f>
        <v>0</v>
      </c>
      <c r="AL4" s="57">
        <f>'TC 607 S1'!$F208+'TC SORENTINO S1'!$F208</f>
        <v>0</v>
      </c>
      <c r="AM4" s="57">
        <f>'TC 607 S1'!$F214+'TC SORENTINO S1'!$F214</f>
        <v>0</v>
      </c>
      <c r="AN4" s="57">
        <f>'TC 607 S1'!$F220+'TC SORENTINO S1'!$F220</f>
        <v>0</v>
      </c>
      <c r="AO4" s="57">
        <f>'TC 607 S1'!$F226+'TC SORENTINO S1'!$F226</f>
        <v>0</v>
      </c>
    </row>
    <row r="5" spans="1:41" ht="30" customHeight="1" x14ac:dyDescent="0.25">
      <c r="A5" s="13" t="s">
        <v>38</v>
      </c>
      <c r="B5" s="20">
        <f>'RECAP RENDEMENT'!H5</f>
        <v>400955.09999999986</v>
      </c>
      <c r="C5" s="25">
        <f>100*B5/B6</f>
        <v>18.420936686858301</v>
      </c>
      <c r="D5" s="131">
        <f>'KOMEET S3'!$D4</f>
        <v>0</v>
      </c>
      <c r="E5" s="57">
        <f>'KOMEET S3'!$D10</f>
        <v>0</v>
      </c>
      <c r="F5" s="57">
        <f>'KOMEET S3'!$D16</f>
        <v>0</v>
      </c>
      <c r="G5" s="57">
        <f>'KOMEET S3'!$D22</f>
        <v>0</v>
      </c>
      <c r="H5" s="57">
        <f>'KOMEET S3'!$D28</f>
        <v>4468.8</v>
      </c>
      <c r="I5" s="57">
        <f>'KOMEET S3'!$D34</f>
        <v>8076.9000000000005</v>
      </c>
      <c r="J5" s="57">
        <f>'KOMEET S3'!$D40</f>
        <v>25154.100000000002</v>
      </c>
      <c r="K5" s="57">
        <f>'KOMEET S3'!$D46</f>
        <v>21688.5</v>
      </c>
      <c r="L5" s="57">
        <f>'KOMEET S3'!$D52</f>
        <v>19710.599999999999</v>
      </c>
      <c r="M5" s="57">
        <f>'KOMEET S3'!$D58</f>
        <v>25838.100000000002</v>
      </c>
      <c r="N5" s="57">
        <f>'KOMEET S3'!$D64</f>
        <v>13742.7</v>
      </c>
      <c r="O5" s="57">
        <f>'KOMEET S3'!$D70</f>
        <v>19129.2</v>
      </c>
      <c r="P5" s="57">
        <f>'KOMEET S3'!$D76</f>
        <v>19482.600000000002</v>
      </c>
      <c r="Q5" s="57">
        <f>'KOMEET S3'!$D82</f>
        <v>19203.300000000003</v>
      </c>
      <c r="R5" s="57">
        <f>'KOMEET S3'!$D88</f>
        <v>20463.000000000007</v>
      </c>
      <c r="S5" s="57">
        <f>'KOMEET S3'!$D94</f>
        <v>22822.800000000003</v>
      </c>
      <c r="T5" s="57">
        <f>'KOMEET S3'!$D100</f>
        <v>14523.600000000002</v>
      </c>
      <c r="U5" s="57">
        <f>'KOMEET S3'!$D106</f>
        <v>5278.2</v>
      </c>
      <c r="V5" s="57">
        <f>'KOMEET S3'!$D112</f>
        <v>17841</v>
      </c>
      <c r="W5" s="57">
        <f>'KOMEET S3'!$D118</f>
        <v>16359</v>
      </c>
      <c r="X5" s="57">
        <f>'KOMEET S3'!$D124</f>
        <v>9849.6</v>
      </c>
      <c r="Y5" s="57">
        <f>'KOMEET S3'!$D130</f>
        <v>7273.2000000000007</v>
      </c>
      <c r="Z5" s="57">
        <f>'KOMEET S3'!$D136</f>
        <v>3306</v>
      </c>
      <c r="AA5" s="57">
        <f>'KOMEET S3'!$D142</f>
        <v>7683.5999999999995</v>
      </c>
      <c r="AB5" s="57">
        <f>'KOMEET S3'!$D148</f>
        <v>13144.200000000003</v>
      </c>
      <c r="AC5" s="57">
        <f>'KOMEET S3'!$D154</f>
        <v>10676.1</v>
      </c>
      <c r="AD5" s="57">
        <f>'KOMEET S3'!$D160</f>
        <v>17960.700000000004</v>
      </c>
      <c r="AE5" s="57">
        <f>'KOMEET S3'!$D166</f>
        <v>5688.5999999999995</v>
      </c>
      <c r="AF5" s="57">
        <f>'KOMEET S3'!$D172</f>
        <v>12699.6</v>
      </c>
      <c r="AG5" s="57">
        <f>'KOMEET S3'!$D178</f>
        <v>8846.4</v>
      </c>
      <c r="AH5" s="57">
        <f>'KOMEET S3'!$D184</f>
        <v>12460.199999999997</v>
      </c>
      <c r="AI5" s="57">
        <f>'KOMEET S3'!$D190</f>
        <v>14654.7</v>
      </c>
      <c r="AJ5" s="57">
        <f>'KOMEET S3'!$D196</f>
        <v>2929.8</v>
      </c>
      <c r="AK5" s="57">
        <f>'KOMEET S3'!$D202</f>
        <v>0</v>
      </c>
      <c r="AL5" s="57">
        <f>'KOMEET S3'!$D208</f>
        <v>0</v>
      </c>
      <c r="AM5" s="57">
        <f>'KOMEET S3'!$D214</f>
        <v>0</v>
      </c>
      <c r="AN5" s="57">
        <f>'KOMEET S3'!$D220</f>
        <v>0</v>
      </c>
      <c r="AO5" s="57">
        <f>'KOMEET S3'!$D226</f>
        <v>0</v>
      </c>
    </row>
    <row r="6" spans="1:41" ht="30" customHeight="1" thickBot="1" x14ac:dyDescent="0.3">
      <c r="A6" s="17" t="s">
        <v>0</v>
      </c>
      <c r="B6" s="23">
        <f t="shared" ref="B6:AO6" si="0">SUM(B2:B5)</f>
        <v>2176627.0999999996</v>
      </c>
      <c r="C6" s="24">
        <f t="shared" si="0"/>
        <v>100.00000000000001</v>
      </c>
      <c r="D6" s="139">
        <f t="shared" si="0"/>
        <v>3245</v>
      </c>
      <c r="E6" s="58">
        <f t="shared" si="0"/>
        <v>7655</v>
      </c>
      <c r="F6" s="58">
        <f t="shared" si="0"/>
        <v>10726</v>
      </c>
      <c r="G6" s="58">
        <f t="shared" si="0"/>
        <v>35660</v>
      </c>
      <c r="H6" s="58">
        <f t="shared" si="0"/>
        <v>66939.8</v>
      </c>
      <c r="I6" s="58">
        <f t="shared" si="0"/>
        <v>90112.9</v>
      </c>
      <c r="J6" s="58">
        <f t="shared" si="0"/>
        <v>93212.1</v>
      </c>
      <c r="K6" s="58">
        <f t="shared" si="0"/>
        <v>119593.5</v>
      </c>
      <c r="L6" s="58">
        <f t="shared" si="0"/>
        <v>114479.6</v>
      </c>
      <c r="M6" s="58">
        <f t="shared" si="0"/>
        <v>111329.1</v>
      </c>
      <c r="N6" s="58">
        <f t="shared" si="0"/>
        <v>84024.7</v>
      </c>
      <c r="O6" s="58">
        <f t="shared" si="0"/>
        <v>79006.2</v>
      </c>
      <c r="P6" s="58">
        <f t="shared" si="0"/>
        <v>82602.600000000006</v>
      </c>
      <c r="Q6" s="58">
        <f t="shared" si="0"/>
        <v>92290.3</v>
      </c>
      <c r="R6" s="58">
        <f t="shared" si="0"/>
        <v>98626</v>
      </c>
      <c r="S6" s="58">
        <f t="shared" si="0"/>
        <v>100661.8</v>
      </c>
      <c r="T6" s="58">
        <f t="shared" si="0"/>
        <v>71709.600000000006</v>
      </c>
      <c r="U6" s="58">
        <f t="shared" si="0"/>
        <v>50466.2</v>
      </c>
      <c r="V6" s="58">
        <f t="shared" si="0"/>
        <v>84373</v>
      </c>
      <c r="W6" s="58">
        <f t="shared" si="0"/>
        <v>73072</v>
      </c>
      <c r="X6" s="58">
        <f t="shared" si="0"/>
        <v>55367.6</v>
      </c>
      <c r="Y6" s="58">
        <f t="shared" si="0"/>
        <v>40474.199999999997</v>
      </c>
      <c r="Z6" s="58">
        <f t="shared" si="0"/>
        <v>51985</v>
      </c>
      <c r="AA6" s="58">
        <f t="shared" si="0"/>
        <v>63902.6</v>
      </c>
      <c r="AB6" s="58">
        <f t="shared" si="0"/>
        <v>63453.200000000004</v>
      </c>
      <c r="AC6" s="58">
        <f t="shared" si="0"/>
        <v>71884.100000000006</v>
      </c>
      <c r="AD6" s="58">
        <f t="shared" si="0"/>
        <v>75696.700000000012</v>
      </c>
      <c r="AE6" s="58">
        <f t="shared" si="0"/>
        <v>39542.6</v>
      </c>
      <c r="AF6" s="58">
        <f t="shared" si="0"/>
        <v>66393.600000000006</v>
      </c>
      <c r="AG6" s="58">
        <f t="shared" si="0"/>
        <v>42285.4</v>
      </c>
      <c r="AH6" s="58">
        <f t="shared" si="0"/>
        <v>54514.2</v>
      </c>
      <c r="AI6" s="58">
        <f t="shared" si="0"/>
        <v>60040.7</v>
      </c>
      <c r="AJ6" s="58">
        <f t="shared" si="0"/>
        <v>21301.8</v>
      </c>
      <c r="AK6" s="58">
        <f t="shared" si="0"/>
        <v>0</v>
      </c>
      <c r="AL6" s="58">
        <f t="shared" si="0"/>
        <v>0</v>
      </c>
      <c r="AM6" s="58">
        <f t="shared" si="0"/>
        <v>0</v>
      </c>
      <c r="AN6" s="58">
        <f t="shared" si="0"/>
        <v>0</v>
      </c>
      <c r="AO6" s="58">
        <f t="shared" si="0"/>
        <v>0</v>
      </c>
    </row>
    <row r="7" spans="1:41" ht="30" customHeight="1" thickBot="1" x14ac:dyDescent="0.3">
      <c r="A7" s="17" t="s">
        <v>13</v>
      </c>
      <c r="B7" s="23">
        <f>B6</f>
        <v>2176627.0999999996</v>
      </c>
      <c r="C7" s="24">
        <f>C6</f>
        <v>100.00000000000001</v>
      </c>
      <c r="D7" s="23">
        <f>D6</f>
        <v>3245</v>
      </c>
      <c r="E7" s="58">
        <f t="shared" ref="E7" si="1">E6+D7</f>
        <v>10900</v>
      </c>
      <c r="F7" s="58">
        <f>F6+E7</f>
        <v>21626</v>
      </c>
      <c r="G7" s="58">
        <f>G6+F7</f>
        <v>57286</v>
      </c>
      <c r="H7" s="58">
        <f>G7+H6</f>
        <v>124225.8</v>
      </c>
      <c r="I7" s="58">
        <f>H7+I6</f>
        <v>214338.7</v>
      </c>
      <c r="J7" s="58">
        <f t="shared" ref="J7:AD7" si="2">I7+J6</f>
        <v>307550.80000000005</v>
      </c>
      <c r="K7" s="58">
        <f t="shared" si="2"/>
        <v>427144.30000000005</v>
      </c>
      <c r="L7" s="58">
        <f t="shared" si="2"/>
        <v>541623.9</v>
      </c>
      <c r="M7" s="58">
        <f t="shared" si="2"/>
        <v>652953</v>
      </c>
      <c r="N7" s="58">
        <f t="shared" si="2"/>
        <v>736977.7</v>
      </c>
      <c r="O7" s="58">
        <f t="shared" si="2"/>
        <v>815983.89999999991</v>
      </c>
      <c r="P7" s="58">
        <f t="shared" si="2"/>
        <v>898586.49999999988</v>
      </c>
      <c r="Q7" s="58">
        <f t="shared" si="2"/>
        <v>990876.79999999993</v>
      </c>
      <c r="R7" s="58">
        <f t="shared" si="2"/>
        <v>1089502.7999999998</v>
      </c>
      <c r="S7" s="58">
        <f t="shared" si="2"/>
        <v>1190164.5999999999</v>
      </c>
      <c r="T7" s="58">
        <f t="shared" si="2"/>
        <v>1261874.2</v>
      </c>
      <c r="U7" s="58">
        <f t="shared" si="2"/>
        <v>1312340.3999999999</v>
      </c>
      <c r="V7" s="58">
        <f t="shared" si="2"/>
        <v>1396713.4</v>
      </c>
      <c r="W7" s="58">
        <f t="shared" si="2"/>
        <v>1469785.4</v>
      </c>
      <c r="X7" s="58">
        <f t="shared" si="2"/>
        <v>1525153</v>
      </c>
      <c r="Y7" s="58">
        <f t="shared" si="2"/>
        <v>1565627.2</v>
      </c>
      <c r="Z7" s="58">
        <f t="shared" si="2"/>
        <v>1617612.2</v>
      </c>
      <c r="AA7" s="58">
        <f t="shared" si="2"/>
        <v>1681514.8</v>
      </c>
      <c r="AB7" s="58">
        <f t="shared" si="2"/>
        <v>1744968</v>
      </c>
      <c r="AC7" s="58">
        <f t="shared" si="2"/>
        <v>1816852.1</v>
      </c>
      <c r="AD7" s="58">
        <f t="shared" si="2"/>
        <v>1892548.8</v>
      </c>
      <c r="AE7" s="58">
        <f t="shared" ref="AE7" si="3">AD7+AE6</f>
        <v>1932091.4000000001</v>
      </c>
      <c r="AF7" s="58">
        <f t="shared" ref="AF7" si="4">AE7+AF6</f>
        <v>1998485.0000000002</v>
      </c>
      <c r="AG7" s="58">
        <f t="shared" ref="AG7" si="5">AF7+AG6</f>
        <v>2040770.4000000001</v>
      </c>
      <c r="AH7" s="58">
        <f t="shared" ref="AH7" si="6">AG7+AH6</f>
        <v>2095284.6</v>
      </c>
      <c r="AI7" s="58">
        <f t="shared" ref="AI7" si="7">AH7+AI6</f>
        <v>2155325.3000000003</v>
      </c>
      <c r="AJ7" s="58">
        <f t="shared" ref="AJ7" si="8">AI7+AJ6</f>
        <v>2176627.1</v>
      </c>
      <c r="AK7" s="58">
        <f t="shared" ref="AK7" si="9">AJ7+AK6</f>
        <v>2176627.1</v>
      </c>
      <c r="AL7" s="58">
        <f t="shared" ref="AL7" si="10">AK7+AL6</f>
        <v>2176627.1</v>
      </c>
      <c r="AM7" s="58">
        <f t="shared" ref="AM7" si="11">AL7+AM6</f>
        <v>2176627.1</v>
      </c>
      <c r="AN7" s="58">
        <f t="shared" ref="AN7" si="12">AM7+AN6</f>
        <v>2176627.1</v>
      </c>
      <c r="AO7" s="58">
        <f t="shared" ref="AO7" si="13">AN7+AO6</f>
        <v>2176627.1</v>
      </c>
    </row>
  </sheetData>
  <conditionalFormatting sqref="E2:AO2">
    <cfRule type="top10" dxfId="57" priority="10" rank="1"/>
  </conditionalFormatting>
  <conditionalFormatting sqref="E3:AO3">
    <cfRule type="top10" dxfId="56" priority="9" rank="1"/>
  </conditionalFormatting>
  <conditionalFormatting sqref="E4:AO4">
    <cfRule type="top10" dxfId="55" priority="8" rank="1"/>
  </conditionalFormatting>
  <conditionalFormatting sqref="E5:AO5">
    <cfRule type="top10" dxfId="54" priority="7" rank="1"/>
  </conditionalFormatting>
  <conditionalFormatting sqref="E6:AO6">
    <cfRule type="top10" dxfId="53" priority="3" rank="1"/>
  </conditionalFormatting>
  <conditionalFormatting sqref="E7:AO7">
    <cfRule type="top10" dxfId="52" priority="1" rank="1"/>
  </conditionalFormatting>
  <conditionalFormatting sqref="C2:D5">
    <cfRule type="dataBar" priority="137">
      <dataBar>
        <cfvo type="min"/>
        <cfvo type="max"/>
        <color rgb="FF008AEF"/>
      </dataBar>
      <extLst>
        <ext xmlns:x14="http://schemas.microsoft.com/office/spreadsheetml/2009/9/main" uri="{B025F937-C7B1-47D3-B67F-A62EFF666E3E}">
          <x14:id>{ADFCF810-0883-49E1-91D2-B082B1B36143}</x14:id>
        </ext>
      </extLst>
    </cfRule>
  </conditionalFormatting>
  <pageMargins left="0.7" right="0.7" top="0.75" bottom="0.75" header="0.3" footer="0.3"/>
  <pageSetup paperSize="9" orientation="portrait" horizontalDpi="4294967293" r:id="rId1"/>
  <drawing r:id="rId2"/>
  <extLst>
    <ext xmlns:x14="http://schemas.microsoft.com/office/spreadsheetml/2009/9/main" uri="{78C0D931-6437-407d-A8EE-F0AAD7539E65}">
      <x14:conditionalFormattings>
        <x14:conditionalFormatting xmlns:xm="http://schemas.microsoft.com/office/excel/2006/main">
          <x14:cfRule type="dataBar" id="{ADFCF810-0883-49E1-91D2-B082B1B36143}">
            <x14:dataBar minLength="0" maxLength="100" border="1" negativeBarBorderColorSameAsPositive="0">
              <x14:cfvo type="autoMin"/>
              <x14:cfvo type="autoMax"/>
              <x14:borderColor rgb="FF008AEF"/>
              <x14:negativeFillColor rgb="FFFF0000"/>
              <x14:negativeBorderColor rgb="FFFF0000"/>
              <x14:axisColor rgb="FF000000"/>
            </x14:dataBar>
          </x14:cfRule>
          <xm:sqref>C2:D5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6"/>
  <sheetViews>
    <sheetView zoomScaleNormal="100" workbookViewId="0">
      <pane xSplit="12" ySplit="1" topLeftCell="W2" activePane="bottomRight" state="frozen"/>
      <selection pane="topRight" activeCell="N1" sqref="N1"/>
      <selection pane="bottomLeft" activeCell="A2" sqref="A2"/>
      <selection pane="bottomRight" activeCell="D13" sqref="D13"/>
    </sheetView>
  </sheetViews>
  <sheetFormatPr baseColWidth="10" defaultRowHeight="15" x14ac:dyDescent="0.25"/>
  <cols>
    <col min="1" max="1" width="18.7109375" style="10" customWidth="1"/>
    <col min="2" max="24" width="11.7109375" style="10" customWidth="1"/>
    <col min="25" max="27" width="11.7109375" customWidth="1"/>
    <col min="28" max="29" width="13.7109375" customWidth="1"/>
    <col min="30" max="30" width="20.7109375" customWidth="1"/>
  </cols>
  <sheetData>
    <row r="1" spans="1:37" ht="49.5" customHeight="1" thickBot="1" x14ac:dyDescent="0.3">
      <c r="A1" s="18" t="s">
        <v>1</v>
      </c>
      <c r="B1" s="14" t="s">
        <v>3</v>
      </c>
      <c r="C1" s="14" t="s">
        <v>14</v>
      </c>
      <c r="D1" s="46" t="s">
        <v>11</v>
      </c>
      <c r="E1" s="14" t="s">
        <v>25</v>
      </c>
      <c r="F1" s="14" t="s">
        <v>26</v>
      </c>
      <c r="G1" s="14" t="s">
        <v>27</v>
      </c>
      <c r="H1" s="14" t="s">
        <v>28</v>
      </c>
      <c r="I1" s="14" t="s">
        <v>22</v>
      </c>
      <c r="J1" s="14" t="s">
        <v>23</v>
      </c>
      <c r="K1" s="14" t="s">
        <v>24</v>
      </c>
      <c r="L1" s="14" t="s">
        <v>15</v>
      </c>
      <c r="M1" s="67" t="s">
        <v>16</v>
      </c>
      <c r="N1" s="68" t="s">
        <v>12</v>
      </c>
      <c r="O1" s="67" t="s">
        <v>17</v>
      </c>
      <c r="P1" s="68" t="s">
        <v>12</v>
      </c>
      <c r="Q1" s="67" t="s">
        <v>41</v>
      </c>
      <c r="R1" s="68" t="s">
        <v>12</v>
      </c>
      <c r="S1" s="67" t="s">
        <v>18</v>
      </c>
      <c r="T1" s="68" t="s">
        <v>12</v>
      </c>
      <c r="U1" s="67" t="s">
        <v>19</v>
      </c>
      <c r="V1" s="68" t="s">
        <v>12</v>
      </c>
      <c r="W1" s="67" t="s">
        <v>20</v>
      </c>
      <c r="X1" s="68" t="s">
        <v>12</v>
      </c>
      <c r="Y1" s="14" t="s">
        <v>21</v>
      </c>
      <c r="Z1" s="14" t="s">
        <v>2</v>
      </c>
      <c r="AA1" s="12"/>
      <c r="AB1" s="9"/>
      <c r="AC1" s="9"/>
      <c r="AD1" s="9"/>
      <c r="AE1" s="9"/>
      <c r="AF1" s="9"/>
      <c r="AG1" s="9"/>
      <c r="AH1" s="9"/>
      <c r="AI1" s="9"/>
      <c r="AJ1" s="9"/>
      <c r="AK1" s="9"/>
    </row>
    <row r="2" spans="1:37" ht="27.95" customHeight="1" x14ac:dyDescent="0.25">
      <c r="A2" s="15" t="s">
        <v>59</v>
      </c>
      <c r="B2" s="27">
        <v>44088</v>
      </c>
      <c r="C2" s="27">
        <v>115308</v>
      </c>
      <c r="D2" s="47">
        <v>28686</v>
      </c>
      <c r="E2" s="61">
        <f>H2/D2</f>
        <v>25.746357107996932</v>
      </c>
      <c r="F2" s="62">
        <f t="shared" ref="F2:F5" si="0">H2/C2</f>
        <v>6.4051063239324248</v>
      </c>
      <c r="G2" s="61">
        <f t="shared" ref="G2:G5" si="1">H2/B2</f>
        <v>16.751950644166214</v>
      </c>
      <c r="H2" s="19">
        <f>M2+O2</f>
        <v>738560</v>
      </c>
      <c r="I2" s="61">
        <f t="shared" ref="I2:I5" si="2">L2/D2</f>
        <v>25.746357107996932</v>
      </c>
      <c r="J2" s="62">
        <f t="shared" ref="J2:J5" si="3">L2/C2</f>
        <v>6.4051063239324248</v>
      </c>
      <c r="K2" s="61">
        <f t="shared" ref="K2:K5" si="4">L2/B2</f>
        <v>16.751950644166214</v>
      </c>
      <c r="L2" s="26">
        <f>M2+O2+S2+U2+W2+Q2</f>
        <v>738560</v>
      </c>
      <c r="M2" s="70">
        <f>'TC 607 S1'!I3+'TC 607 S1'!M3+'TC 607 S1'!O3+'TC 607 S1'!Q3+'TC 607 S1'!S3+'TC 607 S1'!K3</f>
        <v>738560</v>
      </c>
      <c r="N2" s="72">
        <f t="shared" ref="N2:N5" si="5">M2/D2</f>
        <v>25.746357107996932</v>
      </c>
      <c r="O2" s="70"/>
      <c r="P2" s="72">
        <f t="shared" ref="P2:P5" si="6">O2/D2</f>
        <v>0</v>
      </c>
      <c r="Q2" s="70"/>
      <c r="R2" s="72">
        <f t="shared" ref="R2:R5" si="7">Q2/B2</f>
        <v>0</v>
      </c>
      <c r="S2" s="70"/>
      <c r="T2" s="72">
        <f t="shared" ref="T2:T5" si="8">S2/D2</f>
        <v>0</v>
      </c>
      <c r="U2" s="70"/>
      <c r="V2" s="72">
        <f t="shared" ref="V2:V5" si="9">U2/D2</f>
        <v>0</v>
      </c>
      <c r="W2" s="70">
        <f>'TC 607 S1'!U3</f>
        <v>0</v>
      </c>
      <c r="X2" s="72">
        <f t="shared" ref="X2:X5" si="10">W2/D2</f>
        <v>0</v>
      </c>
      <c r="Y2" s="120">
        <f>'TC 607 S1'!C3+'TC 607 S1'!D3+'TC 607 S1'!E3</f>
        <v>21636.5</v>
      </c>
      <c r="Z2" s="59">
        <f>L2/Y2</f>
        <v>34.13491091442701</v>
      </c>
      <c r="AA2" s="12"/>
      <c r="AB2" s="9"/>
      <c r="AC2" s="9"/>
      <c r="AD2" s="9"/>
      <c r="AE2" s="9"/>
      <c r="AF2" s="9"/>
      <c r="AG2" s="9"/>
      <c r="AH2" s="9"/>
      <c r="AI2" s="9"/>
      <c r="AJ2" s="9"/>
      <c r="AK2" s="9"/>
    </row>
    <row r="3" spans="1:37" ht="27.95" customHeight="1" x14ac:dyDescent="0.25">
      <c r="A3" s="15" t="s">
        <v>62</v>
      </c>
      <c r="B3" s="27">
        <v>1740</v>
      </c>
      <c r="C3" s="27">
        <v>4640</v>
      </c>
      <c r="D3" s="48">
        <v>1152</v>
      </c>
      <c r="E3" s="61">
        <f>H3/D3</f>
        <v>19.995659722222221</v>
      </c>
      <c r="F3" s="62">
        <f t="shared" ref="F3" si="11">H3/C3</f>
        <v>4.9644396551724137</v>
      </c>
      <c r="G3" s="61">
        <f t="shared" ref="G3" si="12">H3/B3</f>
        <v>13.238505747126437</v>
      </c>
      <c r="H3" s="19">
        <f>M3+O3</f>
        <v>23035</v>
      </c>
      <c r="I3" s="61">
        <f t="shared" ref="I3" si="13">L3/D3</f>
        <v>19.995659722222221</v>
      </c>
      <c r="J3" s="62">
        <f t="shared" ref="J3" si="14">L3/C3</f>
        <v>4.9644396551724137</v>
      </c>
      <c r="K3" s="61">
        <f t="shared" ref="K3" si="15">L3/B3</f>
        <v>13.238505747126437</v>
      </c>
      <c r="L3" s="26">
        <f>M3+O3+S3+U3+W3+Q3</f>
        <v>23035</v>
      </c>
      <c r="M3" s="70">
        <f>'TC SORENTINO S1'!I3+'TC SORENTINO S1'!K3+'TC SORENTINO S1'!M3+'TC SORENTINO S1'!O3+'TC SORENTINO S1'!Q3+'TC SORENTINO S1'!S3</f>
        <v>23035</v>
      </c>
      <c r="N3" s="72">
        <f t="shared" ref="N3" si="16">M3/D3</f>
        <v>19.995659722222221</v>
      </c>
      <c r="O3" s="70"/>
      <c r="P3" s="72">
        <f t="shared" ref="P3" si="17">O3/D3</f>
        <v>0</v>
      </c>
      <c r="Q3" s="70"/>
      <c r="R3" s="72">
        <f t="shared" ref="R3" si="18">Q3/B3</f>
        <v>0</v>
      </c>
      <c r="S3" s="70"/>
      <c r="T3" s="72">
        <f t="shared" ref="T3" si="19">S3/D3</f>
        <v>0</v>
      </c>
      <c r="U3" s="70"/>
      <c r="V3" s="72">
        <f t="shared" ref="V3" si="20">U3/D3</f>
        <v>0</v>
      </c>
      <c r="W3" s="70">
        <f>'TC SORENTINO S1'!U3</f>
        <v>0</v>
      </c>
      <c r="X3" s="72">
        <f t="shared" ref="X3" si="21">W3/D3</f>
        <v>0</v>
      </c>
      <c r="Y3" s="120">
        <f>'TC SORENTINO S1'!C3+'TC SORENTINO S1'!D3+'TC SORENTINO S1'!E3</f>
        <v>623.5</v>
      </c>
      <c r="Z3" s="59">
        <f>L3/Y3</f>
        <v>36.944667201283082</v>
      </c>
      <c r="AA3" s="12"/>
      <c r="AB3" s="9"/>
      <c r="AC3" s="9"/>
      <c r="AD3" s="9"/>
      <c r="AE3" s="9"/>
      <c r="AF3" s="9"/>
      <c r="AG3" s="9"/>
      <c r="AH3" s="9"/>
      <c r="AI3" s="9"/>
      <c r="AJ3" s="9"/>
      <c r="AK3" s="9"/>
    </row>
    <row r="4" spans="1:37" ht="27.95" customHeight="1" x14ac:dyDescent="0.25">
      <c r="A4" s="13" t="s">
        <v>63</v>
      </c>
      <c r="B4" s="28">
        <v>28364</v>
      </c>
      <c r="C4" s="28">
        <v>55956</v>
      </c>
      <c r="D4" s="49">
        <v>17000</v>
      </c>
      <c r="E4" s="61">
        <f t="shared" ref="E4:E5" si="22">H4/D4</f>
        <v>36.866176470588236</v>
      </c>
      <c r="F4" s="63">
        <f t="shared" si="0"/>
        <v>11.200318107084138</v>
      </c>
      <c r="G4" s="64">
        <f t="shared" si="1"/>
        <v>22.095790438584121</v>
      </c>
      <c r="H4" s="16">
        <f>M4+O4+Q4</f>
        <v>626725</v>
      </c>
      <c r="I4" s="61">
        <f t="shared" si="2"/>
        <v>42.630529411764705</v>
      </c>
      <c r="J4" s="63">
        <f t="shared" si="3"/>
        <v>12.951586961183787</v>
      </c>
      <c r="K4" s="64">
        <f t="shared" si="4"/>
        <v>25.550662812015229</v>
      </c>
      <c r="L4" s="20">
        <f t="shared" ref="L4:L5" si="23">M4+O4+S4+U4+W4+Q4</f>
        <v>724719</v>
      </c>
      <c r="M4" s="71">
        <f>'AVALANTINO S2'!G3</f>
        <v>626725</v>
      </c>
      <c r="N4" s="73">
        <f t="shared" si="5"/>
        <v>36.866176470588236</v>
      </c>
      <c r="O4" s="71">
        <f>'AVALANTINO S2'!I3</f>
        <v>0</v>
      </c>
      <c r="P4" s="73">
        <f t="shared" si="6"/>
        <v>0</v>
      </c>
      <c r="Q4" s="71">
        <f>'AVALANTINO S2'!K3</f>
        <v>0</v>
      </c>
      <c r="R4" s="73">
        <f t="shared" si="7"/>
        <v>0</v>
      </c>
      <c r="S4" s="71">
        <f>'AVALANTINO S2'!M3</f>
        <v>45850</v>
      </c>
      <c r="T4" s="73">
        <f t="shared" si="8"/>
        <v>2.697058823529412</v>
      </c>
      <c r="U4" s="71">
        <f>'AVALANTINO S2'!O3</f>
        <v>7810</v>
      </c>
      <c r="V4" s="73">
        <f t="shared" si="9"/>
        <v>0.45941176470588235</v>
      </c>
      <c r="W4" s="71">
        <f>'AVALANTINO S2'!Q3</f>
        <v>44334</v>
      </c>
      <c r="X4" s="73">
        <f t="shared" si="10"/>
        <v>2.6078823529411763</v>
      </c>
      <c r="Y4" s="16">
        <f>'AVALANTINO S2'!C3</f>
        <v>6169</v>
      </c>
      <c r="Z4" s="59">
        <f t="shared" ref="Z4:Z5" si="24">L4/Y4</f>
        <v>117.47754903550008</v>
      </c>
      <c r="AA4" s="11"/>
    </row>
    <row r="5" spans="1:37" ht="27.95" customHeight="1" x14ac:dyDescent="0.25">
      <c r="A5" s="13" t="s">
        <v>64</v>
      </c>
      <c r="B5" s="28">
        <v>16168</v>
      </c>
      <c r="C5" s="28">
        <v>31584</v>
      </c>
      <c r="D5" s="49">
        <v>9000</v>
      </c>
      <c r="E5" s="61">
        <f t="shared" si="22"/>
        <v>44.550566666666654</v>
      </c>
      <c r="F5" s="63">
        <f t="shared" si="0"/>
        <v>12.694880319148933</v>
      </c>
      <c r="G5" s="64">
        <f t="shared" si="1"/>
        <v>24.799301088570004</v>
      </c>
      <c r="H5" s="16">
        <f>M5+O5+Q5</f>
        <v>400955.09999999986</v>
      </c>
      <c r="I5" s="61">
        <f t="shared" si="2"/>
        <v>52.861066666666652</v>
      </c>
      <c r="J5" s="63">
        <f t="shared" si="3"/>
        <v>15.062993920972639</v>
      </c>
      <c r="K5" s="64">
        <f t="shared" si="4"/>
        <v>29.425383473527948</v>
      </c>
      <c r="L5" s="20">
        <f t="shared" si="23"/>
        <v>475749.59999999986</v>
      </c>
      <c r="M5" s="71">
        <f>'KOMEET S3'!G3</f>
        <v>381056.39999999985</v>
      </c>
      <c r="N5" s="73">
        <f t="shared" si="5"/>
        <v>42.339599999999983</v>
      </c>
      <c r="O5" s="71">
        <f>'KOMEET S3'!I3</f>
        <v>19898.69999999999</v>
      </c>
      <c r="P5" s="73">
        <f t="shared" si="6"/>
        <v>2.2109666666666654</v>
      </c>
      <c r="Q5" s="71">
        <f>'KOMEET S3'!K3</f>
        <v>0</v>
      </c>
      <c r="R5" s="73">
        <f t="shared" si="7"/>
        <v>0</v>
      </c>
      <c r="S5" s="71">
        <f>'KOMEET S3'!M3</f>
        <v>21525</v>
      </c>
      <c r="T5" s="73">
        <f t="shared" si="8"/>
        <v>2.3916666666666666</v>
      </c>
      <c r="U5" s="71">
        <f>'KOMEET S3'!O3</f>
        <v>19614</v>
      </c>
      <c r="V5" s="73">
        <f t="shared" si="9"/>
        <v>2.1793333333333331</v>
      </c>
      <c r="W5" s="71">
        <f>'KOMEET S3'!Q3</f>
        <v>33655.5</v>
      </c>
      <c r="X5" s="73">
        <f t="shared" si="10"/>
        <v>3.7395</v>
      </c>
      <c r="Y5" s="16">
        <f>'KOMEET S3'!C3</f>
        <v>3336.5</v>
      </c>
      <c r="Z5" s="59">
        <f t="shared" si="24"/>
        <v>142.58942005095156</v>
      </c>
      <c r="AA5" s="11"/>
    </row>
    <row r="6" spans="1:37" ht="27.95" customHeight="1" thickBot="1" x14ac:dyDescent="0.3">
      <c r="A6" s="13" t="s">
        <v>65</v>
      </c>
      <c r="B6" s="28">
        <v>17643</v>
      </c>
      <c r="C6" s="27">
        <v>34898</v>
      </c>
      <c r="D6" s="48">
        <v>11816</v>
      </c>
      <c r="E6" s="61">
        <f>H6/D6</f>
        <v>32.781990521327018</v>
      </c>
      <c r="F6" s="63">
        <f>H6/C6</f>
        <v>11.099547251991519</v>
      </c>
      <c r="G6" s="64">
        <f>H6/B6</f>
        <v>21.954996315819304</v>
      </c>
      <c r="H6" s="16">
        <f t="shared" ref="H6" si="25">M6+O6</f>
        <v>387352</v>
      </c>
      <c r="I6" s="61">
        <f>L6/D6</f>
        <v>39.26007109004739</v>
      </c>
      <c r="J6" s="63">
        <f>L6/C6</f>
        <v>13.292939423462663</v>
      </c>
      <c r="K6" s="64">
        <f>L6/B6</f>
        <v>26.293544181828487</v>
      </c>
      <c r="L6" s="20">
        <f>M6+O6+S6+U6+W6+Q6</f>
        <v>463897</v>
      </c>
      <c r="M6" s="71">
        <f>'CORALINA S4'!G3</f>
        <v>380506</v>
      </c>
      <c r="N6" s="73">
        <f>M6/D6</f>
        <v>32.202606635071092</v>
      </c>
      <c r="O6" s="71">
        <f>'CORALINA S4'!I3</f>
        <v>6846</v>
      </c>
      <c r="P6" s="73">
        <f>O6/D6</f>
        <v>0.57938388625592419</v>
      </c>
      <c r="Q6" s="71"/>
      <c r="R6" s="73">
        <f>Q6/B6</f>
        <v>0</v>
      </c>
      <c r="S6" s="71"/>
      <c r="T6" s="73">
        <f>S6/D6</f>
        <v>0</v>
      </c>
      <c r="U6" s="71"/>
      <c r="V6" s="73">
        <f>U6/D6</f>
        <v>0</v>
      </c>
      <c r="W6" s="71">
        <f>'CORALINA S4'!K3</f>
        <v>76545</v>
      </c>
      <c r="X6" s="73">
        <f>W6/D6</f>
        <v>6.4780805687203795</v>
      </c>
      <c r="Y6" s="16">
        <f>'CORALINA S4'!C3</f>
        <v>4102.75</v>
      </c>
      <c r="Z6" s="59">
        <f>L6/Y6</f>
        <v>113.06977027603436</v>
      </c>
      <c r="AA6" s="11"/>
    </row>
    <row r="7" spans="1:37" ht="27.95" customHeight="1" thickBot="1" x14ac:dyDescent="0.3">
      <c r="A7" s="50" t="s">
        <v>0</v>
      </c>
      <c r="B7" s="51">
        <f>SUM(B2:B6)</f>
        <v>108003</v>
      </c>
      <c r="C7" s="51">
        <f>SUM(C2:C6)</f>
        <v>242386</v>
      </c>
      <c r="D7" s="51">
        <f>SUM(D2:D6)</f>
        <v>67654</v>
      </c>
      <c r="E7" s="65">
        <f>AVERAGE(E2:E6)</f>
        <v>31.988150097760212</v>
      </c>
      <c r="F7" s="65">
        <f>AVERAGE(F2:F6)</f>
        <v>9.2728583314658852</v>
      </c>
      <c r="G7" s="66">
        <f>AVERAGE(G2:G6)</f>
        <v>19.768108846853217</v>
      </c>
      <c r="H7" s="52">
        <f>SUM(H2:H6)</f>
        <v>2176627.0999999996</v>
      </c>
      <c r="I7" s="52">
        <f>AVERAGE(I2:I6)</f>
        <v>36.098736799739584</v>
      </c>
      <c r="J7" s="55">
        <f>AVERAGE(J2:J6)</f>
        <v>10.535413256944786</v>
      </c>
      <c r="K7" s="53">
        <f>AVERAGE(K2:K6)</f>
        <v>22.252009371732861</v>
      </c>
      <c r="L7" s="52">
        <f>M7+O7+S7+U7+W7+Q7</f>
        <v>1962063.5999999999</v>
      </c>
      <c r="M7" s="110">
        <f>SUM(M2:M5)</f>
        <v>1769376.4</v>
      </c>
      <c r="N7" s="69"/>
      <c r="O7" s="110">
        <f>SUM(O2:O5)</f>
        <v>19898.69999999999</v>
      </c>
      <c r="P7" s="69"/>
      <c r="Q7" s="110">
        <f>SUM(Q2:Q5)</f>
        <v>0</v>
      </c>
      <c r="R7" s="69"/>
      <c r="S7" s="110">
        <f>SUM(S2:S5)</f>
        <v>67375</v>
      </c>
      <c r="T7" s="69"/>
      <c r="U7" s="110">
        <f>SUM(U2:U5)</f>
        <v>27424</v>
      </c>
      <c r="V7" s="69"/>
      <c r="W7" s="110">
        <f>SUM(W2:W5)</f>
        <v>77989.5</v>
      </c>
      <c r="X7" s="69"/>
      <c r="Y7" s="54">
        <f>SUM(Y2:Y6)</f>
        <v>35868.25</v>
      </c>
      <c r="Z7" s="60">
        <f>AVERAGE(Z2:Z6)</f>
        <v>88.843263495639221</v>
      </c>
      <c r="AA7" s="11"/>
    </row>
    <row r="8" spans="1:37"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spans="1:37"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spans="1:37"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spans="1:37"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7"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7"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7"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7"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7"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47" ht="24.95" customHeight="1" x14ac:dyDescent="0.25"/>
    <row r="48" ht="24.95" customHeight="1" x14ac:dyDescent="0.25"/>
    <row r="49" ht="24.95" customHeight="1" x14ac:dyDescent="0.25"/>
    <row r="50" ht="24.95" customHeight="1" x14ac:dyDescent="0.25"/>
    <row r="51" ht="24.95" customHeight="1" x14ac:dyDescent="0.25"/>
    <row r="52" ht="24.95" customHeight="1" x14ac:dyDescent="0.25"/>
    <row r="53" ht="24.95" customHeight="1" x14ac:dyDescent="0.25"/>
    <row r="54" ht="24.95" customHeight="1" x14ac:dyDescent="0.25"/>
    <row r="55" ht="24.95" customHeight="1" x14ac:dyDescent="0.25"/>
    <row r="56" ht="24.95" customHeight="1" x14ac:dyDescent="0.25"/>
  </sheetData>
  <conditionalFormatting sqref="E3">
    <cfRule type="colorScale" priority="12">
      <colorScale>
        <cfvo type="min"/>
        <cfvo type="percentile" val="50"/>
        <cfvo type="max"/>
        <color rgb="FFF8696B"/>
        <color rgb="FFFFEB84"/>
        <color rgb="FF63BE7B"/>
      </colorScale>
    </cfRule>
  </conditionalFormatting>
  <conditionalFormatting sqref="G3">
    <cfRule type="colorScale" priority="13">
      <colorScale>
        <cfvo type="min"/>
        <cfvo type="percentile" val="50"/>
        <cfvo type="max"/>
        <color rgb="FFF8696B"/>
        <color rgb="FFFFEB84"/>
        <color rgb="FF63BE7B"/>
      </colorScale>
    </cfRule>
    <cfRule type="colorScale" priority="14">
      <colorScale>
        <cfvo type="min"/>
        <cfvo type="max"/>
        <color rgb="FFFCFCFF"/>
        <color rgb="FFF8696B"/>
      </colorScale>
    </cfRule>
  </conditionalFormatting>
  <conditionalFormatting sqref="G3 E3">
    <cfRule type="colorScale" priority="15">
      <colorScale>
        <cfvo type="min"/>
        <cfvo type="percentile" val="50"/>
        <cfvo type="max"/>
        <color rgb="FF63BE7B"/>
        <color rgb="FFFFEB84"/>
        <color rgb="FFF8696B"/>
      </colorScale>
    </cfRule>
  </conditionalFormatting>
  <conditionalFormatting sqref="Z3">
    <cfRule type="iconSet" priority="16">
      <iconSet iconSet="3Symbols2">
        <cfvo type="percent" val="0"/>
        <cfvo type="percent" val="33"/>
        <cfvo type="percent" val="67"/>
      </iconSet>
    </cfRule>
  </conditionalFormatting>
  <conditionalFormatting sqref="F3">
    <cfRule type="colorScale" priority="17">
      <colorScale>
        <cfvo type="min"/>
        <cfvo type="percentile" val="50"/>
        <cfvo type="max"/>
        <color rgb="FFF8696B"/>
        <color rgb="FFFFEB84"/>
        <color rgb="FF63BE7B"/>
      </colorScale>
    </cfRule>
  </conditionalFormatting>
  <conditionalFormatting sqref="I3">
    <cfRule type="colorScale" priority="18">
      <colorScale>
        <cfvo type="min"/>
        <cfvo type="percentile" val="50"/>
        <cfvo type="max"/>
        <color rgb="FFF8696B"/>
        <color rgb="FFFFEB84"/>
        <color rgb="FF63BE7B"/>
      </colorScale>
    </cfRule>
  </conditionalFormatting>
  <conditionalFormatting sqref="K3">
    <cfRule type="colorScale" priority="19">
      <colorScale>
        <cfvo type="min"/>
        <cfvo type="percentile" val="50"/>
        <cfvo type="max"/>
        <color rgb="FFF8696B"/>
        <color rgb="FFFFEB84"/>
        <color rgb="FF63BE7B"/>
      </colorScale>
    </cfRule>
    <cfRule type="colorScale" priority="20">
      <colorScale>
        <cfvo type="min"/>
        <cfvo type="max"/>
        <color rgb="FFFCFCFF"/>
        <color rgb="FFF8696B"/>
      </colorScale>
    </cfRule>
  </conditionalFormatting>
  <conditionalFormatting sqref="I3 K3">
    <cfRule type="colorScale" priority="21">
      <colorScale>
        <cfvo type="min"/>
        <cfvo type="percentile" val="50"/>
        <cfvo type="max"/>
        <color rgb="FF63BE7B"/>
        <color rgb="FFFFEB84"/>
        <color rgb="FFF8696B"/>
      </colorScale>
    </cfRule>
  </conditionalFormatting>
  <conditionalFormatting sqref="J3">
    <cfRule type="colorScale" priority="22">
      <colorScale>
        <cfvo type="min"/>
        <cfvo type="percentile" val="50"/>
        <cfvo type="max"/>
        <color rgb="FFF8696B"/>
        <color rgb="FFFFEB84"/>
        <color rgb="FF63BE7B"/>
      </colorScale>
    </cfRule>
  </conditionalFormatting>
  <conditionalFormatting sqref="E4:E6 E2">
    <cfRule type="colorScale" priority="211">
      <colorScale>
        <cfvo type="min"/>
        <cfvo type="percentile" val="50"/>
        <cfvo type="max"/>
        <color rgb="FFF8696B"/>
        <color rgb="FFFFEB84"/>
        <color rgb="FF63BE7B"/>
      </colorScale>
    </cfRule>
  </conditionalFormatting>
  <conditionalFormatting sqref="G4:G6 G2">
    <cfRule type="colorScale" priority="215">
      <colorScale>
        <cfvo type="min"/>
        <cfvo type="percentile" val="50"/>
        <cfvo type="max"/>
        <color rgb="FFF8696B"/>
        <color rgb="FFFFEB84"/>
        <color rgb="FF63BE7B"/>
      </colorScale>
    </cfRule>
    <cfRule type="colorScale" priority="216">
      <colorScale>
        <cfvo type="min"/>
        <cfvo type="max"/>
        <color rgb="FFFCFCFF"/>
        <color rgb="FFF8696B"/>
      </colorScale>
    </cfRule>
  </conditionalFormatting>
  <conditionalFormatting sqref="G2 E2 G4:G6 E4:E6">
    <cfRule type="colorScale" priority="223">
      <colorScale>
        <cfvo type="min"/>
        <cfvo type="percentile" val="50"/>
        <cfvo type="max"/>
        <color rgb="FF63BE7B"/>
        <color rgb="FFFFEB84"/>
        <color rgb="FFF8696B"/>
      </colorScale>
    </cfRule>
  </conditionalFormatting>
  <conditionalFormatting sqref="Z2 Z4:Z6">
    <cfRule type="iconSet" priority="231">
      <iconSet iconSet="3Symbols2">
        <cfvo type="percent" val="0"/>
        <cfvo type="percent" val="33"/>
        <cfvo type="percent" val="67"/>
      </iconSet>
    </cfRule>
  </conditionalFormatting>
  <conditionalFormatting sqref="F4:F6 F2">
    <cfRule type="colorScale" priority="235">
      <colorScale>
        <cfvo type="min"/>
        <cfvo type="percentile" val="50"/>
        <cfvo type="max"/>
        <color rgb="FFF8696B"/>
        <color rgb="FFFFEB84"/>
        <color rgb="FF63BE7B"/>
      </colorScale>
    </cfRule>
  </conditionalFormatting>
  <conditionalFormatting sqref="I4:I6 I2">
    <cfRule type="colorScale" priority="239">
      <colorScale>
        <cfvo type="min"/>
        <cfvo type="percentile" val="50"/>
        <cfvo type="max"/>
        <color rgb="FFF8696B"/>
        <color rgb="FFFFEB84"/>
        <color rgb="FF63BE7B"/>
      </colorScale>
    </cfRule>
  </conditionalFormatting>
  <conditionalFormatting sqref="K4:K6 K2">
    <cfRule type="colorScale" priority="243">
      <colorScale>
        <cfvo type="min"/>
        <cfvo type="percentile" val="50"/>
        <cfvo type="max"/>
        <color rgb="FFF8696B"/>
        <color rgb="FFFFEB84"/>
        <color rgb="FF63BE7B"/>
      </colorScale>
    </cfRule>
    <cfRule type="colorScale" priority="244">
      <colorScale>
        <cfvo type="min"/>
        <cfvo type="max"/>
        <color rgb="FFFCFCFF"/>
        <color rgb="FFF8696B"/>
      </colorScale>
    </cfRule>
  </conditionalFormatting>
  <conditionalFormatting sqref="I2 K2 K4:K6 I4:I6">
    <cfRule type="colorScale" priority="251">
      <colorScale>
        <cfvo type="min"/>
        <cfvo type="percentile" val="50"/>
        <cfvo type="max"/>
        <color rgb="FF63BE7B"/>
        <color rgb="FFFFEB84"/>
        <color rgb="FFF8696B"/>
      </colorScale>
    </cfRule>
  </conditionalFormatting>
  <conditionalFormatting sqref="J4:J6 J2">
    <cfRule type="colorScale" priority="259">
      <colorScale>
        <cfvo type="min"/>
        <cfvo type="percentile" val="50"/>
        <cfvo type="max"/>
        <color rgb="FFF8696B"/>
        <color rgb="FFFFEB84"/>
        <color rgb="FF63BE7B"/>
      </colorScale>
    </cfRule>
  </conditionalFormatting>
  <pageMargins left="0.11811023622047245" right="0.11811023622047245" top="0.74803149606299213" bottom="0.74803149606299213" header="0.31496062992125984" footer="0.31496062992125984"/>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16"/>
  <sheetViews>
    <sheetView zoomScaleNormal="100" workbookViewId="0">
      <pane xSplit="2" ySplit="3" topLeftCell="AB193" activePane="bottomRight" state="frozen"/>
      <selection pane="topRight" activeCell="B1" sqref="B1"/>
      <selection pane="bottomLeft" activeCell="A3" sqref="A3"/>
      <selection pane="bottomRight" activeCell="AE184" sqref="AE184"/>
    </sheetView>
  </sheetViews>
  <sheetFormatPr baseColWidth="10" defaultRowHeight="15" x14ac:dyDescent="0.25"/>
  <cols>
    <col min="1" max="1" width="12.7109375" customWidth="1"/>
    <col min="2" max="5" width="20.7109375" customWidth="1"/>
    <col min="6" max="8" width="12.7109375" customWidth="1"/>
    <col min="9" max="9" width="20.7109375" customWidth="1"/>
    <col min="10" max="10" width="12.7109375" customWidth="1"/>
    <col min="11" max="11" width="20.7109375" customWidth="1"/>
    <col min="12" max="12" width="12.7109375" customWidth="1"/>
    <col min="13" max="13" width="20.7109375" customWidth="1"/>
    <col min="14" max="14" width="12.7109375" customWidth="1"/>
    <col min="15" max="15" width="20.7109375" customWidth="1"/>
    <col min="16" max="16" width="12.7109375" customWidth="1"/>
    <col min="17" max="17" width="20.7109375" customWidth="1"/>
    <col min="18" max="18" width="12.7109375" customWidth="1"/>
    <col min="19" max="19" width="20.7109375" customWidth="1"/>
    <col min="20" max="20" width="12.7109375" customWidth="1"/>
    <col min="21" max="26" width="20.7109375" customWidth="1"/>
    <col min="27" max="29" width="16.7109375" customWidth="1"/>
    <col min="30" max="30" width="20.7109375" customWidth="1"/>
  </cols>
  <sheetData>
    <row r="1" spans="1:53" ht="35.1" customHeight="1" thickBot="1" x14ac:dyDescent="0.35">
      <c r="A1" s="165" t="s">
        <v>9</v>
      </c>
      <c r="B1" s="5" t="s">
        <v>5</v>
      </c>
      <c r="C1" s="168" t="s">
        <v>55</v>
      </c>
      <c r="D1" s="175" t="s">
        <v>48</v>
      </c>
      <c r="E1" s="177" t="s">
        <v>49</v>
      </c>
      <c r="F1" s="156" t="s">
        <v>35</v>
      </c>
      <c r="G1" s="156" t="s">
        <v>33</v>
      </c>
      <c r="H1" s="172">
        <f>'RECAP RENDEMENT'!D2</f>
        <v>28686</v>
      </c>
      <c r="I1" s="173"/>
      <c r="J1" s="173"/>
      <c r="K1" s="173"/>
      <c r="L1" s="173"/>
      <c r="M1" s="173"/>
      <c r="N1" s="173"/>
      <c r="O1" s="173"/>
      <c r="P1" s="173"/>
      <c r="Q1" s="173"/>
      <c r="R1" s="173"/>
      <c r="S1" s="173"/>
      <c r="T1" s="173"/>
      <c r="U1" s="173"/>
      <c r="V1" s="174"/>
      <c r="W1" s="153" t="s">
        <v>53</v>
      </c>
      <c r="X1" s="168" t="s">
        <v>52</v>
      </c>
      <c r="Y1" s="175" t="s">
        <v>50</v>
      </c>
      <c r="Z1" s="177" t="s">
        <v>51</v>
      </c>
      <c r="AA1" s="153" t="s">
        <v>54</v>
      </c>
      <c r="AB1" s="156" t="s">
        <v>43</v>
      </c>
      <c r="AC1" s="156" t="s">
        <v>47</v>
      </c>
      <c r="AD1" s="3"/>
      <c r="AE1" s="3"/>
      <c r="AF1" s="3"/>
      <c r="AG1" s="3"/>
      <c r="AH1" s="3"/>
      <c r="AI1" s="3"/>
      <c r="AJ1" s="3"/>
      <c r="AK1" s="3"/>
      <c r="AL1" s="3"/>
      <c r="AM1" s="3"/>
      <c r="AN1" s="3"/>
      <c r="AO1" s="3"/>
      <c r="AP1" s="2"/>
      <c r="AQ1" s="1"/>
      <c r="AR1" s="1"/>
      <c r="AS1" s="1"/>
      <c r="AT1" s="1"/>
      <c r="AU1" s="1"/>
      <c r="AV1" s="1"/>
      <c r="AW1" s="1"/>
      <c r="AX1" s="1"/>
      <c r="AY1" s="1"/>
      <c r="AZ1" s="1"/>
      <c r="BA1" s="1"/>
    </row>
    <row r="2" spans="1:53" ht="36" customHeight="1" thickBot="1" x14ac:dyDescent="0.35">
      <c r="A2" s="166"/>
      <c r="B2" s="156" t="s">
        <v>6</v>
      </c>
      <c r="C2" s="169"/>
      <c r="D2" s="176"/>
      <c r="E2" s="178"/>
      <c r="F2" s="157"/>
      <c r="G2" s="157"/>
      <c r="H2" s="170" t="s">
        <v>61</v>
      </c>
      <c r="I2" s="171"/>
      <c r="J2" s="158" t="s">
        <v>56</v>
      </c>
      <c r="K2" s="159"/>
      <c r="L2" s="158" t="s">
        <v>57</v>
      </c>
      <c r="M2" s="159"/>
      <c r="N2" s="158" t="s">
        <v>58</v>
      </c>
      <c r="O2" s="160"/>
      <c r="P2" s="161" t="s">
        <v>72</v>
      </c>
      <c r="Q2" s="162"/>
      <c r="R2" s="163" t="s">
        <v>37</v>
      </c>
      <c r="S2" s="164"/>
      <c r="T2" s="163" t="s">
        <v>20</v>
      </c>
      <c r="U2" s="164"/>
      <c r="V2" s="21" t="s">
        <v>32</v>
      </c>
      <c r="W2" s="155"/>
      <c r="X2" s="169"/>
      <c r="Y2" s="176"/>
      <c r="Z2" s="178"/>
      <c r="AA2" s="154"/>
      <c r="AB2" s="157"/>
      <c r="AC2" s="157"/>
      <c r="AD2" s="3"/>
      <c r="AE2" s="3"/>
      <c r="AF2" s="3"/>
      <c r="AG2" s="3"/>
      <c r="AH2" s="3"/>
      <c r="AI2" s="3"/>
      <c r="AJ2" s="3"/>
      <c r="AK2" s="3"/>
      <c r="AL2" s="3"/>
      <c r="AM2" s="3"/>
      <c r="AN2" s="3"/>
      <c r="AO2" s="3"/>
      <c r="AP2" s="2"/>
      <c r="AQ2" s="1"/>
      <c r="AR2" s="1"/>
      <c r="AS2" s="1"/>
      <c r="AT2" s="1"/>
      <c r="AU2" s="1"/>
      <c r="AV2" s="1"/>
      <c r="AW2" s="1"/>
      <c r="AX2" s="1"/>
      <c r="AY2" s="1"/>
      <c r="AZ2" s="1"/>
      <c r="BA2" s="1"/>
    </row>
    <row r="3" spans="1:53" ht="17.25" thickBot="1" x14ac:dyDescent="0.35">
      <c r="A3" s="167"/>
      <c r="B3" s="157"/>
      <c r="C3" s="33">
        <f>SUM(C10:C314)</f>
        <v>21621.5</v>
      </c>
      <c r="D3" s="33">
        <f>SUM(D10:D314)</f>
        <v>0</v>
      </c>
      <c r="E3" s="33">
        <f>SUM(E10:E314)</f>
        <v>15</v>
      </c>
      <c r="F3" s="33">
        <f>SUM(M3,O3,Q3,S3,I3,K3)</f>
        <v>738560</v>
      </c>
      <c r="G3" s="33">
        <f>SUM(M3,O3,Q3,S3,U3,I3,K3)</f>
        <v>738560</v>
      </c>
      <c r="H3" s="33">
        <v>5</v>
      </c>
      <c r="I3" s="33">
        <f>SUM(I4:I314)</f>
        <v>738240</v>
      </c>
      <c r="J3" s="33">
        <v>4.3</v>
      </c>
      <c r="K3" s="33">
        <f>SUM(K10:K314)</f>
        <v>0</v>
      </c>
      <c r="L3" s="33">
        <v>3.5</v>
      </c>
      <c r="M3" s="33">
        <f>SUM(M10:M314)</f>
        <v>0</v>
      </c>
      <c r="N3" s="33">
        <v>5</v>
      </c>
      <c r="O3" s="33">
        <f>SUM(O10:O314)</f>
        <v>0</v>
      </c>
      <c r="P3" s="33">
        <v>4</v>
      </c>
      <c r="Q3" s="33">
        <f>SUM(Q4:Q314)</f>
        <v>320</v>
      </c>
      <c r="R3" s="33">
        <v>3.5</v>
      </c>
      <c r="S3" s="33">
        <f>SUM(S10:S314)</f>
        <v>0</v>
      </c>
      <c r="T3" s="33">
        <v>14</v>
      </c>
      <c r="U3" s="33">
        <f>SUM(U10:U314)</f>
        <v>0</v>
      </c>
      <c r="V3" s="145">
        <f>(M3+O3+Q3+S3+I3+K3)/H$1</f>
        <v>25.746357107996932</v>
      </c>
      <c r="W3" s="75">
        <f>(M3+O3+Q3+S3+U3+I3+K3)/(C3+D3+E3)</f>
        <v>34.13491091442701</v>
      </c>
      <c r="X3" s="122">
        <f>(S3+U3+I3)/C3</f>
        <v>34.143792058830329</v>
      </c>
      <c r="Y3" s="122" t="e">
        <f>(K3+M3+O3)/D3</f>
        <v>#DIV/0!</v>
      </c>
      <c r="Z3" s="122">
        <f>Q3/E3</f>
        <v>21.333333333333332</v>
      </c>
      <c r="AA3" s="155"/>
      <c r="AB3" s="116">
        <f>AVERAGEIF(AB4:AB231,"&gt;0",AB4:AB231)</f>
        <v>0.78019263963627072</v>
      </c>
      <c r="AC3" s="116">
        <f>AVERAGEIF(AC10:AC231,"&gt;0",AC10:AC231)</f>
        <v>0.76719189383903863</v>
      </c>
      <c r="AD3" s="2"/>
      <c r="AE3" s="2"/>
      <c r="AF3" s="2"/>
      <c r="AG3" s="2"/>
      <c r="AH3" s="2"/>
      <c r="AI3" s="2"/>
      <c r="AJ3" s="2"/>
      <c r="AK3" s="2"/>
      <c r="AL3" s="2"/>
      <c r="AM3" s="2"/>
      <c r="AN3" s="2"/>
      <c r="AO3" s="2"/>
      <c r="AP3" s="2"/>
      <c r="AQ3" s="1"/>
      <c r="AR3" s="1"/>
      <c r="AS3" s="1"/>
      <c r="AT3" s="1"/>
      <c r="AU3" s="1"/>
      <c r="AV3" s="1"/>
      <c r="AW3" s="1"/>
      <c r="AX3" s="1"/>
      <c r="AY3" s="1"/>
      <c r="AZ3" s="1"/>
      <c r="BA3" s="1"/>
    </row>
    <row r="4" spans="1:53" ht="17.25" thickBot="1" x14ac:dyDescent="0.35">
      <c r="A4" s="146">
        <v>13</v>
      </c>
      <c r="B4" s="105"/>
      <c r="C4" s="95"/>
      <c r="D4" s="95"/>
      <c r="E4" s="95"/>
      <c r="F4" s="149">
        <f>SUM(M4:M9,O4:O9,Q4:Q9,S4:S9,I4:I9,K4:K9)</f>
        <v>3245</v>
      </c>
      <c r="G4" s="149">
        <f>SUM(M4:M9,O4:O9,Q4:Q9,S4:S9,U4:U9,K4:K9,I4:I9)</f>
        <v>3245</v>
      </c>
      <c r="H4" s="99"/>
      <c r="I4" s="76">
        <f>H4*H$3</f>
        <v>0</v>
      </c>
      <c r="J4" s="99"/>
      <c r="K4" s="76">
        <f>J4*J$3</f>
        <v>0</v>
      </c>
      <c r="L4" s="99"/>
      <c r="M4" s="76">
        <f>L4*L$3</f>
        <v>0</v>
      </c>
      <c r="N4" s="99"/>
      <c r="O4" s="76">
        <f>N4*N$3</f>
        <v>0</v>
      </c>
      <c r="P4" s="99"/>
      <c r="Q4" s="76">
        <f t="shared" ref="Q4:Q9" si="0">P4*P$3</f>
        <v>0</v>
      </c>
      <c r="R4" s="99"/>
      <c r="S4" s="76">
        <f t="shared" ref="S4:S9" si="1">R4*R$3</f>
        <v>0</v>
      </c>
      <c r="T4" s="99"/>
      <c r="U4" s="76">
        <f t="shared" ref="U4:U9" si="2">T4*T$3</f>
        <v>0</v>
      </c>
      <c r="V4" s="8">
        <f>(M4+O4+Q4+S4+I4+K4)/H$1</f>
        <v>0</v>
      </c>
      <c r="W4" s="130" t="str">
        <f t="shared" ref="W4:W67" si="3">IF((E4+D4+C4)=0,"",(M4+O4+Q4+S4+U4+I4+K4)/(C4+D4+E4))</f>
        <v/>
      </c>
      <c r="X4" s="130" t="str">
        <f>IF(C4=0,"",(S4+U4+I4)/C4)</f>
        <v/>
      </c>
      <c r="Y4" s="8" t="str">
        <f>IF(D4=0,"",(K4+M4+O4)/D4)</f>
        <v/>
      </c>
      <c r="Z4" s="130" t="str">
        <f>IF(E4=0,"",Q4/E4)</f>
        <v/>
      </c>
      <c r="AA4" s="152">
        <f>AVERAGE(W4:W9)</f>
        <v>31.779119651340313</v>
      </c>
      <c r="AB4" s="152">
        <f>SUM(V4:V9)</f>
        <v>0.11312138325315484</v>
      </c>
      <c r="AC4" s="179">
        <v>0</v>
      </c>
      <c r="AD4" s="2"/>
      <c r="AE4" s="2"/>
      <c r="AF4" s="2"/>
      <c r="AG4" s="2"/>
      <c r="AH4" s="2"/>
      <c r="AI4" s="2"/>
      <c r="AJ4" s="2"/>
      <c r="AK4" s="2"/>
      <c r="AL4" s="2"/>
      <c r="AM4" s="2"/>
      <c r="AN4" s="2"/>
      <c r="AO4" s="2"/>
      <c r="AP4" s="2"/>
      <c r="AQ4" s="1"/>
      <c r="AR4" s="1"/>
      <c r="AS4" s="1"/>
      <c r="AT4" s="1"/>
      <c r="AU4" s="1"/>
      <c r="AV4" s="1"/>
      <c r="AW4" s="1"/>
      <c r="AX4" s="1"/>
      <c r="AY4" s="1"/>
      <c r="AZ4" s="1"/>
      <c r="BA4" s="1"/>
    </row>
    <row r="5" spans="1:53" ht="17.25" thickBot="1" x14ac:dyDescent="0.35">
      <c r="A5" s="147"/>
      <c r="B5" s="97"/>
      <c r="C5" s="96"/>
      <c r="D5" s="96"/>
      <c r="E5" s="96"/>
      <c r="F5" s="150"/>
      <c r="G5" s="150"/>
      <c r="H5" s="100"/>
      <c r="I5" s="6">
        <f t="shared" ref="I5:I9" si="4">H5*H$3</f>
        <v>0</v>
      </c>
      <c r="J5" s="100"/>
      <c r="K5" s="6">
        <f t="shared" ref="K5:K9" si="5">J5*J$3</f>
        <v>0</v>
      </c>
      <c r="L5" s="100"/>
      <c r="M5" s="6">
        <f t="shared" ref="M5:M9" si="6">L5*L$3</f>
        <v>0</v>
      </c>
      <c r="N5" s="100"/>
      <c r="O5" s="6">
        <f t="shared" ref="O5:O9" si="7">N5*N$3</f>
        <v>0</v>
      </c>
      <c r="P5" s="100"/>
      <c r="Q5" s="6">
        <f t="shared" si="0"/>
        <v>0</v>
      </c>
      <c r="R5" s="100"/>
      <c r="S5" s="6">
        <f t="shared" si="1"/>
        <v>0</v>
      </c>
      <c r="T5" s="100"/>
      <c r="U5" s="6">
        <f t="shared" si="2"/>
        <v>0</v>
      </c>
      <c r="V5" s="8">
        <f t="shared" ref="V5:V9" si="8">(M5+O5+Q5+S5+I5+K5)/H$1</f>
        <v>0</v>
      </c>
      <c r="W5" s="8" t="str">
        <f t="shared" si="3"/>
        <v/>
      </c>
      <c r="X5" s="8" t="str">
        <f t="shared" ref="X5:X68" si="9">IF(C5=0,"",(S5+U5+I5)/C5)</f>
        <v/>
      </c>
      <c r="Y5" s="8" t="str">
        <f>IF(D5=0,"",(K5+M5+O5)/D5)</f>
        <v/>
      </c>
      <c r="Z5" s="8" t="str">
        <f t="shared" ref="Z5:Z68" si="10">IF(E5=0,"",Q5/E5)</f>
        <v/>
      </c>
      <c r="AA5" s="152"/>
      <c r="AB5" s="152"/>
      <c r="AC5" s="180"/>
      <c r="AD5" s="2"/>
      <c r="AE5" s="2"/>
      <c r="AF5" s="2"/>
      <c r="AG5" s="2"/>
      <c r="AH5" s="2"/>
      <c r="AI5" s="2"/>
      <c r="AJ5" s="2"/>
      <c r="AK5" s="2"/>
      <c r="AL5" s="2"/>
      <c r="AM5" s="2"/>
      <c r="AN5" s="2"/>
      <c r="AO5" s="2"/>
      <c r="AP5" s="2"/>
      <c r="AQ5" s="1"/>
      <c r="AR5" s="1"/>
      <c r="AS5" s="1"/>
      <c r="AT5" s="1"/>
      <c r="AU5" s="1"/>
      <c r="AV5" s="1"/>
      <c r="AW5" s="1"/>
      <c r="AX5" s="1"/>
      <c r="AY5" s="1"/>
      <c r="AZ5" s="1"/>
      <c r="BA5" s="1"/>
    </row>
    <row r="6" spans="1:53" ht="17.25" thickBot="1" x14ac:dyDescent="0.35">
      <c r="A6" s="147"/>
      <c r="B6" s="97">
        <v>43551</v>
      </c>
      <c r="C6" s="103">
        <v>30.25</v>
      </c>
      <c r="D6" s="103"/>
      <c r="E6" s="103"/>
      <c r="F6" s="150"/>
      <c r="G6" s="150"/>
      <c r="H6" s="100">
        <v>193</v>
      </c>
      <c r="I6" s="6">
        <f t="shared" si="4"/>
        <v>965</v>
      </c>
      <c r="J6" s="100"/>
      <c r="K6" s="6">
        <f t="shared" si="5"/>
        <v>0</v>
      </c>
      <c r="L6" s="100"/>
      <c r="M6" s="6">
        <f t="shared" si="6"/>
        <v>0</v>
      </c>
      <c r="N6" s="100"/>
      <c r="O6" s="6">
        <f t="shared" si="7"/>
        <v>0</v>
      </c>
      <c r="P6" s="100"/>
      <c r="Q6" s="6">
        <f t="shared" si="0"/>
        <v>0</v>
      </c>
      <c r="R6" s="100"/>
      <c r="S6" s="6">
        <f t="shared" si="1"/>
        <v>0</v>
      </c>
      <c r="T6" s="100"/>
      <c r="U6" s="6">
        <f t="shared" si="2"/>
        <v>0</v>
      </c>
      <c r="V6" s="8">
        <f t="shared" si="8"/>
        <v>3.3640103186223243E-2</v>
      </c>
      <c r="W6" s="8">
        <f t="shared" si="3"/>
        <v>31.900826446280991</v>
      </c>
      <c r="X6" s="8">
        <f t="shared" si="9"/>
        <v>31.900826446280991</v>
      </c>
      <c r="Y6" s="8" t="str">
        <f t="shared" ref="Y6:Y69" si="11">IF(D6=0,"",(K6+M6+O6)/D6)</f>
        <v/>
      </c>
      <c r="Z6" s="8" t="str">
        <f t="shared" si="10"/>
        <v/>
      </c>
      <c r="AA6" s="152"/>
      <c r="AB6" s="152"/>
      <c r="AC6" s="180"/>
      <c r="AD6" s="2"/>
      <c r="AE6" s="2"/>
      <c r="AF6" s="2"/>
      <c r="AG6" s="2"/>
      <c r="AH6" s="2"/>
      <c r="AI6" s="2"/>
      <c r="AJ6" s="2"/>
      <c r="AK6" s="2"/>
      <c r="AL6" s="2"/>
      <c r="AM6" s="2"/>
      <c r="AN6" s="2"/>
      <c r="AO6" s="2"/>
      <c r="AP6" s="2"/>
      <c r="AQ6" s="1"/>
      <c r="AR6" s="1"/>
      <c r="AS6" s="1"/>
      <c r="AT6" s="1"/>
      <c r="AU6" s="1"/>
      <c r="AV6" s="1"/>
      <c r="AW6" s="1"/>
      <c r="AX6" s="1"/>
      <c r="AY6" s="1"/>
      <c r="AZ6" s="1"/>
      <c r="BA6" s="1"/>
    </row>
    <row r="7" spans="1:53" ht="17.25" thickBot="1" x14ac:dyDescent="0.35">
      <c r="A7" s="147"/>
      <c r="B7" s="97">
        <v>43552</v>
      </c>
      <c r="C7" s="103">
        <v>38</v>
      </c>
      <c r="D7" s="103"/>
      <c r="E7" s="103"/>
      <c r="F7" s="150"/>
      <c r="G7" s="150"/>
      <c r="H7" s="100">
        <v>234</v>
      </c>
      <c r="I7" s="6">
        <f t="shared" si="4"/>
        <v>1170</v>
      </c>
      <c r="J7" s="100"/>
      <c r="K7" s="6">
        <f t="shared" si="5"/>
        <v>0</v>
      </c>
      <c r="L7" s="100"/>
      <c r="M7" s="6">
        <f t="shared" si="6"/>
        <v>0</v>
      </c>
      <c r="N7" s="100"/>
      <c r="O7" s="6">
        <f t="shared" si="7"/>
        <v>0</v>
      </c>
      <c r="P7" s="100"/>
      <c r="Q7" s="6">
        <f t="shared" si="0"/>
        <v>0</v>
      </c>
      <c r="R7" s="100"/>
      <c r="S7" s="6">
        <f t="shared" si="1"/>
        <v>0</v>
      </c>
      <c r="T7" s="100"/>
      <c r="U7" s="6">
        <f t="shared" si="2"/>
        <v>0</v>
      </c>
      <c r="V7" s="8">
        <f t="shared" si="8"/>
        <v>4.0786446350135952E-2</v>
      </c>
      <c r="W7" s="8">
        <f t="shared" si="3"/>
        <v>30.789473684210527</v>
      </c>
      <c r="X7" s="8">
        <f t="shared" si="9"/>
        <v>30.789473684210527</v>
      </c>
      <c r="Y7" s="8" t="str">
        <f t="shared" si="11"/>
        <v/>
      </c>
      <c r="Z7" s="8" t="str">
        <f t="shared" si="10"/>
        <v/>
      </c>
      <c r="AA7" s="152"/>
      <c r="AB7" s="152"/>
      <c r="AC7" s="180"/>
      <c r="AD7" s="2"/>
      <c r="AE7" s="2"/>
      <c r="AF7" s="2"/>
      <c r="AG7" s="2"/>
      <c r="AH7" s="2"/>
      <c r="AI7" s="2"/>
      <c r="AJ7" s="2"/>
      <c r="AK7" s="2"/>
      <c r="AL7" s="2"/>
      <c r="AM7" s="2"/>
      <c r="AN7" s="2"/>
      <c r="AO7" s="2"/>
      <c r="AP7" s="2"/>
      <c r="AQ7" s="1"/>
      <c r="AR7" s="1"/>
      <c r="AS7" s="1"/>
      <c r="AT7" s="1"/>
      <c r="AU7" s="1"/>
      <c r="AV7" s="1"/>
      <c r="AW7" s="1"/>
      <c r="AX7" s="1"/>
      <c r="AY7" s="1"/>
      <c r="AZ7" s="1"/>
      <c r="BA7" s="1"/>
    </row>
    <row r="8" spans="1:53" ht="17.25" thickBot="1" x14ac:dyDescent="0.35">
      <c r="A8" s="147"/>
      <c r="B8" s="97">
        <v>43553</v>
      </c>
      <c r="C8" s="103">
        <v>34</v>
      </c>
      <c r="D8" s="103"/>
      <c r="E8" s="103"/>
      <c r="F8" s="150"/>
      <c r="G8" s="150"/>
      <c r="H8" s="100">
        <v>222</v>
      </c>
      <c r="I8" s="6">
        <f t="shared" si="4"/>
        <v>1110</v>
      </c>
      <c r="J8" s="100"/>
      <c r="K8" s="6">
        <f t="shared" si="5"/>
        <v>0</v>
      </c>
      <c r="L8" s="100"/>
      <c r="M8" s="6">
        <f t="shared" si="6"/>
        <v>0</v>
      </c>
      <c r="N8" s="100"/>
      <c r="O8" s="6">
        <f t="shared" si="7"/>
        <v>0</v>
      </c>
      <c r="P8" s="100"/>
      <c r="Q8" s="6">
        <f t="shared" si="0"/>
        <v>0</v>
      </c>
      <c r="R8" s="100"/>
      <c r="S8" s="6">
        <f t="shared" si="1"/>
        <v>0</v>
      </c>
      <c r="T8" s="100"/>
      <c r="U8" s="6">
        <f t="shared" si="2"/>
        <v>0</v>
      </c>
      <c r="V8" s="8">
        <f t="shared" si="8"/>
        <v>3.8694833716795649E-2</v>
      </c>
      <c r="W8" s="8">
        <f t="shared" si="3"/>
        <v>32.647058823529413</v>
      </c>
      <c r="X8" s="8">
        <f t="shared" si="9"/>
        <v>32.647058823529413</v>
      </c>
      <c r="Y8" s="8" t="str">
        <f t="shared" si="11"/>
        <v/>
      </c>
      <c r="Z8" s="8" t="str">
        <f t="shared" si="10"/>
        <v/>
      </c>
      <c r="AA8" s="152"/>
      <c r="AB8" s="152"/>
      <c r="AC8" s="180"/>
      <c r="AD8" s="2"/>
      <c r="AE8" s="2"/>
      <c r="AF8" s="2"/>
      <c r="AG8" s="2"/>
      <c r="AH8" s="2"/>
      <c r="AI8" s="2"/>
      <c r="AJ8" s="2"/>
      <c r="AK8" s="2"/>
      <c r="AL8" s="2"/>
      <c r="AM8" s="2"/>
      <c r="AN8" s="2"/>
      <c r="AO8" s="2"/>
      <c r="AP8" s="2"/>
      <c r="AQ8" s="1"/>
      <c r="AR8" s="1"/>
      <c r="AS8" s="1"/>
      <c r="AT8" s="1"/>
      <c r="AU8" s="1"/>
      <c r="AV8" s="1"/>
      <c r="AW8" s="1"/>
      <c r="AX8" s="1"/>
      <c r="AY8" s="1"/>
      <c r="AZ8" s="1"/>
      <c r="BA8" s="1"/>
    </row>
    <row r="9" spans="1:53" ht="17.25" thickBot="1" x14ac:dyDescent="0.35">
      <c r="A9" s="148"/>
      <c r="B9" s="98"/>
      <c r="C9" s="104"/>
      <c r="D9" s="104"/>
      <c r="E9" s="104"/>
      <c r="F9" s="151"/>
      <c r="G9" s="151"/>
      <c r="H9" s="101"/>
      <c r="I9" s="37">
        <f t="shared" si="4"/>
        <v>0</v>
      </c>
      <c r="J9" s="101"/>
      <c r="K9" s="37">
        <f t="shared" si="5"/>
        <v>0</v>
      </c>
      <c r="L9" s="101"/>
      <c r="M9" s="37">
        <f t="shared" si="6"/>
        <v>0</v>
      </c>
      <c r="N9" s="101"/>
      <c r="O9" s="37">
        <f t="shared" si="7"/>
        <v>0</v>
      </c>
      <c r="P9" s="101"/>
      <c r="Q9" s="37">
        <f t="shared" si="0"/>
        <v>0</v>
      </c>
      <c r="R9" s="101"/>
      <c r="S9" s="37">
        <f t="shared" si="1"/>
        <v>0</v>
      </c>
      <c r="T9" s="101"/>
      <c r="U9" s="37">
        <f t="shared" si="2"/>
        <v>0</v>
      </c>
      <c r="V9" s="144">
        <f t="shared" si="8"/>
        <v>0</v>
      </c>
      <c r="W9" s="36" t="str">
        <f t="shared" si="3"/>
        <v/>
      </c>
      <c r="X9" s="36" t="str">
        <f t="shared" si="9"/>
        <v/>
      </c>
      <c r="Y9" s="36" t="str">
        <f t="shared" si="11"/>
        <v/>
      </c>
      <c r="Z9" s="36" t="str">
        <f t="shared" si="10"/>
        <v/>
      </c>
      <c r="AA9" s="152"/>
      <c r="AB9" s="152"/>
      <c r="AC9" s="181"/>
      <c r="AD9" s="2"/>
      <c r="AE9" s="2"/>
      <c r="AF9" s="2"/>
      <c r="AG9" s="2"/>
      <c r="AH9" s="2"/>
      <c r="AI9" s="2"/>
      <c r="AJ9" s="2"/>
      <c r="AK9" s="2"/>
      <c r="AL9" s="2"/>
      <c r="AM9" s="2"/>
      <c r="AN9" s="2"/>
      <c r="AO9" s="2"/>
      <c r="AP9" s="2"/>
      <c r="AQ9" s="1"/>
      <c r="AR9" s="1"/>
      <c r="AS9" s="1"/>
      <c r="AT9" s="1"/>
      <c r="AU9" s="1"/>
      <c r="AV9" s="1"/>
      <c r="AW9" s="1"/>
      <c r="AX9" s="1"/>
      <c r="AY9" s="1"/>
      <c r="AZ9" s="1"/>
      <c r="BA9" s="1"/>
    </row>
    <row r="10" spans="1:53" ht="17.25" thickBot="1" x14ac:dyDescent="0.35">
      <c r="A10" s="146">
        <v>14</v>
      </c>
      <c r="B10" s="105">
        <v>43556</v>
      </c>
      <c r="C10" s="95">
        <v>42.5</v>
      </c>
      <c r="D10" s="95"/>
      <c r="E10" s="95"/>
      <c r="F10" s="149">
        <f>SUM(M10:M15,O10:O15,Q10:Q15,S10:S15,I10:I15,K10:K15)</f>
        <v>7655</v>
      </c>
      <c r="G10" s="149">
        <f>SUM(M10:M15,O10:O15,Q10:Q15,S10:S15,U10:U15,K10:K15,I10:I15)</f>
        <v>7655</v>
      </c>
      <c r="H10" s="99">
        <v>313</v>
      </c>
      <c r="I10" s="76">
        <f>H10*H$3</f>
        <v>1565</v>
      </c>
      <c r="J10" s="99"/>
      <c r="K10" s="76">
        <f>J10*J$3</f>
        <v>0</v>
      </c>
      <c r="L10" s="99"/>
      <c r="M10" s="76">
        <f>L10*L$3</f>
        <v>0</v>
      </c>
      <c r="N10" s="99"/>
      <c r="O10" s="76">
        <f>N10*N$3</f>
        <v>0</v>
      </c>
      <c r="P10" s="99"/>
      <c r="Q10" s="76">
        <f t="shared" ref="Q10:Q73" si="12">P10*P$3</f>
        <v>0</v>
      </c>
      <c r="R10" s="99"/>
      <c r="S10" s="76">
        <f t="shared" ref="S10:S73" si="13">R10*R$3</f>
        <v>0</v>
      </c>
      <c r="T10" s="99"/>
      <c r="U10" s="76">
        <f t="shared" ref="U10:U73" si="14">T10*T$3</f>
        <v>0</v>
      </c>
      <c r="V10" s="8">
        <f>(M10+O10+Q10+S10+I10+K10)/H$1</f>
        <v>5.4556229519626298E-2</v>
      </c>
      <c r="W10" s="121">
        <f t="shared" si="3"/>
        <v>36.823529411764703</v>
      </c>
      <c r="X10" s="122">
        <f t="shared" si="9"/>
        <v>36.823529411764703</v>
      </c>
      <c r="Y10" s="122" t="str">
        <f t="shared" si="11"/>
        <v/>
      </c>
      <c r="Z10" s="122" t="str">
        <f t="shared" si="10"/>
        <v/>
      </c>
      <c r="AA10" s="152">
        <f>AVERAGE(W10:W15)</f>
        <v>33.396879347022768</v>
      </c>
      <c r="AB10" s="152">
        <f>SUM(V10:V15)</f>
        <v>0.26685491180366727</v>
      </c>
      <c r="AC10" s="179">
        <v>3.9392037927909088E-2</v>
      </c>
      <c r="AD10" s="2"/>
      <c r="AE10" s="2"/>
      <c r="AF10" s="2"/>
      <c r="AG10" s="2"/>
      <c r="AH10" s="2"/>
      <c r="AI10" s="2"/>
      <c r="AJ10" s="2"/>
      <c r="AK10" s="2"/>
      <c r="AL10" s="2"/>
      <c r="AM10" s="2"/>
      <c r="AN10" s="2"/>
      <c r="AO10" s="2"/>
      <c r="AP10" s="2"/>
      <c r="AQ10" s="1"/>
      <c r="AR10" s="1"/>
      <c r="AS10" s="1"/>
      <c r="AT10" s="1"/>
      <c r="AU10" s="1"/>
      <c r="AV10" s="1"/>
      <c r="AW10" s="1"/>
      <c r="AX10" s="1"/>
      <c r="AY10" s="1"/>
      <c r="AZ10" s="1"/>
      <c r="BA10" s="1"/>
    </row>
    <row r="11" spans="1:53" ht="17.25" thickBot="1" x14ac:dyDescent="0.35">
      <c r="A11" s="147"/>
      <c r="B11" s="97">
        <v>43557</v>
      </c>
      <c r="C11" s="96">
        <v>43</v>
      </c>
      <c r="D11" s="96"/>
      <c r="E11" s="96"/>
      <c r="F11" s="150"/>
      <c r="G11" s="150"/>
      <c r="H11" s="100">
        <v>333</v>
      </c>
      <c r="I11" s="6">
        <f t="shared" ref="I11:I74" si="15">H11*H$3</f>
        <v>1665</v>
      </c>
      <c r="J11" s="100"/>
      <c r="K11" s="6">
        <f t="shared" ref="K11:K74" si="16">J11*J$3</f>
        <v>0</v>
      </c>
      <c r="L11" s="100"/>
      <c r="M11" s="6">
        <f t="shared" ref="M11:M74" si="17">L11*L$3</f>
        <v>0</v>
      </c>
      <c r="N11" s="100"/>
      <c r="O11" s="6">
        <f t="shared" ref="O11:O74" si="18">N11*N$3</f>
        <v>0</v>
      </c>
      <c r="P11" s="100"/>
      <c r="Q11" s="6">
        <f t="shared" si="12"/>
        <v>0</v>
      </c>
      <c r="R11" s="100"/>
      <c r="S11" s="6">
        <f t="shared" si="13"/>
        <v>0</v>
      </c>
      <c r="T11" s="100"/>
      <c r="U11" s="6">
        <f t="shared" si="14"/>
        <v>0</v>
      </c>
      <c r="V11" s="8">
        <f t="shared" ref="V11:V74" si="19">(M11+O11+Q11+S11+I11+K11)/H$1</f>
        <v>5.8042250575193473E-2</v>
      </c>
      <c r="W11" s="8">
        <f t="shared" si="3"/>
        <v>38.720930232558139</v>
      </c>
      <c r="X11" s="8">
        <f t="shared" si="9"/>
        <v>38.720930232558139</v>
      </c>
      <c r="Y11" s="8" t="str">
        <f t="shared" si="11"/>
        <v/>
      </c>
      <c r="Z11" s="8" t="str">
        <f t="shared" si="10"/>
        <v/>
      </c>
      <c r="AA11" s="152"/>
      <c r="AB11" s="152"/>
      <c r="AC11" s="180"/>
      <c r="AD11" s="2"/>
      <c r="AE11" s="2"/>
      <c r="AF11" s="2"/>
      <c r="AG11" s="2"/>
      <c r="AH11" s="2"/>
      <c r="AI11" s="2"/>
      <c r="AJ11" s="2"/>
      <c r="AK11" s="2"/>
      <c r="AL11" s="2"/>
      <c r="AM11" s="2"/>
      <c r="AN11" s="2"/>
      <c r="AO11" s="2"/>
      <c r="AP11" s="2"/>
      <c r="AQ11" s="1"/>
      <c r="AR11" s="1"/>
      <c r="AS11" s="1"/>
      <c r="AT11" s="1"/>
      <c r="AU11" s="1"/>
      <c r="AV11" s="1"/>
      <c r="AW11" s="1"/>
      <c r="AX11" s="1"/>
      <c r="AY11" s="1"/>
      <c r="AZ11" s="1"/>
      <c r="BA11" s="1"/>
    </row>
    <row r="12" spans="1:53" ht="17.25" thickBot="1" x14ac:dyDescent="0.35">
      <c r="A12" s="147"/>
      <c r="B12" s="97">
        <v>43558</v>
      </c>
      <c r="C12" s="103">
        <v>42.5</v>
      </c>
      <c r="D12" s="103"/>
      <c r="E12" s="103"/>
      <c r="F12" s="150"/>
      <c r="G12" s="150"/>
      <c r="H12" s="100">
        <v>256</v>
      </c>
      <c r="I12" s="6">
        <f t="shared" si="15"/>
        <v>1280</v>
      </c>
      <c r="J12" s="100"/>
      <c r="K12" s="6">
        <f t="shared" si="16"/>
        <v>0</v>
      </c>
      <c r="L12" s="100"/>
      <c r="M12" s="6">
        <f t="shared" si="17"/>
        <v>0</v>
      </c>
      <c r="N12" s="100"/>
      <c r="O12" s="6">
        <f t="shared" si="18"/>
        <v>0</v>
      </c>
      <c r="P12" s="100"/>
      <c r="Q12" s="6">
        <f t="shared" si="12"/>
        <v>0</v>
      </c>
      <c r="R12" s="100"/>
      <c r="S12" s="6">
        <f t="shared" si="13"/>
        <v>0</v>
      </c>
      <c r="T12" s="100"/>
      <c r="U12" s="6">
        <f t="shared" si="14"/>
        <v>0</v>
      </c>
      <c r="V12" s="8">
        <f t="shared" si="19"/>
        <v>4.4621069511259846E-2</v>
      </c>
      <c r="W12" s="8">
        <f t="shared" si="3"/>
        <v>30.117647058823529</v>
      </c>
      <c r="X12" s="8">
        <f t="shared" si="9"/>
        <v>30.117647058823529</v>
      </c>
      <c r="Y12" s="8" t="str">
        <f t="shared" si="11"/>
        <v/>
      </c>
      <c r="Z12" s="8" t="str">
        <f t="shared" si="10"/>
        <v/>
      </c>
      <c r="AA12" s="152"/>
      <c r="AB12" s="152"/>
      <c r="AC12" s="180"/>
      <c r="AD12" s="2"/>
      <c r="AE12" s="2"/>
      <c r="AF12" s="2"/>
      <c r="AG12" s="2"/>
      <c r="AH12" s="2"/>
      <c r="AI12" s="2"/>
      <c r="AJ12" s="2"/>
      <c r="AK12" s="2"/>
      <c r="AL12" s="2"/>
      <c r="AM12" s="2"/>
      <c r="AN12" s="2"/>
      <c r="AO12" s="2"/>
      <c r="AP12" s="2"/>
      <c r="AQ12" s="1"/>
      <c r="AR12" s="1"/>
      <c r="AS12" s="1"/>
      <c r="AT12" s="1"/>
      <c r="AU12" s="1"/>
      <c r="AV12" s="1"/>
      <c r="AW12" s="1"/>
      <c r="AX12" s="1"/>
      <c r="AY12" s="1"/>
      <c r="AZ12" s="1"/>
      <c r="BA12" s="1"/>
    </row>
    <row r="13" spans="1:53" ht="17.25" thickBot="1" x14ac:dyDescent="0.35">
      <c r="A13" s="147"/>
      <c r="B13" s="97">
        <v>43559</v>
      </c>
      <c r="C13" s="103">
        <v>46.5</v>
      </c>
      <c r="D13" s="103"/>
      <c r="E13" s="103"/>
      <c r="F13" s="150"/>
      <c r="G13" s="150"/>
      <c r="H13" s="100">
        <v>267</v>
      </c>
      <c r="I13" s="6">
        <f t="shared" si="15"/>
        <v>1335</v>
      </c>
      <c r="J13" s="100"/>
      <c r="K13" s="6">
        <f t="shared" si="16"/>
        <v>0</v>
      </c>
      <c r="L13" s="100"/>
      <c r="M13" s="6">
        <f t="shared" si="17"/>
        <v>0</v>
      </c>
      <c r="N13" s="100"/>
      <c r="O13" s="6">
        <f t="shared" si="18"/>
        <v>0</v>
      </c>
      <c r="P13" s="100"/>
      <c r="Q13" s="6">
        <f t="shared" si="12"/>
        <v>0</v>
      </c>
      <c r="R13" s="100"/>
      <c r="S13" s="6">
        <f t="shared" si="13"/>
        <v>0</v>
      </c>
      <c r="T13" s="100"/>
      <c r="U13" s="6">
        <f t="shared" si="14"/>
        <v>0</v>
      </c>
      <c r="V13" s="8">
        <f t="shared" si="19"/>
        <v>4.6538381091821797E-2</v>
      </c>
      <c r="W13" s="8">
        <f t="shared" si="3"/>
        <v>28.70967741935484</v>
      </c>
      <c r="X13" s="8">
        <f t="shared" si="9"/>
        <v>28.70967741935484</v>
      </c>
      <c r="Y13" s="8" t="str">
        <f t="shared" si="11"/>
        <v/>
      </c>
      <c r="Z13" s="8" t="str">
        <f t="shared" si="10"/>
        <v/>
      </c>
      <c r="AA13" s="152"/>
      <c r="AB13" s="152"/>
      <c r="AC13" s="180"/>
      <c r="AD13" s="2"/>
      <c r="AE13" s="2"/>
      <c r="AF13" s="2"/>
      <c r="AG13" s="2"/>
      <c r="AH13" s="2"/>
      <c r="AI13" s="2"/>
      <c r="AJ13" s="2"/>
      <c r="AK13" s="2"/>
      <c r="AL13" s="2"/>
      <c r="AM13" s="2"/>
      <c r="AN13" s="2"/>
      <c r="AO13" s="2"/>
      <c r="AP13" s="2"/>
      <c r="AQ13" s="1"/>
      <c r="AR13" s="1"/>
      <c r="AS13" s="1"/>
      <c r="AT13" s="1"/>
      <c r="AU13" s="1"/>
      <c r="AV13" s="1"/>
      <c r="AW13" s="1"/>
      <c r="AX13" s="1"/>
      <c r="AY13" s="1"/>
      <c r="AZ13" s="1"/>
      <c r="BA13" s="1"/>
    </row>
    <row r="14" spans="1:53" ht="17.25" thickBot="1" x14ac:dyDescent="0.35">
      <c r="A14" s="147"/>
      <c r="B14" s="97">
        <v>43560</v>
      </c>
      <c r="C14" s="103">
        <v>55.5</v>
      </c>
      <c r="D14" s="103"/>
      <c r="E14" s="103"/>
      <c r="F14" s="150"/>
      <c r="G14" s="150"/>
      <c r="H14" s="100">
        <v>362</v>
      </c>
      <c r="I14" s="6">
        <f t="shared" si="15"/>
        <v>1810</v>
      </c>
      <c r="J14" s="100"/>
      <c r="K14" s="6">
        <f t="shared" si="16"/>
        <v>0</v>
      </c>
      <c r="L14" s="100"/>
      <c r="M14" s="6">
        <f t="shared" si="17"/>
        <v>0</v>
      </c>
      <c r="N14" s="100"/>
      <c r="O14" s="6">
        <f t="shared" si="18"/>
        <v>0</v>
      </c>
      <c r="P14" s="100"/>
      <c r="Q14" s="6">
        <f t="shared" si="12"/>
        <v>0</v>
      </c>
      <c r="R14" s="100"/>
      <c r="S14" s="6">
        <f t="shared" si="13"/>
        <v>0</v>
      </c>
      <c r="T14" s="100"/>
      <c r="U14" s="6">
        <f t="shared" si="14"/>
        <v>0</v>
      </c>
      <c r="V14" s="8">
        <f t="shared" si="19"/>
        <v>6.3096981105765879E-2</v>
      </c>
      <c r="W14" s="8">
        <f t="shared" si="3"/>
        <v>32.612612612612615</v>
      </c>
      <c r="X14" s="8">
        <f t="shared" si="9"/>
        <v>32.612612612612615</v>
      </c>
      <c r="Y14" s="8" t="str">
        <f t="shared" si="11"/>
        <v/>
      </c>
      <c r="Z14" s="8" t="str">
        <f t="shared" si="10"/>
        <v/>
      </c>
      <c r="AA14" s="152"/>
      <c r="AB14" s="152"/>
      <c r="AC14" s="180"/>
      <c r="AD14" s="2"/>
      <c r="AE14" s="2"/>
      <c r="AF14" s="2"/>
      <c r="AG14" s="2"/>
      <c r="AH14" s="2"/>
      <c r="AI14" s="2"/>
      <c r="AJ14" s="2"/>
      <c r="AK14" s="2"/>
      <c r="AL14" s="2"/>
      <c r="AM14" s="2"/>
      <c r="AN14" s="2"/>
      <c r="AO14" s="2"/>
      <c r="AP14" s="2"/>
      <c r="AQ14" s="1"/>
      <c r="AR14" s="1"/>
      <c r="AS14" s="1"/>
      <c r="AT14" s="1"/>
      <c r="AU14" s="1"/>
      <c r="AV14" s="1"/>
      <c r="AW14" s="1"/>
      <c r="AX14" s="1"/>
      <c r="AY14" s="1"/>
      <c r="AZ14" s="1"/>
      <c r="BA14" s="1"/>
    </row>
    <row r="15" spans="1:53" ht="17.25" thickBot="1" x14ac:dyDescent="0.35">
      <c r="A15" s="148"/>
      <c r="B15" s="98"/>
      <c r="C15" s="104"/>
      <c r="D15" s="104"/>
      <c r="E15" s="104"/>
      <c r="F15" s="151"/>
      <c r="G15" s="151"/>
      <c r="H15" s="101"/>
      <c r="I15" s="37">
        <f t="shared" si="15"/>
        <v>0</v>
      </c>
      <c r="J15" s="101"/>
      <c r="K15" s="37">
        <f t="shared" si="16"/>
        <v>0</v>
      </c>
      <c r="L15" s="101"/>
      <c r="M15" s="37">
        <f t="shared" si="17"/>
        <v>0</v>
      </c>
      <c r="N15" s="101"/>
      <c r="O15" s="37">
        <f t="shared" si="18"/>
        <v>0</v>
      </c>
      <c r="P15" s="101"/>
      <c r="Q15" s="37">
        <f t="shared" si="12"/>
        <v>0</v>
      </c>
      <c r="R15" s="101"/>
      <c r="S15" s="37">
        <f t="shared" si="13"/>
        <v>0</v>
      </c>
      <c r="T15" s="101"/>
      <c r="U15" s="37">
        <f t="shared" si="14"/>
        <v>0</v>
      </c>
      <c r="V15" s="8">
        <f t="shared" si="19"/>
        <v>0</v>
      </c>
      <c r="W15" s="36" t="str">
        <f t="shared" si="3"/>
        <v/>
      </c>
      <c r="X15" s="36" t="str">
        <f t="shared" si="9"/>
        <v/>
      </c>
      <c r="Y15" s="36" t="str">
        <f t="shared" si="11"/>
        <v/>
      </c>
      <c r="Z15" s="36" t="str">
        <f t="shared" si="10"/>
        <v/>
      </c>
      <c r="AA15" s="152"/>
      <c r="AB15" s="152"/>
      <c r="AC15" s="181"/>
      <c r="AD15" s="2"/>
      <c r="AE15" s="2"/>
      <c r="AF15" s="2"/>
      <c r="AG15" s="2"/>
      <c r="AH15" s="2"/>
      <c r="AI15" s="2"/>
      <c r="AJ15" s="2"/>
      <c r="AK15" s="2"/>
      <c r="AL15" s="2"/>
      <c r="AM15" s="2"/>
      <c r="AN15" s="2"/>
      <c r="AO15" s="2"/>
      <c r="AP15" s="2"/>
      <c r="AQ15" s="1"/>
      <c r="AR15" s="1"/>
      <c r="AS15" s="1"/>
      <c r="AT15" s="1"/>
      <c r="AU15" s="1"/>
      <c r="AV15" s="1"/>
      <c r="AW15" s="1"/>
      <c r="AX15" s="1"/>
      <c r="AY15" s="1"/>
      <c r="AZ15" s="1"/>
      <c r="BA15" s="1"/>
    </row>
    <row r="16" spans="1:53" ht="17.25" thickBot="1" x14ac:dyDescent="0.35">
      <c r="A16" s="146">
        <v>15</v>
      </c>
      <c r="B16" s="105">
        <v>43563</v>
      </c>
      <c r="C16" s="102">
        <v>51</v>
      </c>
      <c r="D16" s="125"/>
      <c r="E16" s="102"/>
      <c r="F16" s="149">
        <f t="shared" ref="F16" si="20">SUM(M16:M21,O16:O21,Q16:Q21,S16:S21,I16:I21,K16:K21)</f>
        <v>9655</v>
      </c>
      <c r="G16" s="149">
        <f t="shared" ref="G16" si="21">SUM(M16:M21,O16:O21,Q16:Q21,S16:S21,U16:U21,K16:K21,I16:I21)</f>
        <v>9655</v>
      </c>
      <c r="H16" s="99">
        <v>320</v>
      </c>
      <c r="I16" s="38">
        <f t="shared" si="15"/>
        <v>1600</v>
      </c>
      <c r="J16" s="99"/>
      <c r="K16" s="38">
        <f t="shared" si="16"/>
        <v>0</v>
      </c>
      <c r="L16" s="99"/>
      <c r="M16" s="38">
        <f t="shared" si="17"/>
        <v>0</v>
      </c>
      <c r="N16" s="99"/>
      <c r="O16" s="38">
        <f t="shared" si="18"/>
        <v>0</v>
      </c>
      <c r="P16" s="99"/>
      <c r="Q16" s="38">
        <f t="shared" si="12"/>
        <v>0</v>
      </c>
      <c r="R16" s="99"/>
      <c r="S16" s="38">
        <f t="shared" si="13"/>
        <v>0</v>
      </c>
      <c r="T16" s="99"/>
      <c r="U16" s="38">
        <f t="shared" si="14"/>
        <v>0</v>
      </c>
      <c r="V16" s="34">
        <f t="shared" si="19"/>
        <v>5.577633688907481E-2</v>
      </c>
      <c r="W16" s="34">
        <f t="shared" si="3"/>
        <v>31.372549019607842</v>
      </c>
      <c r="X16" s="34">
        <f t="shared" si="9"/>
        <v>31.372549019607842</v>
      </c>
      <c r="Y16" s="34" t="str">
        <f t="shared" si="11"/>
        <v/>
      </c>
      <c r="Z16" s="34" t="str">
        <f t="shared" si="10"/>
        <v/>
      </c>
      <c r="AA16" s="152">
        <f t="shared" ref="AA16" si="22">AVERAGE(W16:W21)</f>
        <v>32.912659201913485</v>
      </c>
      <c r="AB16" s="152">
        <f t="shared" ref="AB16" si="23">SUM(V16:V21)</f>
        <v>0.33657533291501085</v>
      </c>
      <c r="AC16" s="179">
        <v>0.31600780868716449</v>
      </c>
      <c r="AD16" s="2"/>
      <c r="AE16" s="2"/>
      <c r="AF16" s="2"/>
      <c r="AG16" s="2"/>
      <c r="AH16" s="2"/>
      <c r="AI16" s="2"/>
      <c r="AJ16" s="2"/>
      <c r="AK16" s="2"/>
      <c r="AL16" s="2"/>
      <c r="AM16" s="2"/>
      <c r="AN16" s="2"/>
      <c r="AO16" s="2"/>
      <c r="AP16" s="2"/>
      <c r="AQ16" s="1"/>
      <c r="AR16" s="1"/>
      <c r="AS16" s="1"/>
      <c r="AT16" s="1"/>
      <c r="AU16" s="1"/>
      <c r="AV16" s="1"/>
      <c r="AW16" s="1"/>
      <c r="AX16" s="1"/>
      <c r="AY16" s="1"/>
      <c r="AZ16" s="1"/>
      <c r="BA16" s="1"/>
    </row>
    <row r="17" spans="1:53" ht="17.25" thickBot="1" x14ac:dyDescent="0.35">
      <c r="A17" s="147"/>
      <c r="B17" s="97">
        <v>43564</v>
      </c>
      <c r="C17" s="103">
        <v>54</v>
      </c>
      <c r="D17" s="103"/>
      <c r="E17" s="103"/>
      <c r="F17" s="150"/>
      <c r="G17" s="150"/>
      <c r="H17" s="100">
        <v>437</v>
      </c>
      <c r="I17" s="6">
        <f t="shared" si="15"/>
        <v>2185</v>
      </c>
      <c r="J17" s="100"/>
      <c r="K17" s="6">
        <f t="shared" si="16"/>
        <v>0</v>
      </c>
      <c r="L17" s="100"/>
      <c r="M17" s="6">
        <f t="shared" si="17"/>
        <v>0</v>
      </c>
      <c r="N17" s="100"/>
      <c r="O17" s="6">
        <f t="shared" si="18"/>
        <v>0</v>
      </c>
      <c r="P17" s="100"/>
      <c r="Q17" s="6">
        <f t="shared" si="12"/>
        <v>0</v>
      </c>
      <c r="R17" s="100"/>
      <c r="S17" s="6">
        <f t="shared" si="13"/>
        <v>0</v>
      </c>
      <c r="T17" s="100"/>
      <c r="U17" s="6">
        <f t="shared" si="14"/>
        <v>0</v>
      </c>
      <c r="V17" s="8">
        <f t="shared" si="19"/>
        <v>7.6169560064142786E-2</v>
      </c>
      <c r="W17" s="8">
        <f t="shared" si="3"/>
        <v>40.462962962962962</v>
      </c>
      <c r="X17" s="8">
        <f t="shared" si="9"/>
        <v>40.462962962962962</v>
      </c>
      <c r="Y17" s="8" t="str">
        <f t="shared" si="11"/>
        <v/>
      </c>
      <c r="Z17" s="8" t="str">
        <f t="shared" si="10"/>
        <v/>
      </c>
      <c r="AA17" s="152"/>
      <c r="AB17" s="152"/>
      <c r="AC17" s="180"/>
      <c r="AD17" s="2"/>
      <c r="AE17" s="2"/>
      <c r="AF17" s="2"/>
      <c r="AG17" s="2"/>
      <c r="AH17" s="2"/>
      <c r="AI17" s="2"/>
      <c r="AJ17" s="2"/>
      <c r="AK17" s="2"/>
      <c r="AL17" s="2"/>
      <c r="AM17" s="2"/>
      <c r="AN17" s="2"/>
      <c r="AO17" s="2"/>
      <c r="AP17" s="2"/>
      <c r="AQ17" s="1"/>
      <c r="AR17" s="1"/>
      <c r="AS17" s="1"/>
      <c r="AT17" s="1"/>
      <c r="AU17" s="1"/>
      <c r="AV17" s="1"/>
      <c r="AW17" s="1"/>
      <c r="AX17" s="1"/>
      <c r="AY17" s="1"/>
      <c r="AZ17" s="1"/>
      <c r="BA17" s="1"/>
    </row>
    <row r="18" spans="1:53" ht="17.25" thickBot="1" x14ac:dyDescent="0.35">
      <c r="A18" s="147"/>
      <c r="B18" s="97">
        <v>43565</v>
      </c>
      <c r="C18" s="103">
        <v>59.5</v>
      </c>
      <c r="D18" s="103"/>
      <c r="E18" s="103"/>
      <c r="F18" s="150"/>
      <c r="G18" s="150"/>
      <c r="H18" s="100">
        <v>444</v>
      </c>
      <c r="I18" s="6">
        <f t="shared" si="15"/>
        <v>2220</v>
      </c>
      <c r="J18" s="100"/>
      <c r="K18" s="6">
        <f t="shared" si="16"/>
        <v>0</v>
      </c>
      <c r="L18" s="100"/>
      <c r="M18" s="6">
        <f t="shared" si="17"/>
        <v>0</v>
      </c>
      <c r="N18" s="100"/>
      <c r="O18" s="6">
        <f t="shared" si="18"/>
        <v>0</v>
      </c>
      <c r="P18" s="100"/>
      <c r="Q18" s="6">
        <f t="shared" si="12"/>
        <v>0</v>
      </c>
      <c r="R18" s="100"/>
      <c r="S18" s="6">
        <f t="shared" si="13"/>
        <v>0</v>
      </c>
      <c r="T18" s="100"/>
      <c r="U18" s="6">
        <f t="shared" si="14"/>
        <v>0</v>
      </c>
      <c r="V18" s="8">
        <f t="shared" si="19"/>
        <v>7.7389667433591297E-2</v>
      </c>
      <c r="W18" s="8">
        <f t="shared" si="3"/>
        <v>37.310924369747902</v>
      </c>
      <c r="X18" s="8">
        <f t="shared" si="9"/>
        <v>37.310924369747902</v>
      </c>
      <c r="Y18" s="8" t="str">
        <f t="shared" si="11"/>
        <v/>
      </c>
      <c r="Z18" s="8" t="str">
        <f t="shared" si="10"/>
        <v/>
      </c>
      <c r="AA18" s="152"/>
      <c r="AB18" s="152"/>
      <c r="AC18" s="180"/>
      <c r="AD18" s="2"/>
      <c r="AE18" s="2"/>
      <c r="AF18" s="2"/>
      <c r="AG18" s="2"/>
      <c r="AH18" s="2"/>
      <c r="AI18" s="2"/>
      <c r="AJ18" s="2"/>
      <c r="AK18" s="2"/>
      <c r="AL18" s="2"/>
      <c r="AM18" s="2"/>
      <c r="AN18" s="2"/>
      <c r="AO18" s="2"/>
      <c r="AP18" s="2"/>
      <c r="AQ18" s="1"/>
      <c r="AR18" s="1"/>
      <c r="AS18" s="1"/>
      <c r="AT18" s="1"/>
      <c r="AU18" s="1"/>
      <c r="AV18" s="1"/>
      <c r="AW18" s="1"/>
      <c r="AX18" s="1"/>
      <c r="AY18" s="1"/>
      <c r="AZ18" s="1"/>
      <c r="BA18" s="1"/>
    </row>
    <row r="19" spans="1:53" ht="17.25" thickBot="1" x14ac:dyDescent="0.35">
      <c r="A19" s="147"/>
      <c r="B19" s="97">
        <v>43566</v>
      </c>
      <c r="C19" s="103">
        <v>63.5</v>
      </c>
      <c r="D19" s="103"/>
      <c r="E19" s="103"/>
      <c r="F19" s="150"/>
      <c r="G19" s="150"/>
      <c r="H19" s="100">
        <v>334</v>
      </c>
      <c r="I19" s="6">
        <f t="shared" si="15"/>
        <v>1670</v>
      </c>
      <c r="J19" s="100"/>
      <c r="K19" s="6">
        <f t="shared" si="16"/>
        <v>0</v>
      </c>
      <c r="L19" s="100"/>
      <c r="M19" s="6">
        <f t="shared" si="17"/>
        <v>0</v>
      </c>
      <c r="N19" s="100"/>
      <c r="O19" s="6">
        <f t="shared" si="18"/>
        <v>0</v>
      </c>
      <c r="P19" s="100"/>
      <c r="Q19" s="6">
        <f t="shared" si="12"/>
        <v>0</v>
      </c>
      <c r="R19" s="100"/>
      <c r="S19" s="6">
        <f t="shared" si="13"/>
        <v>0</v>
      </c>
      <c r="T19" s="100"/>
      <c r="U19" s="6">
        <f t="shared" si="14"/>
        <v>0</v>
      </c>
      <c r="V19" s="8">
        <f t="shared" si="19"/>
        <v>5.8216551627971833E-2</v>
      </c>
      <c r="W19" s="8">
        <f t="shared" si="3"/>
        <v>26.299212598425196</v>
      </c>
      <c r="X19" s="8">
        <f t="shared" si="9"/>
        <v>26.299212598425196</v>
      </c>
      <c r="Y19" s="8" t="str">
        <f t="shared" si="11"/>
        <v/>
      </c>
      <c r="Z19" s="8" t="str">
        <f t="shared" si="10"/>
        <v/>
      </c>
      <c r="AA19" s="152"/>
      <c r="AB19" s="152"/>
      <c r="AC19" s="180"/>
      <c r="AD19" s="2"/>
      <c r="AE19" s="2"/>
      <c r="AF19" s="2"/>
      <c r="AG19" s="2"/>
      <c r="AH19" s="2"/>
      <c r="AI19" s="2"/>
      <c r="AJ19" s="2"/>
      <c r="AK19" s="2"/>
      <c r="AL19" s="2"/>
      <c r="AM19" s="2"/>
      <c r="AN19" s="2"/>
      <c r="AO19" s="2"/>
      <c r="AP19" s="2"/>
      <c r="AQ19" s="1"/>
      <c r="AR19" s="1"/>
      <c r="AS19" s="1"/>
      <c r="AT19" s="1"/>
      <c r="AU19" s="1"/>
      <c r="AV19" s="1"/>
      <c r="AW19" s="1"/>
      <c r="AX19" s="1"/>
      <c r="AY19" s="1"/>
      <c r="AZ19" s="1"/>
      <c r="BA19" s="1"/>
    </row>
    <row r="20" spans="1:53" ht="17.25" thickBot="1" x14ac:dyDescent="0.35">
      <c r="A20" s="147"/>
      <c r="B20" s="138">
        <v>43567</v>
      </c>
      <c r="C20" s="103">
        <v>68</v>
      </c>
      <c r="D20" s="103"/>
      <c r="E20" s="103"/>
      <c r="F20" s="150"/>
      <c r="G20" s="150"/>
      <c r="H20" s="100">
        <v>396</v>
      </c>
      <c r="I20" s="6">
        <f t="shared" si="15"/>
        <v>1980</v>
      </c>
      <c r="J20" s="100"/>
      <c r="K20" s="6">
        <f t="shared" si="16"/>
        <v>0</v>
      </c>
      <c r="L20" s="100"/>
      <c r="M20" s="6">
        <f t="shared" si="17"/>
        <v>0</v>
      </c>
      <c r="N20" s="100"/>
      <c r="O20" s="6">
        <f t="shared" si="18"/>
        <v>0</v>
      </c>
      <c r="P20" s="100"/>
      <c r="Q20" s="6">
        <f t="shared" si="12"/>
        <v>0</v>
      </c>
      <c r="R20" s="100"/>
      <c r="S20" s="6">
        <f t="shared" si="13"/>
        <v>0</v>
      </c>
      <c r="T20" s="100"/>
      <c r="U20" s="6">
        <f t="shared" si="14"/>
        <v>0</v>
      </c>
      <c r="V20" s="8">
        <f t="shared" si="19"/>
        <v>6.9023216900230083E-2</v>
      </c>
      <c r="W20" s="8">
        <f t="shared" si="3"/>
        <v>29.117647058823529</v>
      </c>
      <c r="X20" s="8">
        <f t="shared" si="9"/>
        <v>29.117647058823529</v>
      </c>
      <c r="Y20" s="8" t="str">
        <f t="shared" si="11"/>
        <v/>
      </c>
      <c r="Z20" s="8" t="str">
        <f t="shared" si="10"/>
        <v/>
      </c>
      <c r="AA20" s="152"/>
      <c r="AB20" s="152"/>
      <c r="AC20" s="180"/>
      <c r="AD20" s="2"/>
      <c r="AE20" s="2"/>
      <c r="AF20" s="2"/>
      <c r="AG20" s="2"/>
      <c r="AH20" s="2"/>
      <c r="AI20" s="2"/>
      <c r="AJ20" s="2"/>
      <c r="AK20" s="2"/>
      <c r="AL20" s="2"/>
      <c r="AM20" s="2"/>
      <c r="AN20" s="2"/>
      <c r="AO20" s="2"/>
      <c r="AP20" s="2"/>
      <c r="AQ20" s="1"/>
      <c r="AR20" s="1"/>
      <c r="AS20" s="1"/>
      <c r="AT20" s="1"/>
      <c r="AU20" s="1"/>
      <c r="AV20" s="1"/>
      <c r="AW20" s="1"/>
      <c r="AX20" s="1"/>
      <c r="AY20" s="1"/>
      <c r="AZ20" s="1"/>
      <c r="BA20" s="1"/>
    </row>
    <row r="21" spans="1:53" ht="17.25" thickBot="1" x14ac:dyDescent="0.35">
      <c r="A21" s="148"/>
      <c r="B21" s="98"/>
      <c r="C21" s="104"/>
      <c r="D21" s="104"/>
      <c r="E21" s="104"/>
      <c r="F21" s="151"/>
      <c r="G21" s="151"/>
      <c r="H21" s="101"/>
      <c r="I21" s="37">
        <f t="shared" si="15"/>
        <v>0</v>
      </c>
      <c r="J21" s="101"/>
      <c r="K21" s="37">
        <f t="shared" si="16"/>
        <v>0</v>
      </c>
      <c r="L21" s="101"/>
      <c r="M21" s="37">
        <f t="shared" si="17"/>
        <v>0</v>
      </c>
      <c r="N21" s="101"/>
      <c r="O21" s="37">
        <f t="shared" si="18"/>
        <v>0</v>
      </c>
      <c r="P21" s="101"/>
      <c r="Q21" s="37">
        <f t="shared" si="12"/>
        <v>0</v>
      </c>
      <c r="R21" s="101"/>
      <c r="S21" s="37">
        <f t="shared" si="13"/>
        <v>0</v>
      </c>
      <c r="T21" s="101"/>
      <c r="U21" s="37">
        <f t="shared" si="14"/>
        <v>0</v>
      </c>
      <c r="V21" s="36">
        <f t="shared" si="19"/>
        <v>0</v>
      </c>
      <c r="W21" s="36" t="str">
        <f t="shared" si="3"/>
        <v/>
      </c>
      <c r="X21" s="36" t="str">
        <f t="shared" si="9"/>
        <v/>
      </c>
      <c r="Y21" s="36" t="str">
        <f t="shared" si="11"/>
        <v/>
      </c>
      <c r="Z21" s="36" t="str">
        <f t="shared" si="10"/>
        <v/>
      </c>
      <c r="AA21" s="152"/>
      <c r="AB21" s="152"/>
      <c r="AC21" s="181"/>
      <c r="AD21" s="2"/>
      <c r="AE21" s="2"/>
      <c r="AF21" s="2"/>
      <c r="AG21" s="2"/>
      <c r="AH21" s="2"/>
      <c r="AI21" s="2"/>
      <c r="AJ21" s="2"/>
      <c r="AK21" s="2"/>
      <c r="AL21" s="2"/>
      <c r="AM21" s="2"/>
      <c r="AN21" s="2"/>
      <c r="AO21" s="2"/>
      <c r="AP21" s="2"/>
      <c r="AQ21" s="1"/>
      <c r="AR21" s="1"/>
      <c r="AS21" s="1"/>
      <c r="AT21" s="1"/>
      <c r="AU21" s="1"/>
      <c r="AV21" s="1"/>
      <c r="AW21" s="1"/>
      <c r="AX21" s="1"/>
      <c r="AY21" s="1"/>
      <c r="AZ21" s="1"/>
      <c r="BA21" s="1"/>
    </row>
    <row r="22" spans="1:53" ht="17.25" thickBot="1" x14ac:dyDescent="0.35">
      <c r="A22" s="146">
        <v>16</v>
      </c>
      <c r="B22" s="132">
        <v>43570</v>
      </c>
      <c r="C22" s="102">
        <v>68</v>
      </c>
      <c r="D22" s="102"/>
      <c r="E22" s="102"/>
      <c r="F22" s="149">
        <f t="shared" ref="F22" si="24">SUM(M22:M27,O22:O27,Q22:Q27,S22:S27,I22:I27,K22:K27)</f>
        <v>18990</v>
      </c>
      <c r="G22" s="149">
        <f t="shared" ref="G22" si="25">SUM(M22:M27,O22:O27,Q22:Q27,S22:S27,U22:U27,K22:K27,I22:I27)</f>
        <v>18990</v>
      </c>
      <c r="H22" s="99">
        <v>474</v>
      </c>
      <c r="I22" s="38">
        <f t="shared" si="15"/>
        <v>2370</v>
      </c>
      <c r="J22" s="99"/>
      <c r="K22" s="38">
        <f t="shared" si="16"/>
        <v>0</v>
      </c>
      <c r="L22" s="99"/>
      <c r="M22" s="38">
        <f t="shared" si="17"/>
        <v>0</v>
      </c>
      <c r="N22" s="99"/>
      <c r="O22" s="38">
        <f t="shared" si="18"/>
        <v>0</v>
      </c>
      <c r="P22" s="99"/>
      <c r="Q22" s="38">
        <f t="shared" si="12"/>
        <v>0</v>
      </c>
      <c r="R22" s="99"/>
      <c r="S22" s="38">
        <f t="shared" si="13"/>
        <v>0</v>
      </c>
      <c r="T22" s="99"/>
      <c r="U22" s="38">
        <f t="shared" si="14"/>
        <v>0</v>
      </c>
      <c r="V22" s="34">
        <f t="shared" si="19"/>
        <v>8.2618699016942063E-2</v>
      </c>
      <c r="W22" s="34">
        <f t="shared" si="3"/>
        <v>34.852941176470587</v>
      </c>
      <c r="X22" s="34">
        <f t="shared" si="9"/>
        <v>34.852941176470587</v>
      </c>
      <c r="Y22" s="34" t="str">
        <f t="shared" si="11"/>
        <v/>
      </c>
      <c r="Z22" s="34" t="str">
        <f t="shared" si="10"/>
        <v/>
      </c>
      <c r="AA22" s="152">
        <f t="shared" ref="AA22" si="26">AVERAGE(W22:W27)</f>
        <v>40.939987283884449</v>
      </c>
      <c r="AB22" s="152">
        <f t="shared" ref="AB22" si="27">SUM(V22:V27)</f>
        <v>0.66199539845220667</v>
      </c>
      <c r="AC22" s="179">
        <v>0.43418392247089166</v>
      </c>
      <c r="AD22" s="2"/>
      <c r="AE22" s="2"/>
      <c r="AF22" s="2"/>
      <c r="AG22" s="2"/>
      <c r="AH22" s="2"/>
      <c r="AI22" s="2"/>
      <c r="AJ22" s="2"/>
      <c r="AK22" s="2"/>
      <c r="AL22" s="2"/>
      <c r="AM22" s="2"/>
      <c r="AN22" s="2"/>
      <c r="AO22" s="2"/>
      <c r="AP22" s="2"/>
      <c r="AQ22" s="1"/>
      <c r="AR22" s="1"/>
      <c r="AS22" s="1"/>
      <c r="AT22" s="1"/>
      <c r="AU22" s="1"/>
      <c r="AV22" s="1"/>
      <c r="AW22" s="1"/>
      <c r="AX22" s="1"/>
      <c r="AY22" s="1"/>
      <c r="AZ22" s="1"/>
      <c r="BA22" s="1"/>
    </row>
    <row r="23" spans="1:53" ht="17.25" thickBot="1" x14ac:dyDescent="0.35">
      <c r="A23" s="147"/>
      <c r="B23" s="97">
        <v>43571</v>
      </c>
      <c r="C23" s="103">
        <v>72.5</v>
      </c>
      <c r="D23" s="103"/>
      <c r="E23" s="103"/>
      <c r="F23" s="150"/>
      <c r="G23" s="150"/>
      <c r="H23" s="100">
        <v>602</v>
      </c>
      <c r="I23" s="6">
        <f t="shared" si="15"/>
        <v>3010</v>
      </c>
      <c r="J23" s="100"/>
      <c r="K23" s="6">
        <f t="shared" si="16"/>
        <v>0</v>
      </c>
      <c r="L23" s="100"/>
      <c r="M23" s="6">
        <f t="shared" si="17"/>
        <v>0</v>
      </c>
      <c r="N23" s="100"/>
      <c r="O23" s="6">
        <f t="shared" si="18"/>
        <v>0</v>
      </c>
      <c r="P23" s="100"/>
      <c r="Q23" s="6">
        <f t="shared" si="12"/>
        <v>0</v>
      </c>
      <c r="R23" s="100"/>
      <c r="S23" s="6">
        <f t="shared" si="13"/>
        <v>0</v>
      </c>
      <c r="T23" s="100"/>
      <c r="U23" s="6">
        <f t="shared" si="14"/>
        <v>0</v>
      </c>
      <c r="V23" s="8">
        <f t="shared" si="19"/>
        <v>0.10492923377257199</v>
      </c>
      <c r="W23" s="8">
        <f t="shared" si="3"/>
        <v>41.517241379310342</v>
      </c>
      <c r="X23" s="8">
        <f t="shared" si="9"/>
        <v>41.517241379310342</v>
      </c>
      <c r="Y23" s="8" t="str">
        <f t="shared" si="11"/>
        <v/>
      </c>
      <c r="Z23" s="8" t="str">
        <f t="shared" si="10"/>
        <v/>
      </c>
      <c r="AA23" s="152"/>
      <c r="AB23" s="152"/>
      <c r="AC23" s="180"/>
      <c r="AD23" s="2"/>
      <c r="AE23" s="2"/>
      <c r="AF23" s="2"/>
      <c r="AG23" s="2"/>
      <c r="AH23" s="2"/>
      <c r="AI23" s="2"/>
      <c r="AJ23" s="2"/>
      <c r="AK23" s="2"/>
      <c r="AL23" s="2"/>
      <c r="AM23" s="2"/>
      <c r="AN23" s="2"/>
      <c r="AO23" s="2"/>
      <c r="AP23" s="2"/>
      <c r="AQ23" s="1"/>
      <c r="AR23" s="1"/>
      <c r="AS23" s="1"/>
      <c r="AT23" s="1"/>
      <c r="AU23" s="1"/>
      <c r="AV23" s="1"/>
      <c r="AW23" s="1"/>
      <c r="AX23" s="1"/>
      <c r="AY23" s="1"/>
      <c r="AZ23" s="1"/>
      <c r="BA23" s="1"/>
    </row>
    <row r="24" spans="1:53" ht="17.25" thickBot="1" x14ac:dyDescent="0.35">
      <c r="A24" s="147"/>
      <c r="B24" s="97">
        <v>43572</v>
      </c>
      <c r="C24" s="103">
        <v>92</v>
      </c>
      <c r="D24" s="103"/>
      <c r="E24" s="103"/>
      <c r="F24" s="150"/>
      <c r="G24" s="150"/>
      <c r="H24" s="100">
        <v>837</v>
      </c>
      <c r="I24" s="6">
        <f t="shared" si="15"/>
        <v>4185</v>
      </c>
      <c r="J24" s="100"/>
      <c r="K24" s="6">
        <f t="shared" si="16"/>
        <v>0</v>
      </c>
      <c r="L24" s="100"/>
      <c r="M24" s="6">
        <f t="shared" si="17"/>
        <v>0</v>
      </c>
      <c r="N24" s="100"/>
      <c r="O24" s="6">
        <f t="shared" si="18"/>
        <v>0</v>
      </c>
      <c r="P24" s="100"/>
      <c r="Q24" s="6">
        <f t="shared" si="12"/>
        <v>0</v>
      </c>
      <c r="R24" s="100"/>
      <c r="S24" s="6">
        <f t="shared" si="13"/>
        <v>0</v>
      </c>
      <c r="T24" s="100"/>
      <c r="U24" s="6">
        <f t="shared" si="14"/>
        <v>0</v>
      </c>
      <c r="V24" s="8">
        <f t="shared" si="19"/>
        <v>0.14588998117548629</v>
      </c>
      <c r="W24" s="8">
        <f t="shared" si="3"/>
        <v>45.489130434782609</v>
      </c>
      <c r="X24" s="8">
        <f t="shared" si="9"/>
        <v>45.489130434782609</v>
      </c>
      <c r="Y24" s="8" t="str">
        <f t="shared" si="11"/>
        <v/>
      </c>
      <c r="Z24" s="8" t="str">
        <f t="shared" si="10"/>
        <v/>
      </c>
      <c r="AA24" s="152"/>
      <c r="AB24" s="152"/>
      <c r="AC24" s="180"/>
      <c r="AD24" s="2"/>
      <c r="AE24" s="2"/>
      <c r="AF24" s="2"/>
      <c r="AG24" s="2"/>
      <c r="AH24" s="2"/>
      <c r="AI24" s="2"/>
      <c r="AJ24" s="2"/>
      <c r="AK24" s="2"/>
      <c r="AL24" s="2"/>
      <c r="AM24" s="2"/>
      <c r="AN24" s="2"/>
      <c r="AO24" s="2"/>
      <c r="AP24" s="2"/>
      <c r="AQ24" s="1"/>
      <c r="AR24" s="1"/>
      <c r="AS24" s="1"/>
      <c r="AT24" s="1"/>
      <c r="AU24" s="1"/>
      <c r="AV24" s="1"/>
      <c r="AW24" s="1"/>
      <c r="AX24" s="1"/>
      <c r="AY24" s="1"/>
      <c r="AZ24" s="1"/>
      <c r="BA24" s="1"/>
    </row>
    <row r="25" spans="1:53" ht="17.25" thickBot="1" x14ac:dyDescent="0.35">
      <c r="A25" s="147"/>
      <c r="B25" s="97">
        <v>43573</v>
      </c>
      <c r="C25" s="103">
        <v>110.5</v>
      </c>
      <c r="D25" s="103"/>
      <c r="E25" s="103"/>
      <c r="F25" s="150"/>
      <c r="G25" s="150"/>
      <c r="H25" s="100">
        <v>909</v>
      </c>
      <c r="I25" s="6">
        <f t="shared" si="15"/>
        <v>4545</v>
      </c>
      <c r="J25" s="100"/>
      <c r="K25" s="6">
        <f t="shared" si="16"/>
        <v>0</v>
      </c>
      <c r="L25" s="100"/>
      <c r="M25" s="6">
        <f t="shared" si="17"/>
        <v>0</v>
      </c>
      <c r="N25" s="100"/>
      <c r="O25" s="6">
        <f t="shared" si="18"/>
        <v>0</v>
      </c>
      <c r="P25" s="100"/>
      <c r="Q25" s="6">
        <f t="shared" si="12"/>
        <v>0</v>
      </c>
      <c r="R25" s="100"/>
      <c r="S25" s="6">
        <f t="shared" si="13"/>
        <v>0</v>
      </c>
      <c r="T25" s="100"/>
      <c r="U25" s="6">
        <f t="shared" si="14"/>
        <v>0</v>
      </c>
      <c r="V25" s="8">
        <f t="shared" si="19"/>
        <v>0.15843965697552814</v>
      </c>
      <c r="W25" s="8">
        <f t="shared" si="3"/>
        <v>41.131221719457017</v>
      </c>
      <c r="X25" s="8">
        <f t="shared" si="9"/>
        <v>41.131221719457017</v>
      </c>
      <c r="Y25" s="8" t="str">
        <f t="shared" si="11"/>
        <v/>
      </c>
      <c r="Z25" s="8" t="str">
        <f t="shared" si="10"/>
        <v/>
      </c>
      <c r="AA25" s="152"/>
      <c r="AB25" s="152"/>
      <c r="AC25" s="180"/>
      <c r="AD25" s="2"/>
      <c r="AE25" s="2"/>
      <c r="AF25" s="2"/>
      <c r="AG25" s="2"/>
      <c r="AH25" s="2"/>
      <c r="AI25" s="2"/>
      <c r="AJ25" s="2"/>
      <c r="AK25" s="2"/>
      <c r="AL25" s="2"/>
      <c r="AM25" s="2"/>
      <c r="AN25" s="2"/>
      <c r="AO25" s="2"/>
      <c r="AP25" s="2"/>
      <c r="AQ25" s="1"/>
      <c r="AR25" s="1"/>
      <c r="AS25" s="1"/>
      <c r="AT25" s="1"/>
      <c r="AU25" s="1"/>
      <c r="AV25" s="1"/>
      <c r="AW25" s="1"/>
      <c r="AX25" s="1"/>
      <c r="AY25" s="1"/>
      <c r="AZ25" s="1"/>
      <c r="BA25" s="1"/>
    </row>
    <row r="26" spans="1:53" ht="17.25" thickBot="1" x14ac:dyDescent="0.35">
      <c r="A26" s="147"/>
      <c r="B26" s="97">
        <v>43574</v>
      </c>
      <c r="C26" s="103">
        <v>117</v>
      </c>
      <c r="D26" s="103"/>
      <c r="E26" s="103"/>
      <c r="F26" s="150"/>
      <c r="G26" s="150"/>
      <c r="H26" s="100">
        <v>976</v>
      </c>
      <c r="I26" s="6">
        <f t="shared" si="15"/>
        <v>4880</v>
      </c>
      <c r="J26" s="100"/>
      <c r="K26" s="6">
        <f t="shared" si="16"/>
        <v>0</v>
      </c>
      <c r="L26" s="100"/>
      <c r="M26" s="6">
        <f t="shared" si="17"/>
        <v>0</v>
      </c>
      <c r="N26" s="100"/>
      <c r="O26" s="6">
        <f t="shared" si="18"/>
        <v>0</v>
      </c>
      <c r="P26" s="100"/>
      <c r="Q26" s="6">
        <f t="shared" si="12"/>
        <v>0</v>
      </c>
      <c r="R26" s="100"/>
      <c r="S26" s="6">
        <f t="shared" si="13"/>
        <v>0</v>
      </c>
      <c r="T26" s="100"/>
      <c r="U26" s="6">
        <f t="shared" si="14"/>
        <v>0</v>
      </c>
      <c r="V26" s="8">
        <f t="shared" si="19"/>
        <v>0.17011782751167817</v>
      </c>
      <c r="W26" s="8">
        <f t="shared" si="3"/>
        <v>41.70940170940171</v>
      </c>
      <c r="X26" s="8">
        <f t="shared" si="9"/>
        <v>41.70940170940171</v>
      </c>
      <c r="Y26" s="8" t="str">
        <f t="shared" si="11"/>
        <v/>
      </c>
      <c r="Z26" s="8" t="str">
        <f t="shared" si="10"/>
        <v/>
      </c>
      <c r="AA26" s="152"/>
      <c r="AB26" s="152"/>
      <c r="AC26" s="180"/>
      <c r="AD26" s="2"/>
      <c r="AE26" s="2"/>
      <c r="AF26" s="2"/>
      <c r="AG26" s="2"/>
      <c r="AH26" s="2"/>
      <c r="AI26" s="2"/>
      <c r="AJ26" s="2"/>
      <c r="AK26" s="2"/>
      <c r="AL26" s="2"/>
      <c r="AM26" s="2"/>
      <c r="AN26" s="2"/>
      <c r="AO26" s="2"/>
      <c r="AP26" s="2"/>
      <c r="AQ26" s="1"/>
      <c r="AR26" s="1"/>
      <c r="AS26" s="1"/>
      <c r="AT26" s="1"/>
      <c r="AU26" s="1"/>
      <c r="AV26" s="1"/>
      <c r="AW26" s="1"/>
      <c r="AX26" s="1"/>
      <c r="AY26" s="1"/>
      <c r="AZ26" s="1"/>
      <c r="BA26" s="1"/>
    </row>
    <row r="27" spans="1:53" ht="17.25" thickBot="1" x14ac:dyDescent="0.35">
      <c r="A27" s="148"/>
      <c r="B27" s="98"/>
      <c r="C27" s="104"/>
      <c r="D27" s="104"/>
      <c r="E27" s="104"/>
      <c r="F27" s="151"/>
      <c r="G27" s="151"/>
      <c r="H27" s="101"/>
      <c r="I27" s="37">
        <f t="shared" si="15"/>
        <v>0</v>
      </c>
      <c r="J27" s="101"/>
      <c r="K27" s="37">
        <f t="shared" si="16"/>
        <v>0</v>
      </c>
      <c r="L27" s="101"/>
      <c r="M27" s="37">
        <f t="shared" si="17"/>
        <v>0</v>
      </c>
      <c r="N27" s="101"/>
      <c r="O27" s="37">
        <f t="shared" si="18"/>
        <v>0</v>
      </c>
      <c r="P27" s="101"/>
      <c r="Q27" s="37">
        <f t="shared" si="12"/>
        <v>0</v>
      </c>
      <c r="R27" s="101"/>
      <c r="S27" s="37">
        <f t="shared" si="13"/>
        <v>0</v>
      </c>
      <c r="T27" s="101"/>
      <c r="U27" s="37">
        <f t="shared" si="14"/>
        <v>0</v>
      </c>
      <c r="V27" s="36">
        <f t="shared" si="19"/>
        <v>0</v>
      </c>
      <c r="W27" s="36" t="str">
        <f t="shared" si="3"/>
        <v/>
      </c>
      <c r="X27" s="36" t="str">
        <f t="shared" si="9"/>
        <v/>
      </c>
      <c r="Y27" s="36" t="str">
        <f t="shared" si="11"/>
        <v/>
      </c>
      <c r="Z27" s="36" t="str">
        <f t="shared" si="10"/>
        <v/>
      </c>
      <c r="AA27" s="152"/>
      <c r="AB27" s="152"/>
      <c r="AC27" s="181"/>
      <c r="AD27" s="2"/>
      <c r="AE27" s="2"/>
      <c r="AF27" s="2"/>
      <c r="AG27" s="2"/>
      <c r="AH27" s="2"/>
      <c r="AI27" s="2"/>
      <c r="AJ27" s="2"/>
      <c r="AK27" s="2"/>
      <c r="AL27" s="2"/>
      <c r="AM27" s="2"/>
      <c r="AN27" s="2"/>
      <c r="AO27" s="2"/>
      <c r="AP27" s="2"/>
      <c r="AQ27" s="1"/>
      <c r="AR27" s="1"/>
      <c r="AS27" s="1"/>
      <c r="AT27" s="1"/>
      <c r="AU27" s="1"/>
      <c r="AV27" s="1"/>
      <c r="AW27" s="1"/>
      <c r="AX27" s="1"/>
      <c r="AY27" s="1"/>
      <c r="AZ27" s="1"/>
      <c r="BA27" s="1"/>
    </row>
    <row r="28" spans="1:53" ht="17.25" thickBot="1" x14ac:dyDescent="0.35">
      <c r="A28" s="147">
        <v>17</v>
      </c>
      <c r="B28" s="105">
        <v>43577</v>
      </c>
      <c r="C28" s="102">
        <v>90</v>
      </c>
      <c r="D28" s="102"/>
      <c r="E28" s="102"/>
      <c r="F28" s="149">
        <f t="shared" ref="F28" si="28">SUM(M28:M33,O28:O33,Q28:Q33,S28:S33,I28:I33,K28:K33)</f>
        <v>30215</v>
      </c>
      <c r="G28" s="149">
        <f t="shared" ref="G28" si="29">SUM(M28:M33,O28:O33,Q28:Q33,S28:S33,U28:U33,K28:K33,I28:I33)</f>
        <v>30215</v>
      </c>
      <c r="H28" s="99">
        <v>835</v>
      </c>
      <c r="I28" s="6">
        <f t="shared" si="15"/>
        <v>4175</v>
      </c>
      <c r="J28" s="99"/>
      <c r="K28" s="6">
        <f t="shared" si="16"/>
        <v>0</v>
      </c>
      <c r="L28" s="99"/>
      <c r="M28" s="6">
        <f t="shared" si="17"/>
        <v>0</v>
      </c>
      <c r="N28" s="99"/>
      <c r="O28" s="6">
        <f t="shared" si="18"/>
        <v>0</v>
      </c>
      <c r="P28" s="99"/>
      <c r="Q28" s="6">
        <f t="shared" si="12"/>
        <v>0</v>
      </c>
      <c r="R28" s="99"/>
      <c r="S28" s="6">
        <f t="shared" si="13"/>
        <v>0</v>
      </c>
      <c r="T28" s="99"/>
      <c r="U28" s="6">
        <f t="shared" si="14"/>
        <v>0</v>
      </c>
      <c r="V28" s="8">
        <f t="shared" si="19"/>
        <v>0.14554137906992959</v>
      </c>
      <c r="W28" s="8">
        <f t="shared" si="3"/>
        <v>46.388888888888886</v>
      </c>
      <c r="X28" s="8">
        <f t="shared" si="9"/>
        <v>46.388888888888886</v>
      </c>
      <c r="Y28" s="8" t="str">
        <f t="shared" si="11"/>
        <v/>
      </c>
      <c r="Z28" s="8" t="str">
        <f t="shared" si="10"/>
        <v/>
      </c>
      <c r="AA28" s="152">
        <f t="shared" ref="AA28" si="30">AVERAGE(W28:W33)</f>
        <v>43.108680176196174</v>
      </c>
      <c r="AB28" s="152">
        <f t="shared" ref="AB28" si="31">SUM(V28:V33)</f>
        <v>1.053301261939622</v>
      </c>
      <c r="AC28" s="179">
        <v>0.82043505542773487</v>
      </c>
      <c r="AD28" s="2"/>
      <c r="AE28" s="2"/>
      <c r="AF28" s="2"/>
      <c r="AG28" s="2"/>
      <c r="AH28" s="2"/>
      <c r="AI28" s="2"/>
      <c r="AJ28" s="2"/>
      <c r="AK28" s="2"/>
      <c r="AL28" s="2"/>
      <c r="AM28" s="2"/>
      <c r="AN28" s="2"/>
      <c r="AO28" s="2"/>
      <c r="AP28" s="2"/>
      <c r="AQ28" s="1"/>
      <c r="AR28" s="1"/>
      <c r="AS28" s="1"/>
      <c r="AT28" s="1"/>
      <c r="AU28" s="1"/>
      <c r="AV28" s="1"/>
      <c r="AW28" s="1"/>
      <c r="AX28" s="1"/>
      <c r="AY28" s="1"/>
      <c r="AZ28" s="1"/>
      <c r="BA28" s="1"/>
    </row>
    <row r="29" spans="1:53" ht="17.25" thickBot="1" x14ac:dyDescent="0.35">
      <c r="A29" s="147"/>
      <c r="B29" s="97">
        <v>43578</v>
      </c>
      <c r="C29" s="103">
        <v>135</v>
      </c>
      <c r="D29" s="103"/>
      <c r="E29" s="103"/>
      <c r="F29" s="150"/>
      <c r="G29" s="150"/>
      <c r="H29" s="100">
        <v>1173</v>
      </c>
      <c r="I29" s="6">
        <f t="shared" si="15"/>
        <v>5865</v>
      </c>
      <c r="J29" s="100"/>
      <c r="K29" s="6">
        <f t="shared" si="16"/>
        <v>0</v>
      </c>
      <c r="L29" s="100"/>
      <c r="M29" s="6">
        <f t="shared" si="17"/>
        <v>0</v>
      </c>
      <c r="N29" s="100"/>
      <c r="O29" s="6">
        <f t="shared" si="18"/>
        <v>0</v>
      </c>
      <c r="P29" s="100"/>
      <c r="Q29" s="6">
        <f t="shared" si="12"/>
        <v>0</v>
      </c>
      <c r="R29" s="100"/>
      <c r="S29" s="6">
        <f t="shared" si="13"/>
        <v>0</v>
      </c>
      <c r="T29" s="100"/>
      <c r="U29" s="6">
        <f t="shared" si="14"/>
        <v>0</v>
      </c>
      <c r="V29" s="8">
        <f t="shared" si="19"/>
        <v>0.20445513490901485</v>
      </c>
      <c r="W29" s="8">
        <f t="shared" si="3"/>
        <v>43.444444444444443</v>
      </c>
      <c r="X29" s="8">
        <f t="shared" si="9"/>
        <v>43.444444444444443</v>
      </c>
      <c r="Y29" s="8" t="str">
        <f t="shared" si="11"/>
        <v/>
      </c>
      <c r="Z29" s="8" t="str">
        <f t="shared" si="10"/>
        <v/>
      </c>
      <c r="AA29" s="152"/>
      <c r="AB29" s="152"/>
      <c r="AC29" s="180"/>
      <c r="AD29" s="2"/>
      <c r="AE29" s="2"/>
      <c r="AF29" s="2"/>
      <c r="AG29" s="2"/>
      <c r="AH29" s="2"/>
      <c r="AI29" s="2"/>
      <c r="AJ29" s="2"/>
      <c r="AK29" s="2"/>
      <c r="AL29" s="2"/>
      <c r="AM29" s="2"/>
      <c r="AN29" s="2"/>
      <c r="AO29" s="2"/>
      <c r="AP29" s="2"/>
      <c r="AQ29" s="1"/>
      <c r="AR29" s="1"/>
      <c r="AS29" s="1"/>
      <c r="AT29" s="1"/>
      <c r="AU29" s="1"/>
      <c r="AV29" s="1"/>
      <c r="AW29" s="1"/>
      <c r="AX29" s="1"/>
      <c r="AY29" s="1"/>
      <c r="AZ29" s="1"/>
      <c r="BA29" s="1"/>
    </row>
    <row r="30" spans="1:53" ht="17.25" thickBot="1" x14ac:dyDescent="0.35">
      <c r="A30" s="147"/>
      <c r="B30" s="97">
        <v>43579</v>
      </c>
      <c r="C30" s="103">
        <v>116</v>
      </c>
      <c r="D30" s="103"/>
      <c r="E30" s="103"/>
      <c r="F30" s="150"/>
      <c r="G30" s="150"/>
      <c r="H30" s="100">
        <v>1015</v>
      </c>
      <c r="I30" s="6">
        <f t="shared" si="15"/>
        <v>5075</v>
      </c>
      <c r="J30" s="100"/>
      <c r="K30" s="6">
        <f t="shared" si="16"/>
        <v>0</v>
      </c>
      <c r="L30" s="100"/>
      <c r="M30" s="6">
        <f t="shared" si="17"/>
        <v>0</v>
      </c>
      <c r="N30" s="100"/>
      <c r="O30" s="6">
        <f t="shared" si="18"/>
        <v>0</v>
      </c>
      <c r="P30" s="100"/>
      <c r="Q30" s="6">
        <f t="shared" si="12"/>
        <v>0</v>
      </c>
      <c r="R30" s="100"/>
      <c r="S30" s="6">
        <f t="shared" si="13"/>
        <v>0</v>
      </c>
      <c r="T30" s="100"/>
      <c r="U30" s="6">
        <f t="shared" si="14"/>
        <v>0</v>
      </c>
      <c r="V30" s="8">
        <f t="shared" si="19"/>
        <v>0.17691556857003415</v>
      </c>
      <c r="W30" s="8">
        <f t="shared" si="3"/>
        <v>43.75</v>
      </c>
      <c r="X30" s="8">
        <f t="shared" si="9"/>
        <v>43.75</v>
      </c>
      <c r="Y30" s="8" t="str">
        <f t="shared" si="11"/>
        <v/>
      </c>
      <c r="Z30" s="8" t="str">
        <f t="shared" si="10"/>
        <v/>
      </c>
      <c r="AA30" s="152"/>
      <c r="AB30" s="152"/>
      <c r="AC30" s="180"/>
      <c r="AD30" s="2"/>
      <c r="AE30" s="2"/>
      <c r="AF30" s="2"/>
      <c r="AG30" s="2"/>
      <c r="AH30" s="2"/>
      <c r="AI30" s="2"/>
      <c r="AJ30" s="2"/>
      <c r="AK30" s="2"/>
      <c r="AL30" s="2"/>
      <c r="AM30" s="2"/>
      <c r="AN30" s="2"/>
      <c r="AO30" s="2"/>
      <c r="AP30" s="2"/>
      <c r="AQ30" s="1"/>
      <c r="AR30" s="1"/>
      <c r="AS30" s="1"/>
      <c r="AT30" s="1"/>
      <c r="AU30" s="1"/>
      <c r="AV30" s="1"/>
      <c r="AW30" s="1"/>
      <c r="AX30" s="1"/>
      <c r="AY30" s="1"/>
      <c r="AZ30" s="1"/>
      <c r="BA30" s="1"/>
    </row>
    <row r="31" spans="1:53" ht="17.25" thickBot="1" x14ac:dyDescent="0.35">
      <c r="A31" s="147"/>
      <c r="B31" s="97">
        <v>43580</v>
      </c>
      <c r="C31" s="103">
        <v>129</v>
      </c>
      <c r="D31" s="103"/>
      <c r="E31" s="103"/>
      <c r="F31" s="150"/>
      <c r="G31" s="150"/>
      <c r="H31" s="100">
        <v>1213</v>
      </c>
      <c r="I31" s="6">
        <f t="shared" si="15"/>
        <v>6065</v>
      </c>
      <c r="J31" s="100"/>
      <c r="K31" s="6">
        <f t="shared" si="16"/>
        <v>0</v>
      </c>
      <c r="L31" s="100"/>
      <c r="M31" s="6">
        <f t="shared" si="17"/>
        <v>0</v>
      </c>
      <c r="N31" s="100"/>
      <c r="O31" s="6">
        <f t="shared" si="18"/>
        <v>0</v>
      </c>
      <c r="P31" s="100"/>
      <c r="Q31" s="6">
        <f t="shared" si="12"/>
        <v>0</v>
      </c>
      <c r="R31" s="100"/>
      <c r="S31" s="6">
        <f t="shared" si="13"/>
        <v>0</v>
      </c>
      <c r="T31" s="100"/>
      <c r="U31" s="6">
        <f t="shared" si="14"/>
        <v>0</v>
      </c>
      <c r="V31" s="8">
        <f t="shared" si="19"/>
        <v>0.21142717702014921</v>
      </c>
      <c r="W31" s="8">
        <f t="shared" si="3"/>
        <v>47.015503875968989</v>
      </c>
      <c r="X31" s="8">
        <f t="shared" si="9"/>
        <v>47.015503875968989</v>
      </c>
      <c r="Y31" s="8" t="str">
        <f t="shared" si="11"/>
        <v/>
      </c>
      <c r="Z31" s="8" t="str">
        <f t="shared" si="10"/>
        <v/>
      </c>
      <c r="AA31" s="152"/>
      <c r="AB31" s="152"/>
      <c r="AC31" s="180"/>
      <c r="AD31" s="2"/>
      <c r="AE31" s="2"/>
      <c r="AF31" s="2"/>
      <c r="AG31" s="2"/>
      <c r="AH31" s="2"/>
      <c r="AI31" s="2"/>
      <c r="AJ31" s="2"/>
      <c r="AK31" s="2"/>
      <c r="AL31" s="2"/>
      <c r="AM31" s="2"/>
      <c r="AN31" s="2"/>
      <c r="AO31" s="2"/>
      <c r="AP31" s="2"/>
      <c r="AQ31" s="1"/>
      <c r="AR31" s="1"/>
      <c r="AS31" s="1"/>
      <c r="AT31" s="1"/>
      <c r="AU31" s="1"/>
      <c r="AV31" s="1"/>
      <c r="AW31" s="1"/>
      <c r="AX31" s="1"/>
      <c r="AY31" s="1"/>
      <c r="AZ31" s="1"/>
      <c r="BA31" s="1"/>
    </row>
    <row r="32" spans="1:53" ht="17.25" thickBot="1" x14ac:dyDescent="0.35">
      <c r="A32" s="147"/>
      <c r="B32" s="97">
        <v>43581</v>
      </c>
      <c r="C32" s="103">
        <v>149</v>
      </c>
      <c r="D32" s="103"/>
      <c r="E32" s="103"/>
      <c r="F32" s="150"/>
      <c r="G32" s="150"/>
      <c r="H32" s="100">
        <v>1281</v>
      </c>
      <c r="I32" s="6">
        <f t="shared" si="15"/>
        <v>6405</v>
      </c>
      <c r="J32" s="100"/>
      <c r="K32" s="6">
        <f t="shared" si="16"/>
        <v>0</v>
      </c>
      <c r="L32" s="100"/>
      <c r="M32" s="6">
        <f t="shared" si="17"/>
        <v>0</v>
      </c>
      <c r="N32" s="100"/>
      <c r="O32" s="6">
        <f t="shared" si="18"/>
        <v>0</v>
      </c>
      <c r="P32" s="100"/>
      <c r="Q32" s="6">
        <f t="shared" si="12"/>
        <v>0</v>
      </c>
      <c r="R32" s="100"/>
      <c r="S32" s="6">
        <f t="shared" si="13"/>
        <v>0</v>
      </c>
      <c r="T32" s="100"/>
      <c r="U32" s="6">
        <f t="shared" si="14"/>
        <v>0</v>
      </c>
      <c r="V32" s="8">
        <f t="shared" si="19"/>
        <v>0.22327964860907759</v>
      </c>
      <c r="W32" s="8">
        <f t="shared" si="3"/>
        <v>42.986577181208055</v>
      </c>
      <c r="X32" s="8">
        <f t="shared" si="9"/>
        <v>42.986577181208055</v>
      </c>
      <c r="Y32" s="8" t="str">
        <f t="shared" si="11"/>
        <v/>
      </c>
      <c r="Z32" s="8" t="str">
        <f t="shared" si="10"/>
        <v/>
      </c>
      <c r="AA32" s="152"/>
      <c r="AB32" s="152"/>
      <c r="AC32" s="180"/>
      <c r="AD32" s="2"/>
      <c r="AE32" s="2"/>
      <c r="AF32" s="2"/>
      <c r="AG32" s="2"/>
      <c r="AH32" s="2"/>
      <c r="AI32" s="2"/>
      <c r="AJ32" s="2"/>
      <c r="AK32" s="2"/>
      <c r="AL32" s="2"/>
      <c r="AM32" s="2"/>
      <c r="AN32" s="2"/>
      <c r="AO32" s="2"/>
      <c r="AP32" s="2"/>
      <c r="AQ32" s="1"/>
      <c r="AR32" s="1"/>
      <c r="AS32" s="1"/>
      <c r="AT32" s="1"/>
      <c r="AU32" s="1"/>
      <c r="AV32" s="1"/>
      <c r="AW32" s="1"/>
      <c r="AX32" s="1"/>
      <c r="AY32" s="1"/>
      <c r="AZ32" s="1"/>
      <c r="BA32" s="1"/>
    </row>
    <row r="33" spans="1:53" ht="17.25" thickBot="1" x14ac:dyDescent="0.35">
      <c r="A33" s="148"/>
      <c r="B33" s="98">
        <v>43582</v>
      </c>
      <c r="C33" s="104">
        <v>75</v>
      </c>
      <c r="D33" s="104"/>
      <c r="E33" s="104"/>
      <c r="F33" s="151"/>
      <c r="G33" s="151"/>
      <c r="H33" s="101">
        <v>526</v>
      </c>
      <c r="I33" s="37">
        <f t="shared" si="15"/>
        <v>2630</v>
      </c>
      <c r="J33" s="101"/>
      <c r="K33" s="37">
        <f t="shared" si="16"/>
        <v>0</v>
      </c>
      <c r="L33" s="101"/>
      <c r="M33" s="37">
        <f t="shared" si="17"/>
        <v>0</v>
      </c>
      <c r="N33" s="101"/>
      <c r="O33" s="37">
        <f t="shared" si="18"/>
        <v>0</v>
      </c>
      <c r="P33" s="101"/>
      <c r="Q33" s="37">
        <f t="shared" si="12"/>
        <v>0</v>
      </c>
      <c r="R33" s="101"/>
      <c r="S33" s="37">
        <f t="shared" si="13"/>
        <v>0</v>
      </c>
      <c r="T33" s="101"/>
      <c r="U33" s="37">
        <f t="shared" si="14"/>
        <v>0</v>
      </c>
      <c r="V33" s="36">
        <f t="shared" si="19"/>
        <v>9.1682353761416716E-2</v>
      </c>
      <c r="W33" s="36">
        <f t="shared" si="3"/>
        <v>35.06666666666667</v>
      </c>
      <c r="X33" s="36">
        <f t="shared" si="9"/>
        <v>35.06666666666667</v>
      </c>
      <c r="Y33" s="36" t="str">
        <f t="shared" si="11"/>
        <v/>
      </c>
      <c r="Z33" s="36" t="str">
        <f t="shared" si="10"/>
        <v/>
      </c>
      <c r="AA33" s="152"/>
      <c r="AB33" s="152"/>
      <c r="AC33" s="181"/>
      <c r="AD33" s="2"/>
      <c r="AE33" s="2"/>
      <c r="AF33" s="2"/>
      <c r="AG33" s="2"/>
      <c r="AH33" s="2"/>
      <c r="AI33" s="2"/>
      <c r="AJ33" s="2"/>
      <c r="AK33" s="2"/>
      <c r="AL33" s="2"/>
      <c r="AM33" s="2"/>
      <c r="AN33" s="2"/>
      <c r="AO33" s="2"/>
      <c r="AP33" s="2"/>
      <c r="AQ33" s="1"/>
      <c r="AR33" s="1"/>
      <c r="AS33" s="1"/>
      <c r="AT33" s="1"/>
      <c r="AU33" s="1"/>
      <c r="AV33" s="1"/>
      <c r="AW33" s="1"/>
      <c r="AX33" s="1"/>
      <c r="AY33" s="1"/>
      <c r="AZ33" s="1"/>
      <c r="BA33" s="1"/>
    </row>
    <row r="34" spans="1:53" ht="17.25" thickBot="1" x14ac:dyDescent="0.35">
      <c r="A34" s="146">
        <v>18</v>
      </c>
      <c r="B34" s="105">
        <v>43584</v>
      </c>
      <c r="C34" s="102">
        <v>150</v>
      </c>
      <c r="D34" s="102"/>
      <c r="E34" s="102"/>
      <c r="F34" s="149">
        <f t="shared" ref="F34" si="32">SUM(M34:M39,O34:O39,Q34:Q39,S34:S39,I34:I39,K34:K39)</f>
        <v>33930</v>
      </c>
      <c r="G34" s="149">
        <f t="shared" ref="G34" si="33">SUM(M34:M39,O34:O39,Q34:Q39,S34:S39,U34:U39,K34:K39,I34:I39)</f>
        <v>33930</v>
      </c>
      <c r="H34" s="99">
        <v>1100</v>
      </c>
      <c r="I34" s="38">
        <f t="shared" si="15"/>
        <v>5500</v>
      </c>
      <c r="J34" s="99"/>
      <c r="K34" s="38">
        <f t="shared" si="16"/>
        <v>0</v>
      </c>
      <c r="L34" s="99"/>
      <c r="M34" s="38">
        <f t="shared" si="17"/>
        <v>0</v>
      </c>
      <c r="N34" s="99"/>
      <c r="O34" s="38">
        <f t="shared" si="18"/>
        <v>0</v>
      </c>
      <c r="P34" s="99"/>
      <c r="Q34" s="38">
        <f t="shared" si="12"/>
        <v>0</v>
      </c>
      <c r="R34" s="99"/>
      <c r="S34" s="38">
        <f t="shared" si="13"/>
        <v>0</v>
      </c>
      <c r="T34" s="99"/>
      <c r="U34" s="38">
        <f t="shared" si="14"/>
        <v>0</v>
      </c>
      <c r="V34" s="34">
        <f t="shared" si="19"/>
        <v>0.19173115805619467</v>
      </c>
      <c r="W34" s="34">
        <f t="shared" si="3"/>
        <v>36.666666666666664</v>
      </c>
      <c r="X34" s="34">
        <f t="shared" si="9"/>
        <v>36.666666666666664</v>
      </c>
      <c r="Y34" s="34" t="str">
        <f t="shared" si="11"/>
        <v/>
      </c>
      <c r="Z34" s="34" t="str">
        <f t="shared" si="10"/>
        <v/>
      </c>
      <c r="AA34" s="152">
        <f>AVERAGE(W34:W39)</f>
        <v>35.254949652224859</v>
      </c>
      <c r="AB34" s="152">
        <f t="shared" ref="AB34" si="34">SUM(V34:V39)</f>
        <v>1.1828069441539428</v>
      </c>
      <c r="AC34" s="179">
        <v>1.112040716725929</v>
      </c>
      <c r="AD34" s="2"/>
      <c r="AE34" s="2"/>
      <c r="AF34" s="2"/>
      <c r="AG34" s="2"/>
      <c r="AH34" s="2"/>
      <c r="AI34" s="2"/>
      <c r="AJ34" s="2"/>
      <c r="AK34" s="2"/>
      <c r="AL34" s="2"/>
      <c r="AM34" s="2"/>
      <c r="AN34" s="2"/>
      <c r="AO34" s="2"/>
      <c r="AP34" s="2"/>
      <c r="AQ34" s="1"/>
      <c r="AR34" s="1"/>
      <c r="AS34" s="1"/>
      <c r="AT34" s="1"/>
      <c r="AU34" s="1"/>
      <c r="AV34" s="1"/>
      <c r="AW34" s="1"/>
      <c r="AX34" s="1"/>
      <c r="AY34" s="1"/>
      <c r="AZ34" s="1"/>
      <c r="BA34" s="1"/>
    </row>
    <row r="35" spans="1:53" ht="17.25" thickBot="1" x14ac:dyDescent="0.35">
      <c r="A35" s="147"/>
      <c r="B35" s="97">
        <v>43585</v>
      </c>
      <c r="C35" s="103">
        <v>150</v>
      </c>
      <c r="D35" s="103"/>
      <c r="E35" s="103"/>
      <c r="F35" s="150"/>
      <c r="G35" s="150"/>
      <c r="H35" s="100">
        <v>1023</v>
      </c>
      <c r="I35" s="6">
        <f t="shared" si="15"/>
        <v>5115</v>
      </c>
      <c r="J35" s="100"/>
      <c r="K35" s="6">
        <f t="shared" si="16"/>
        <v>0</v>
      </c>
      <c r="L35" s="100"/>
      <c r="M35" s="6">
        <f t="shared" si="17"/>
        <v>0</v>
      </c>
      <c r="N35" s="100"/>
      <c r="O35" s="6">
        <f t="shared" si="18"/>
        <v>0</v>
      </c>
      <c r="P35" s="100"/>
      <c r="Q35" s="6">
        <f t="shared" si="12"/>
        <v>0</v>
      </c>
      <c r="R35" s="100"/>
      <c r="S35" s="6">
        <f t="shared" si="13"/>
        <v>0</v>
      </c>
      <c r="T35" s="100"/>
      <c r="U35" s="6">
        <f t="shared" si="14"/>
        <v>0</v>
      </c>
      <c r="V35" s="8">
        <f t="shared" si="19"/>
        <v>0.17830997699226103</v>
      </c>
      <c r="W35" s="8">
        <f t="shared" si="3"/>
        <v>34.1</v>
      </c>
      <c r="X35" s="8">
        <f t="shared" si="9"/>
        <v>34.1</v>
      </c>
      <c r="Y35" s="8" t="str">
        <f t="shared" si="11"/>
        <v/>
      </c>
      <c r="Z35" s="8" t="str">
        <f t="shared" si="10"/>
        <v/>
      </c>
      <c r="AA35" s="152"/>
      <c r="AB35" s="152"/>
      <c r="AC35" s="180"/>
      <c r="AD35" s="2"/>
      <c r="AE35" s="2"/>
      <c r="AF35" s="2"/>
      <c r="AG35" s="2"/>
      <c r="AH35" s="2"/>
      <c r="AI35" s="2"/>
      <c r="AJ35" s="2"/>
      <c r="AK35" s="2"/>
      <c r="AL35" s="2"/>
      <c r="AM35" s="2"/>
      <c r="AN35" s="2"/>
      <c r="AO35" s="2"/>
      <c r="AP35" s="2"/>
      <c r="AQ35" s="1"/>
      <c r="AR35" s="1"/>
      <c r="AS35" s="1"/>
      <c r="AT35" s="1"/>
      <c r="AU35" s="1"/>
      <c r="AV35" s="1"/>
      <c r="AW35" s="1"/>
      <c r="AX35" s="1"/>
      <c r="AY35" s="1"/>
      <c r="AZ35" s="1"/>
      <c r="BA35" s="1"/>
    </row>
    <row r="36" spans="1:53" ht="17.25" thickBot="1" x14ac:dyDescent="0.35">
      <c r="A36" s="147"/>
      <c r="B36" s="97">
        <v>43586</v>
      </c>
      <c r="C36" s="103">
        <v>70</v>
      </c>
      <c r="D36" s="103"/>
      <c r="E36" s="103"/>
      <c r="F36" s="150"/>
      <c r="G36" s="150"/>
      <c r="H36" s="100">
        <v>464</v>
      </c>
      <c r="I36" s="6">
        <f t="shared" si="15"/>
        <v>2320</v>
      </c>
      <c r="J36" s="100"/>
      <c r="K36" s="6">
        <f t="shared" si="16"/>
        <v>0</v>
      </c>
      <c r="L36" s="100"/>
      <c r="M36" s="6">
        <f t="shared" si="17"/>
        <v>0</v>
      </c>
      <c r="N36" s="100"/>
      <c r="O36" s="6">
        <f t="shared" si="18"/>
        <v>0</v>
      </c>
      <c r="P36" s="100"/>
      <c r="Q36" s="6">
        <f t="shared" si="12"/>
        <v>0</v>
      </c>
      <c r="R36" s="100"/>
      <c r="S36" s="6">
        <f t="shared" si="13"/>
        <v>0</v>
      </c>
      <c r="T36" s="100"/>
      <c r="U36" s="6">
        <f t="shared" si="14"/>
        <v>0</v>
      </c>
      <c r="V36" s="8">
        <f t="shared" si="19"/>
        <v>8.0875688489158479E-2</v>
      </c>
      <c r="W36" s="8">
        <f t="shared" si="3"/>
        <v>33.142857142857146</v>
      </c>
      <c r="X36" s="8">
        <f t="shared" si="9"/>
        <v>33.142857142857146</v>
      </c>
      <c r="Y36" s="8" t="str">
        <f t="shared" si="11"/>
        <v/>
      </c>
      <c r="Z36" s="8" t="str">
        <f t="shared" si="10"/>
        <v/>
      </c>
      <c r="AA36" s="152"/>
      <c r="AB36" s="152"/>
      <c r="AC36" s="180"/>
      <c r="AD36" s="2"/>
      <c r="AE36" s="2"/>
      <c r="AF36" s="2"/>
      <c r="AG36" s="2"/>
      <c r="AH36" s="2"/>
      <c r="AI36" s="2"/>
      <c r="AJ36" s="2"/>
      <c r="AK36" s="2"/>
      <c r="AL36" s="2"/>
      <c r="AM36" s="2"/>
      <c r="AN36" s="2"/>
      <c r="AO36" s="2"/>
      <c r="AP36" s="2"/>
      <c r="AQ36" s="1"/>
      <c r="AR36" s="1"/>
      <c r="AS36" s="1"/>
      <c r="AT36" s="1"/>
      <c r="AU36" s="1"/>
      <c r="AV36" s="1"/>
      <c r="AW36" s="1"/>
      <c r="AX36" s="1"/>
      <c r="AY36" s="1"/>
      <c r="AZ36" s="1"/>
      <c r="BA36" s="1"/>
    </row>
    <row r="37" spans="1:53" ht="17.25" thickBot="1" x14ac:dyDescent="0.35">
      <c r="A37" s="147"/>
      <c r="B37" s="97">
        <v>43587</v>
      </c>
      <c r="C37" s="103">
        <v>192.5</v>
      </c>
      <c r="D37" s="103"/>
      <c r="E37" s="103"/>
      <c r="F37" s="150"/>
      <c r="G37" s="150"/>
      <c r="H37" s="100">
        <v>1244</v>
      </c>
      <c r="I37" s="6">
        <f t="shared" si="15"/>
        <v>6220</v>
      </c>
      <c r="J37" s="100"/>
      <c r="K37" s="6">
        <f t="shared" si="16"/>
        <v>0</v>
      </c>
      <c r="L37" s="100"/>
      <c r="M37" s="6">
        <f t="shared" si="17"/>
        <v>0</v>
      </c>
      <c r="N37" s="100"/>
      <c r="O37" s="6">
        <f t="shared" si="18"/>
        <v>0</v>
      </c>
      <c r="P37" s="100"/>
      <c r="Q37" s="6">
        <f t="shared" si="12"/>
        <v>0</v>
      </c>
      <c r="R37" s="100"/>
      <c r="S37" s="6">
        <f t="shared" si="13"/>
        <v>0</v>
      </c>
      <c r="T37" s="100"/>
      <c r="U37" s="6">
        <f t="shared" si="14"/>
        <v>0</v>
      </c>
      <c r="V37" s="8">
        <f t="shared" si="19"/>
        <v>0.21683050965627831</v>
      </c>
      <c r="W37" s="8">
        <f t="shared" si="3"/>
        <v>32.311688311688314</v>
      </c>
      <c r="X37" s="8">
        <f t="shared" si="9"/>
        <v>32.311688311688314</v>
      </c>
      <c r="Y37" s="8" t="str">
        <f t="shared" si="11"/>
        <v/>
      </c>
      <c r="Z37" s="8" t="str">
        <f t="shared" si="10"/>
        <v/>
      </c>
      <c r="AA37" s="152"/>
      <c r="AB37" s="152"/>
      <c r="AC37" s="180"/>
      <c r="AD37" s="2"/>
      <c r="AE37" s="2"/>
      <c r="AF37" s="2"/>
      <c r="AG37" s="2"/>
      <c r="AH37" s="2"/>
      <c r="AI37" s="2"/>
      <c r="AJ37" s="2"/>
      <c r="AK37" s="2"/>
      <c r="AL37" s="2"/>
      <c r="AM37" s="2"/>
      <c r="AN37" s="2"/>
      <c r="AO37" s="2"/>
      <c r="AP37" s="2"/>
      <c r="AQ37" s="1"/>
      <c r="AR37" s="1"/>
      <c r="AS37" s="1"/>
      <c r="AT37" s="1"/>
      <c r="AU37" s="1"/>
      <c r="AV37" s="1"/>
      <c r="AW37" s="1"/>
      <c r="AX37" s="1"/>
      <c r="AY37" s="1"/>
      <c r="AZ37" s="1"/>
      <c r="BA37" s="1"/>
    </row>
    <row r="38" spans="1:53" ht="17.25" thickBot="1" x14ac:dyDescent="0.35">
      <c r="A38" s="147"/>
      <c r="B38" s="97">
        <v>43588</v>
      </c>
      <c r="C38" s="103">
        <v>210</v>
      </c>
      <c r="D38" s="103"/>
      <c r="E38" s="103"/>
      <c r="F38" s="150"/>
      <c r="G38" s="150"/>
      <c r="H38" s="100">
        <v>1515</v>
      </c>
      <c r="I38" s="6">
        <f t="shared" si="15"/>
        <v>7575</v>
      </c>
      <c r="J38" s="100"/>
      <c r="K38" s="6">
        <f t="shared" si="16"/>
        <v>0</v>
      </c>
      <c r="L38" s="100"/>
      <c r="M38" s="6">
        <f t="shared" si="17"/>
        <v>0</v>
      </c>
      <c r="N38" s="100"/>
      <c r="O38" s="6">
        <f t="shared" si="18"/>
        <v>0</v>
      </c>
      <c r="P38" s="100"/>
      <c r="Q38" s="6">
        <f t="shared" si="12"/>
        <v>0</v>
      </c>
      <c r="R38" s="100"/>
      <c r="S38" s="6">
        <f t="shared" si="13"/>
        <v>0</v>
      </c>
      <c r="T38" s="100"/>
      <c r="U38" s="6">
        <f t="shared" si="14"/>
        <v>0</v>
      </c>
      <c r="V38" s="8">
        <f t="shared" si="19"/>
        <v>0.26406609495921357</v>
      </c>
      <c r="W38" s="8">
        <f t="shared" si="3"/>
        <v>36.071428571428569</v>
      </c>
      <c r="X38" s="8">
        <f t="shared" si="9"/>
        <v>36.071428571428569</v>
      </c>
      <c r="Y38" s="8" t="str">
        <f t="shared" si="11"/>
        <v/>
      </c>
      <c r="Z38" s="8" t="str">
        <f t="shared" si="10"/>
        <v/>
      </c>
      <c r="AA38" s="152"/>
      <c r="AB38" s="152"/>
      <c r="AC38" s="180"/>
      <c r="AD38" s="2"/>
      <c r="AE38" s="2"/>
      <c r="AF38" s="2"/>
      <c r="AG38" s="2"/>
      <c r="AH38" s="2"/>
      <c r="AI38" s="2"/>
      <c r="AJ38" s="2"/>
      <c r="AK38" s="2"/>
      <c r="AL38" s="2"/>
      <c r="AM38" s="2"/>
      <c r="AN38" s="2"/>
      <c r="AO38" s="2"/>
      <c r="AP38" s="2"/>
      <c r="AQ38" s="1"/>
      <c r="AR38" s="1"/>
      <c r="AS38" s="1"/>
      <c r="AT38" s="1"/>
      <c r="AU38" s="1"/>
      <c r="AV38" s="1"/>
      <c r="AW38" s="1"/>
      <c r="AX38" s="1"/>
      <c r="AY38" s="1"/>
      <c r="AZ38" s="1"/>
      <c r="BA38" s="1"/>
    </row>
    <row r="39" spans="1:53" ht="17.25" thickBot="1" x14ac:dyDescent="0.35">
      <c r="A39" s="148"/>
      <c r="B39" s="98">
        <v>43589</v>
      </c>
      <c r="C39" s="104">
        <v>183.5</v>
      </c>
      <c r="D39" s="104"/>
      <c r="E39" s="104"/>
      <c r="F39" s="151"/>
      <c r="G39" s="151"/>
      <c r="H39" s="101">
        <v>1440</v>
      </c>
      <c r="I39" s="39">
        <f t="shared" si="15"/>
        <v>7200</v>
      </c>
      <c r="J39" s="101"/>
      <c r="K39" s="39">
        <f t="shared" si="16"/>
        <v>0</v>
      </c>
      <c r="L39" s="101"/>
      <c r="M39" s="39">
        <f t="shared" si="17"/>
        <v>0</v>
      </c>
      <c r="N39" s="101"/>
      <c r="O39" s="39">
        <f t="shared" si="18"/>
        <v>0</v>
      </c>
      <c r="P39" s="101"/>
      <c r="Q39" s="39">
        <f t="shared" si="12"/>
        <v>0</v>
      </c>
      <c r="R39" s="101"/>
      <c r="S39" s="39">
        <f t="shared" si="13"/>
        <v>0</v>
      </c>
      <c r="T39" s="101"/>
      <c r="U39" s="39">
        <f t="shared" si="14"/>
        <v>0</v>
      </c>
      <c r="V39" s="36">
        <f t="shared" si="19"/>
        <v>0.25099351600083664</v>
      </c>
      <c r="W39" s="36">
        <f t="shared" si="3"/>
        <v>39.237057220708444</v>
      </c>
      <c r="X39" s="36">
        <f t="shared" si="9"/>
        <v>39.237057220708444</v>
      </c>
      <c r="Y39" s="36" t="str">
        <f t="shared" si="11"/>
        <v/>
      </c>
      <c r="Z39" s="36" t="str">
        <f t="shared" si="10"/>
        <v/>
      </c>
      <c r="AA39" s="152"/>
      <c r="AB39" s="152"/>
      <c r="AC39" s="181"/>
      <c r="AD39" s="2"/>
      <c r="AE39" s="2"/>
      <c r="AF39" s="2"/>
      <c r="AG39" s="2"/>
      <c r="AH39" s="2"/>
      <c r="AI39" s="2"/>
      <c r="AJ39" s="2"/>
      <c r="AK39" s="2"/>
      <c r="AL39" s="2"/>
      <c r="AM39" s="2"/>
      <c r="AN39" s="2"/>
      <c r="AO39" s="2"/>
      <c r="AP39" s="2"/>
      <c r="AQ39" s="1"/>
      <c r="AR39" s="1"/>
      <c r="AS39" s="1"/>
      <c r="AT39" s="1"/>
      <c r="AU39" s="1"/>
      <c r="AV39" s="1"/>
      <c r="AW39" s="1"/>
      <c r="AX39" s="1"/>
      <c r="AY39" s="1"/>
      <c r="AZ39" s="1"/>
      <c r="BA39" s="1"/>
    </row>
    <row r="40" spans="1:53" ht="17.25" thickBot="1" x14ac:dyDescent="0.35">
      <c r="A40" s="147">
        <v>19</v>
      </c>
      <c r="B40" s="105">
        <v>43591</v>
      </c>
      <c r="C40" s="102">
        <v>141.5</v>
      </c>
      <c r="D40" s="102"/>
      <c r="E40" s="102"/>
      <c r="F40" s="149">
        <f t="shared" ref="F40" si="35">SUM(M40:M45,O40:O45,Q40:Q45,S40:S45,I40:I45,K40:K45)</f>
        <v>29990</v>
      </c>
      <c r="G40" s="149">
        <f t="shared" ref="G40" si="36">SUM(M40:M45,O40:O45,Q40:Q45,S40:S45,U40:U45,K40:K45,I40:I45)</f>
        <v>29990</v>
      </c>
      <c r="H40" s="99">
        <v>1140</v>
      </c>
      <c r="I40" s="7">
        <f t="shared" si="15"/>
        <v>5700</v>
      </c>
      <c r="J40" s="99"/>
      <c r="K40" s="7">
        <f t="shared" si="16"/>
        <v>0</v>
      </c>
      <c r="L40" s="99"/>
      <c r="M40" s="7">
        <f t="shared" si="17"/>
        <v>0</v>
      </c>
      <c r="N40" s="99"/>
      <c r="O40" s="7">
        <f t="shared" si="18"/>
        <v>0</v>
      </c>
      <c r="P40" s="99"/>
      <c r="Q40" s="7">
        <f t="shared" si="12"/>
        <v>0</v>
      </c>
      <c r="R40" s="99"/>
      <c r="S40" s="7">
        <f t="shared" si="13"/>
        <v>0</v>
      </c>
      <c r="T40" s="99"/>
      <c r="U40" s="7">
        <f t="shared" si="14"/>
        <v>0</v>
      </c>
      <c r="V40" s="8">
        <f t="shared" si="19"/>
        <v>0.19870320016732901</v>
      </c>
      <c r="W40" s="8">
        <f t="shared" si="3"/>
        <v>40.282685512367493</v>
      </c>
      <c r="X40" s="8">
        <f t="shared" si="9"/>
        <v>40.282685512367493</v>
      </c>
      <c r="Y40" s="8" t="str">
        <f t="shared" si="11"/>
        <v/>
      </c>
      <c r="Z40" s="8" t="str">
        <f t="shared" si="10"/>
        <v/>
      </c>
      <c r="AA40" s="152">
        <f t="shared" ref="AA40" si="37">AVERAGE(W40:W45)</f>
        <v>31.549825621660915</v>
      </c>
      <c r="AB40" s="152">
        <f t="shared" ref="AB40" si="38">SUM(V40:V45)</f>
        <v>1.045457714564596</v>
      </c>
      <c r="AC40" s="179">
        <v>1.0304678240256571</v>
      </c>
      <c r="AD40" s="2"/>
      <c r="AE40" s="2"/>
      <c r="AF40" s="2"/>
      <c r="AG40" s="2"/>
      <c r="AH40" s="2"/>
      <c r="AI40" s="2"/>
      <c r="AJ40" s="2"/>
      <c r="AK40" s="2"/>
      <c r="AL40" s="2"/>
      <c r="AM40" s="2"/>
      <c r="AN40" s="2"/>
      <c r="AO40" s="1"/>
      <c r="AP40" s="1"/>
      <c r="AQ40" s="1"/>
      <c r="AR40" s="1"/>
      <c r="AS40" s="1"/>
      <c r="AT40" s="1"/>
      <c r="AU40" s="1"/>
      <c r="AV40" s="1"/>
      <c r="AW40" s="1"/>
      <c r="AX40" s="1"/>
      <c r="AY40" s="1"/>
    </row>
    <row r="41" spans="1:53" ht="17.25" thickBot="1" x14ac:dyDescent="0.35">
      <c r="A41" s="147"/>
      <c r="B41" s="97">
        <v>43592</v>
      </c>
      <c r="C41" s="103">
        <v>164.5</v>
      </c>
      <c r="D41" s="103"/>
      <c r="E41" s="103"/>
      <c r="F41" s="150"/>
      <c r="G41" s="150"/>
      <c r="H41" s="100">
        <v>1373</v>
      </c>
      <c r="I41" s="7">
        <f t="shared" si="15"/>
        <v>6865</v>
      </c>
      <c r="J41" s="100"/>
      <c r="K41" s="7">
        <f t="shared" si="16"/>
        <v>0</v>
      </c>
      <c r="L41" s="100"/>
      <c r="M41" s="7">
        <f t="shared" si="17"/>
        <v>0</v>
      </c>
      <c r="N41" s="100"/>
      <c r="O41" s="7">
        <f t="shared" si="18"/>
        <v>0</v>
      </c>
      <c r="P41" s="100"/>
      <c r="Q41" s="7">
        <f t="shared" si="12"/>
        <v>0</v>
      </c>
      <c r="R41" s="100"/>
      <c r="S41" s="7">
        <f t="shared" si="13"/>
        <v>0</v>
      </c>
      <c r="T41" s="100"/>
      <c r="U41" s="7">
        <f t="shared" si="14"/>
        <v>0</v>
      </c>
      <c r="V41" s="8">
        <f t="shared" si="19"/>
        <v>0.23931534546468661</v>
      </c>
      <c r="W41" s="8">
        <f t="shared" si="3"/>
        <v>41.732522796352583</v>
      </c>
      <c r="X41" s="8">
        <f t="shared" si="9"/>
        <v>41.732522796352583</v>
      </c>
      <c r="Y41" s="8" t="str">
        <f t="shared" si="11"/>
        <v/>
      </c>
      <c r="Z41" s="8" t="str">
        <f t="shared" si="10"/>
        <v/>
      </c>
      <c r="AA41" s="152"/>
      <c r="AB41" s="152"/>
      <c r="AC41" s="180"/>
      <c r="AD41" s="2"/>
      <c r="AE41" s="2"/>
      <c r="AF41" s="2"/>
      <c r="AG41" s="2"/>
      <c r="AH41" s="2"/>
      <c r="AI41" s="2"/>
      <c r="AJ41" s="2"/>
      <c r="AK41" s="2"/>
      <c r="AL41" s="2"/>
      <c r="AM41" s="2"/>
      <c r="AN41" s="2"/>
      <c r="AO41" s="1"/>
      <c r="AP41" s="1"/>
      <c r="AQ41" s="1"/>
      <c r="AR41" s="1"/>
      <c r="AS41" s="1"/>
      <c r="AT41" s="1"/>
      <c r="AU41" s="1"/>
      <c r="AV41" s="1"/>
      <c r="AW41" s="1"/>
      <c r="AX41" s="1"/>
      <c r="AY41" s="1"/>
    </row>
    <row r="42" spans="1:53" ht="17.25" thickBot="1" x14ac:dyDescent="0.35">
      <c r="A42" s="147"/>
      <c r="B42" s="97">
        <v>43593</v>
      </c>
      <c r="C42" s="103">
        <v>175</v>
      </c>
      <c r="D42" s="103"/>
      <c r="E42" s="103"/>
      <c r="F42" s="150"/>
      <c r="G42" s="150"/>
      <c r="H42" s="100">
        <v>1033</v>
      </c>
      <c r="I42" s="7">
        <f t="shared" si="15"/>
        <v>5165</v>
      </c>
      <c r="J42" s="100"/>
      <c r="K42" s="7">
        <f t="shared" si="16"/>
        <v>0</v>
      </c>
      <c r="L42" s="100"/>
      <c r="M42" s="7">
        <f t="shared" si="17"/>
        <v>0</v>
      </c>
      <c r="N42" s="100"/>
      <c r="O42" s="7">
        <f t="shared" si="18"/>
        <v>0</v>
      </c>
      <c r="P42" s="100"/>
      <c r="Q42" s="7">
        <f t="shared" si="12"/>
        <v>0</v>
      </c>
      <c r="R42" s="100"/>
      <c r="S42" s="7">
        <f t="shared" si="13"/>
        <v>0</v>
      </c>
      <c r="T42" s="100"/>
      <c r="U42" s="7">
        <f t="shared" si="14"/>
        <v>0</v>
      </c>
      <c r="V42" s="8">
        <f t="shared" si="19"/>
        <v>0.18005298752004462</v>
      </c>
      <c r="W42" s="8">
        <f t="shared" si="3"/>
        <v>29.514285714285716</v>
      </c>
      <c r="X42" s="8">
        <f t="shared" si="9"/>
        <v>29.514285714285716</v>
      </c>
      <c r="Y42" s="8" t="str">
        <f t="shared" si="11"/>
        <v/>
      </c>
      <c r="Z42" s="8" t="str">
        <f t="shared" si="10"/>
        <v/>
      </c>
      <c r="AA42" s="152"/>
      <c r="AB42" s="152"/>
      <c r="AC42" s="180"/>
      <c r="AD42" s="2"/>
      <c r="AE42" s="2"/>
      <c r="AF42" s="2"/>
      <c r="AG42" s="2"/>
      <c r="AH42" s="2"/>
      <c r="AI42" s="2"/>
      <c r="AJ42" s="2"/>
      <c r="AK42" s="2"/>
      <c r="AL42" s="2"/>
      <c r="AM42" s="2"/>
      <c r="AN42" s="2"/>
      <c r="AO42" s="1"/>
      <c r="AP42" s="1"/>
      <c r="AQ42" s="1"/>
      <c r="AR42" s="1"/>
      <c r="AS42" s="1"/>
      <c r="AT42" s="1"/>
      <c r="AU42" s="1"/>
      <c r="AV42" s="1"/>
      <c r="AW42" s="1"/>
      <c r="AX42" s="1"/>
      <c r="AY42" s="1"/>
    </row>
    <row r="43" spans="1:53" ht="17.25" thickBot="1" x14ac:dyDescent="0.35">
      <c r="A43" s="147"/>
      <c r="B43" s="97">
        <v>43594</v>
      </c>
      <c r="C43" s="103">
        <v>195</v>
      </c>
      <c r="D43" s="103"/>
      <c r="E43" s="103"/>
      <c r="F43" s="150"/>
      <c r="G43" s="150"/>
      <c r="H43" s="100">
        <v>932</v>
      </c>
      <c r="I43" s="7">
        <f t="shared" si="15"/>
        <v>4660</v>
      </c>
      <c r="J43" s="100"/>
      <c r="K43" s="7">
        <f t="shared" si="16"/>
        <v>0</v>
      </c>
      <c r="L43" s="100"/>
      <c r="M43" s="7">
        <f t="shared" si="17"/>
        <v>0</v>
      </c>
      <c r="N43" s="100"/>
      <c r="O43" s="7">
        <f t="shared" si="18"/>
        <v>0</v>
      </c>
      <c r="P43" s="100"/>
      <c r="Q43" s="7">
        <f t="shared" si="12"/>
        <v>0</v>
      </c>
      <c r="R43" s="100"/>
      <c r="S43" s="7">
        <f t="shared" si="13"/>
        <v>0</v>
      </c>
      <c r="T43" s="100"/>
      <c r="U43" s="7">
        <f t="shared" si="14"/>
        <v>0</v>
      </c>
      <c r="V43" s="8">
        <f t="shared" si="19"/>
        <v>0.1624485811894304</v>
      </c>
      <c r="W43" s="8">
        <f t="shared" si="3"/>
        <v>23.897435897435898</v>
      </c>
      <c r="X43" s="8">
        <f t="shared" si="9"/>
        <v>23.897435897435898</v>
      </c>
      <c r="Y43" s="8" t="str">
        <f t="shared" si="11"/>
        <v/>
      </c>
      <c r="Z43" s="8" t="str">
        <f t="shared" si="10"/>
        <v/>
      </c>
      <c r="AA43" s="152"/>
      <c r="AB43" s="152"/>
      <c r="AC43" s="180"/>
      <c r="AD43" s="2"/>
      <c r="AE43" s="2"/>
      <c r="AF43" s="2"/>
      <c r="AG43" s="2"/>
      <c r="AH43" s="2"/>
      <c r="AI43" s="2"/>
      <c r="AJ43" s="2"/>
      <c r="AK43" s="2"/>
      <c r="AL43" s="2"/>
      <c r="AM43" s="2"/>
      <c r="AN43" s="2"/>
      <c r="AO43" s="1"/>
      <c r="AP43" s="1"/>
      <c r="AQ43" s="1"/>
      <c r="AR43" s="1"/>
      <c r="AS43" s="1"/>
      <c r="AT43" s="1"/>
      <c r="AU43" s="1"/>
      <c r="AV43" s="1"/>
      <c r="AW43" s="1"/>
      <c r="AX43" s="1"/>
      <c r="AY43" s="1"/>
    </row>
    <row r="44" spans="1:53" ht="17.25" thickBot="1" x14ac:dyDescent="0.35">
      <c r="A44" s="147"/>
      <c r="B44" s="97">
        <v>43595</v>
      </c>
      <c r="C44" s="103">
        <v>210</v>
      </c>
      <c r="D44" s="103"/>
      <c r="E44" s="103"/>
      <c r="F44" s="150"/>
      <c r="G44" s="150"/>
      <c r="H44" s="100">
        <v>1063</v>
      </c>
      <c r="I44" s="7">
        <f t="shared" si="15"/>
        <v>5315</v>
      </c>
      <c r="J44" s="100"/>
      <c r="K44" s="7">
        <f t="shared" si="16"/>
        <v>0</v>
      </c>
      <c r="L44" s="100"/>
      <c r="M44" s="7">
        <f t="shared" si="17"/>
        <v>0</v>
      </c>
      <c r="N44" s="100"/>
      <c r="O44" s="7">
        <f t="shared" si="18"/>
        <v>0</v>
      </c>
      <c r="P44" s="100"/>
      <c r="Q44" s="7">
        <f t="shared" si="12"/>
        <v>0</v>
      </c>
      <c r="R44" s="100"/>
      <c r="S44" s="7">
        <f t="shared" si="13"/>
        <v>0</v>
      </c>
      <c r="T44" s="100"/>
      <c r="U44" s="7">
        <f t="shared" si="14"/>
        <v>0</v>
      </c>
      <c r="V44" s="8">
        <f t="shared" si="19"/>
        <v>0.1852820191033954</v>
      </c>
      <c r="W44" s="8">
        <f t="shared" si="3"/>
        <v>25.30952380952381</v>
      </c>
      <c r="X44" s="8">
        <f t="shared" si="9"/>
        <v>25.30952380952381</v>
      </c>
      <c r="Y44" s="8" t="str">
        <f t="shared" si="11"/>
        <v/>
      </c>
      <c r="Z44" s="8" t="str">
        <f t="shared" si="10"/>
        <v/>
      </c>
      <c r="AA44" s="152"/>
      <c r="AB44" s="152"/>
      <c r="AC44" s="180"/>
      <c r="AD44" s="2"/>
      <c r="AE44" s="2"/>
      <c r="AF44" s="2"/>
      <c r="AG44" s="2"/>
      <c r="AH44" s="2"/>
      <c r="AI44" s="2"/>
      <c r="AJ44" s="2"/>
      <c r="AK44" s="2"/>
      <c r="AL44" s="2"/>
      <c r="AM44" s="2"/>
      <c r="AN44" s="2"/>
      <c r="AO44" s="1"/>
      <c r="AP44" s="1"/>
      <c r="AQ44" s="1"/>
      <c r="AR44" s="1"/>
      <c r="AS44" s="1"/>
      <c r="AT44" s="1"/>
      <c r="AU44" s="1"/>
      <c r="AV44" s="1"/>
      <c r="AW44" s="1"/>
      <c r="AX44" s="1"/>
      <c r="AY44" s="1"/>
    </row>
    <row r="45" spans="1:53" ht="17.25" thickBot="1" x14ac:dyDescent="0.35">
      <c r="A45" s="147"/>
      <c r="B45" s="98">
        <v>43596</v>
      </c>
      <c r="C45" s="104">
        <v>80</v>
      </c>
      <c r="D45" s="104"/>
      <c r="E45" s="104"/>
      <c r="F45" s="151"/>
      <c r="G45" s="151"/>
      <c r="H45" s="101">
        <v>457</v>
      </c>
      <c r="I45" s="7">
        <f t="shared" si="15"/>
        <v>2285</v>
      </c>
      <c r="J45" s="101"/>
      <c r="K45" s="7">
        <f t="shared" si="16"/>
        <v>0</v>
      </c>
      <c r="L45" s="101"/>
      <c r="M45" s="7">
        <f t="shared" si="17"/>
        <v>0</v>
      </c>
      <c r="N45" s="101"/>
      <c r="O45" s="7">
        <f t="shared" si="18"/>
        <v>0</v>
      </c>
      <c r="P45" s="101"/>
      <c r="Q45" s="7">
        <f t="shared" si="12"/>
        <v>0</v>
      </c>
      <c r="R45" s="101"/>
      <c r="S45" s="7">
        <f t="shared" si="13"/>
        <v>0</v>
      </c>
      <c r="T45" s="101"/>
      <c r="U45" s="7">
        <f t="shared" si="14"/>
        <v>0</v>
      </c>
      <c r="V45" s="8">
        <f t="shared" si="19"/>
        <v>7.9655581119709967E-2</v>
      </c>
      <c r="W45" s="8">
        <f t="shared" si="3"/>
        <v>28.5625</v>
      </c>
      <c r="X45" s="8">
        <f t="shared" si="9"/>
        <v>28.5625</v>
      </c>
      <c r="Y45" s="8" t="str">
        <f t="shared" si="11"/>
        <v/>
      </c>
      <c r="Z45" s="8" t="str">
        <f t="shared" si="10"/>
        <v/>
      </c>
      <c r="AA45" s="152"/>
      <c r="AB45" s="152"/>
      <c r="AC45" s="181"/>
      <c r="AD45" s="2"/>
      <c r="AE45" s="2"/>
      <c r="AF45" s="2"/>
      <c r="AG45" s="2"/>
      <c r="AH45" s="2"/>
      <c r="AI45" s="2"/>
      <c r="AJ45" s="2"/>
      <c r="AK45" s="2"/>
      <c r="AL45" s="2"/>
      <c r="AM45" s="2"/>
      <c r="AN45" s="2"/>
      <c r="AO45" s="1"/>
      <c r="AP45" s="1"/>
      <c r="AQ45" s="1"/>
      <c r="AR45" s="1"/>
      <c r="AS45" s="1"/>
      <c r="AT45" s="1"/>
      <c r="AU45" s="1"/>
      <c r="AV45" s="1"/>
      <c r="AW45" s="1"/>
      <c r="AX45" s="1"/>
      <c r="AY45" s="1"/>
    </row>
    <row r="46" spans="1:53" ht="17.25" thickBot="1" x14ac:dyDescent="0.35">
      <c r="A46" s="146">
        <v>20</v>
      </c>
      <c r="B46" s="105">
        <v>43598</v>
      </c>
      <c r="C46" s="102">
        <v>190</v>
      </c>
      <c r="D46" s="102"/>
      <c r="E46" s="102"/>
      <c r="F46" s="149">
        <f t="shared" ref="F46" si="39">SUM(M46:M51,O46:O51,Q46:Q51,S46:S51,I46:I51,K46:K51)</f>
        <v>31570</v>
      </c>
      <c r="G46" s="149">
        <f t="shared" ref="G46" si="40">SUM(M46:M51,O46:O51,Q46:Q51,S46:S51,U46:U51,K46:K51,I46:I51)</f>
        <v>31570</v>
      </c>
      <c r="H46" s="99">
        <v>1142</v>
      </c>
      <c r="I46" s="40">
        <f t="shared" si="15"/>
        <v>5710</v>
      </c>
      <c r="J46" s="99"/>
      <c r="K46" s="40">
        <f t="shared" si="16"/>
        <v>0</v>
      </c>
      <c r="L46" s="99"/>
      <c r="M46" s="40">
        <f t="shared" si="17"/>
        <v>0</v>
      </c>
      <c r="N46" s="99"/>
      <c r="O46" s="40">
        <f t="shared" si="18"/>
        <v>0</v>
      </c>
      <c r="P46" s="99"/>
      <c r="Q46" s="40">
        <f t="shared" si="12"/>
        <v>0</v>
      </c>
      <c r="R46" s="99"/>
      <c r="S46" s="40">
        <f t="shared" si="13"/>
        <v>0</v>
      </c>
      <c r="T46" s="99"/>
      <c r="U46" s="40">
        <f t="shared" si="14"/>
        <v>0</v>
      </c>
      <c r="V46" s="34">
        <f t="shared" si="19"/>
        <v>0.19905180227288574</v>
      </c>
      <c r="W46" s="34">
        <f t="shared" si="3"/>
        <v>30.05263157894737</v>
      </c>
      <c r="X46" s="34">
        <f t="shared" si="9"/>
        <v>30.05263157894737</v>
      </c>
      <c r="Y46" s="34" t="str">
        <f t="shared" si="11"/>
        <v/>
      </c>
      <c r="Z46" s="34" t="str">
        <f t="shared" si="10"/>
        <v/>
      </c>
      <c r="AA46" s="152">
        <f>AVERAGE(W46:W51)</f>
        <v>33.490903977281462</v>
      </c>
      <c r="AB46" s="152">
        <f t="shared" ref="AB46" si="41">SUM(V46:V51)</f>
        <v>1.1005368472425574</v>
      </c>
      <c r="AC46" s="179">
        <v>0.86767064073067002</v>
      </c>
      <c r="AD46" s="2"/>
      <c r="AE46" s="2"/>
      <c r="AF46" s="2"/>
      <c r="AG46" s="2"/>
      <c r="AH46" s="2"/>
      <c r="AI46" s="2"/>
      <c r="AJ46" s="2"/>
      <c r="AK46" s="2"/>
      <c r="AL46" s="2"/>
      <c r="AM46" s="2"/>
      <c r="AN46" s="2"/>
      <c r="AO46" s="1"/>
      <c r="AP46" s="1"/>
      <c r="AQ46" s="1"/>
      <c r="AR46" s="1"/>
      <c r="AS46" s="1"/>
      <c r="AT46" s="1"/>
      <c r="AU46" s="1"/>
      <c r="AV46" s="1"/>
      <c r="AW46" s="1"/>
      <c r="AX46" s="1"/>
      <c r="AY46" s="1"/>
    </row>
    <row r="47" spans="1:53" ht="17.25" thickBot="1" x14ac:dyDescent="0.35">
      <c r="A47" s="147"/>
      <c r="B47" s="97">
        <v>43599</v>
      </c>
      <c r="C47" s="103">
        <v>169.25</v>
      </c>
      <c r="D47" s="103"/>
      <c r="E47" s="103"/>
      <c r="F47" s="150"/>
      <c r="G47" s="150"/>
      <c r="H47" s="100">
        <v>1113</v>
      </c>
      <c r="I47" s="7">
        <f t="shared" si="15"/>
        <v>5565</v>
      </c>
      <c r="J47" s="100"/>
      <c r="K47" s="7">
        <f t="shared" si="16"/>
        <v>0</v>
      </c>
      <c r="L47" s="100"/>
      <c r="M47" s="7">
        <f t="shared" si="17"/>
        <v>0</v>
      </c>
      <c r="N47" s="100"/>
      <c r="O47" s="7">
        <f t="shared" si="18"/>
        <v>0</v>
      </c>
      <c r="P47" s="100"/>
      <c r="Q47" s="7">
        <f t="shared" si="12"/>
        <v>0</v>
      </c>
      <c r="R47" s="100"/>
      <c r="S47" s="7">
        <f t="shared" si="13"/>
        <v>0</v>
      </c>
      <c r="T47" s="100"/>
      <c r="U47" s="7">
        <f t="shared" si="14"/>
        <v>0</v>
      </c>
      <c r="V47" s="8">
        <f t="shared" si="19"/>
        <v>0.19399707174231332</v>
      </c>
      <c r="W47" s="8">
        <f t="shared" si="3"/>
        <v>32.880354505169869</v>
      </c>
      <c r="X47" s="8">
        <f t="shared" si="9"/>
        <v>32.880354505169869</v>
      </c>
      <c r="Y47" s="8" t="str">
        <f t="shared" si="11"/>
        <v/>
      </c>
      <c r="Z47" s="8" t="str">
        <f t="shared" si="10"/>
        <v/>
      </c>
      <c r="AA47" s="152"/>
      <c r="AB47" s="152"/>
      <c r="AC47" s="180"/>
      <c r="AD47" s="2"/>
      <c r="AE47" s="2"/>
      <c r="AF47" s="2"/>
      <c r="AG47" s="2"/>
      <c r="AH47" s="2"/>
      <c r="AI47" s="2"/>
      <c r="AJ47" s="2"/>
      <c r="AK47" s="2"/>
      <c r="AL47" s="2"/>
      <c r="AM47" s="2"/>
      <c r="AN47" s="2"/>
      <c r="AO47" s="1"/>
      <c r="AP47" s="1"/>
      <c r="AQ47" s="1"/>
      <c r="AR47" s="1"/>
      <c r="AS47" s="1"/>
      <c r="AT47" s="1"/>
      <c r="AU47" s="1"/>
      <c r="AV47" s="1"/>
      <c r="AW47" s="1"/>
      <c r="AX47" s="1"/>
      <c r="AY47" s="1"/>
    </row>
    <row r="48" spans="1:53" ht="17.25" thickBot="1" x14ac:dyDescent="0.35">
      <c r="A48" s="147"/>
      <c r="B48" s="97">
        <v>43600</v>
      </c>
      <c r="C48" s="103">
        <v>170</v>
      </c>
      <c r="D48" s="103"/>
      <c r="E48" s="103"/>
      <c r="F48" s="150"/>
      <c r="G48" s="150"/>
      <c r="H48" s="100">
        <v>1123</v>
      </c>
      <c r="I48" s="7">
        <f t="shared" si="15"/>
        <v>5615</v>
      </c>
      <c r="J48" s="100"/>
      <c r="K48" s="7">
        <f t="shared" si="16"/>
        <v>0</v>
      </c>
      <c r="L48" s="100"/>
      <c r="M48" s="7">
        <f t="shared" si="17"/>
        <v>0</v>
      </c>
      <c r="N48" s="100"/>
      <c r="O48" s="7">
        <f t="shared" si="18"/>
        <v>0</v>
      </c>
      <c r="P48" s="100"/>
      <c r="Q48" s="7">
        <f t="shared" si="12"/>
        <v>0</v>
      </c>
      <c r="R48" s="100"/>
      <c r="S48" s="7">
        <f t="shared" si="13"/>
        <v>0</v>
      </c>
      <c r="T48" s="100"/>
      <c r="U48" s="7">
        <f t="shared" si="14"/>
        <v>0</v>
      </c>
      <c r="V48" s="8">
        <f t="shared" si="19"/>
        <v>0.1957400822700969</v>
      </c>
      <c r="W48" s="8">
        <f t="shared" si="3"/>
        <v>33.029411764705884</v>
      </c>
      <c r="X48" s="8">
        <f t="shared" si="9"/>
        <v>33.029411764705884</v>
      </c>
      <c r="Y48" s="8" t="str">
        <f t="shared" si="11"/>
        <v/>
      </c>
      <c r="Z48" s="8" t="str">
        <f t="shared" si="10"/>
        <v/>
      </c>
      <c r="AA48" s="152"/>
      <c r="AB48" s="152"/>
      <c r="AC48" s="180"/>
      <c r="AD48" s="2"/>
      <c r="AE48" s="2"/>
      <c r="AF48" s="2"/>
      <c r="AG48" s="2"/>
      <c r="AH48" s="2"/>
      <c r="AI48" s="2"/>
      <c r="AJ48" s="2"/>
      <c r="AK48" s="2"/>
      <c r="AL48" s="2"/>
      <c r="AM48" s="2"/>
      <c r="AN48" s="2"/>
      <c r="AO48" s="1"/>
      <c r="AP48" s="1"/>
      <c r="AQ48" s="1"/>
      <c r="AR48" s="1"/>
      <c r="AS48" s="1"/>
      <c r="AT48" s="1"/>
      <c r="AU48" s="1"/>
      <c r="AV48" s="1"/>
      <c r="AW48" s="1"/>
      <c r="AX48" s="1"/>
      <c r="AY48" s="1"/>
    </row>
    <row r="49" spans="1:51" ht="17.25" thickBot="1" x14ac:dyDescent="0.35">
      <c r="A49" s="147"/>
      <c r="B49" s="97">
        <v>43601</v>
      </c>
      <c r="C49" s="103">
        <v>159</v>
      </c>
      <c r="D49" s="103"/>
      <c r="E49" s="103"/>
      <c r="F49" s="150"/>
      <c r="G49" s="150"/>
      <c r="H49" s="100">
        <v>1070</v>
      </c>
      <c r="I49" s="7">
        <f t="shared" si="15"/>
        <v>5350</v>
      </c>
      <c r="J49" s="100"/>
      <c r="K49" s="7">
        <f t="shared" si="16"/>
        <v>0</v>
      </c>
      <c r="L49" s="100"/>
      <c r="M49" s="7">
        <f t="shared" si="17"/>
        <v>0</v>
      </c>
      <c r="N49" s="100"/>
      <c r="O49" s="7">
        <f t="shared" si="18"/>
        <v>0</v>
      </c>
      <c r="P49" s="100"/>
      <c r="Q49" s="7">
        <f t="shared" si="12"/>
        <v>0</v>
      </c>
      <c r="R49" s="100"/>
      <c r="S49" s="7">
        <f t="shared" si="13"/>
        <v>0</v>
      </c>
      <c r="T49" s="100"/>
      <c r="U49" s="7">
        <f t="shared" si="14"/>
        <v>0</v>
      </c>
      <c r="V49" s="8">
        <f t="shared" si="19"/>
        <v>0.18650212647284389</v>
      </c>
      <c r="W49" s="8">
        <f t="shared" si="3"/>
        <v>33.647798742138363</v>
      </c>
      <c r="X49" s="8">
        <f t="shared" si="9"/>
        <v>33.647798742138363</v>
      </c>
      <c r="Y49" s="8" t="str">
        <f t="shared" si="11"/>
        <v/>
      </c>
      <c r="Z49" s="8" t="str">
        <f t="shared" si="10"/>
        <v/>
      </c>
      <c r="AA49" s="152"/>
      <c r="AB49" s="152"/>
      <c r="AC49" s="180"/>
      <c r="AD49" s="2"/>
      <c r="AE49" s="2"/>
      <c r="AF49" s="2"/>
      <c r="AG49" s="2"/>
      <c r="AH49" s="2"/>
      <c r="AI49" s="2"/>
      <c r="AJ49" s="2"/>
      <c r="AK49" s="2"/>
      <c r="AL49" s="2"/>
      <c r="AM49" s="2"/>
      <c r="AN49" s="2"/>
      <c r="AO49" s="1"/>
      <c r="AP49" s="1"/>
      <c r="AQ49" s="1"/>
      <c r="AR49" s="1"/>
      <c r="AS49" s="1"/>
      <c r="AT49" s="1"/>
      <c r="AU49" s="1"/>
      <c r="AV49" s="1"/>
      <c r="AW49" s="1"/>
      <c r="AX49" s="1"/>
      <c r="AY49" s="1"/>
    </row>
    <row r="50" spans="1:51" ht="17.25" thickBot="1" x14ac:dyDescent="0.35">
      <c r="A50" s="147"/>
      <c r="B50" s="97">
        <v>43602</v>
      </c>
      <c r="C50" s="103">
        <v>176</v>
      </c>
      <c r="D50" s="103"/>
      <c r="E50" s="103"/>
      <c r="F50" s="150"/>
      <c r="G50" s="150"/>
      <c r="H50" s="100">
        <v>1191</v>
      </c>
      <c r="I50" s="7">
        <f t="shared" si="15"/>
        <v>5955</v>
      </c>
      <c r="J50" s="100"/>
      <c r="K50" s="7">
        <f t="shared" si="16"/>
        <v>0</v>
      </c>
      <c r="L50" s="100"/>
      <c r="M50" s="7">
        <f t="shared" si="17"/>
        <v>0</v>
      </c>
      <c r="N50" s="100"/>
      <c r="O50" s="7">
        <f t="shared" si="18"/>
        <v>0</v>
      </c>
      <c r="P50" s="100"/>
      <c r="Q50" s="7">
        <f t="shared" si="12"/>
        <v>0</v>
      </c>
      <c r="R50" s="100"/>
      <c r="S50" s="7">
        <f t="shared" si="13"/>
        <v>0</v>
      </c>
      <c r="T50" s="100"/>
      <c r="U50" s="7">
        <f t="shared" si="14"/>
        <v>0</v>
      </c>
      <c r="V50" s="8">
        <f t="shared" si="19"/>
        <v>0.20759255385902531</v>
      </c>
      <c r="W50" s="8">
        <f t="shared" si="3"/>
        <v>33.835227272727273</v>
      </c>
      <c r="X50" s="8">
        <f t="shared" si="9"/>
        <v>33.835227272727273</v>
      </c>
      <c r="Y50" s="8" t="str">
        <f t="shared" si="11"/>
        <v/>
      </c>
      <c r="Z50" s="8" t="str">
        <f t="shared" si="10"/>
        <v/>
      </c>
      <c r="AA50" s="152"/>
      <c r="AB50" s="152"/>
      <c r="AC50" s="180"/>
      <c r="AD50" s="2"/>
      <c r="AE50" s="2"/>
      <c r="AF50" s="2"/>
      <c r="AG50" s="2"/>
      <c r="AH50" s="2"/>
      <c r="AI50" s="2"/>
      <c r="AJ50" s="2"/>
      <c r="AK50" s="2"/>
      <c r="AL50" s="2"/>
      <c r="AM50" s="2"/>
      <c r="AN50" s="2"/>
      <c r="AO50" s="1"/>
      <c r="AP50" s="1"/>
      <c r="AQ50" s="1"/>
      <c r="AR50" s="1"/>
      <c r="AS50" s="1"/>
      <c r="AT50" s="1"/>
      <c r="AU50" s="1"/>
      <c r="AV50" s="1"/>
      <c r="AW50" s="1"/>
      <c r="AX50" s="1"/>
      <c r="AY50" s="1"/>
    </row>
    <row r="51" spans="1:51" ht="17.25" thickBot="1" x14ac:dyDescent="0.35">
      <c r="A51" s="148"/>
      <c r="B51" s="98">
        <v>43603</v>
      </c>
      <c r="C51" s="104">
        <v>90</v>
      </c>
      <c r="D51" s="104"/>
      <c r="E51" s="104"/>
      <c r="F51" s="151"/>
      <c r="G51" s="151"/>
      <c r="H51" s="101">
        <v>675</v>
      </c>
      <c r="I51" s="39">
        <f t="shared" si="15"/>
        <v>3375</v>
      </c>
      <c r="J51" s="101"/>
      <c r="K51" s="39">
        <f t="shared" si="16"/>
        <v>0</v>
      </c>
      <c r="L51" s="101"/>
      <c r="M51" s="39">
        <f t="shared" si="17"/>
        <v>0</v>
      </c>
      <c r="N51" s="101"/>
      <c r="O51" s="39">
        <f t="shared" si="18"/>
        <v>0</v>
      </c>
      <c r="P51" s="101"/>
      <c r="Q51" s="39">
        <f t="shared" si="12"/>
        <v>0</v>
      </c>
      <c r="R51" s="101"/>
      <c r="S51" s="39">
        <f t="shared" si="13"/>
        <v>0</v>
      </c>
      <c r="T51" s="101"/>
      <c r="U51" s="39">
        <f t="shared" si="14"/>
        <v>0</v>
      </c>
      <c r="V51" s="36">
        <f t="shared" si="19"/>
        <v>0.11765321062539218</v>
      </c>
      <c r="W51" s="36">
        <f t="shared" si="3"/>
        <v>37.5</v>
      </c>
      <c r="X51" s="36">
        <f t="shared" si="9"/>
        <v>37.5</v>
      </c>
      <c r="Y51" s="36" t="str">
        <f t="shared" si="11"/>
        <v/>
      </c>
      <c r="Z51" s="36" t="str">
        <f t="shared" si="10"/>
        <v/>
      </c>
      <c r="AA51" s="152"/>
      <c r="AB51" s="152"/>
      <c r="AC51" s="181"/>
      <c r="AD51" s="2"/>
      <c r="AE51" s="2"/>
      <c r="AF51" s="2"/>
      <c r="AG51" s="2"/>
      <c r="AH51" s="2"/>
      <c r="AI51" s="2"/>
      <c r="AJ51" s="2"/>
      <c r="AK51" s="2"/>
      <c r="AL51" s="2"/>
      <c r="AM51" s="2"/>
      <c r="AN51" s="2"/>
      <c r="AO51" s="1"/>
      <c r="AP51" s="1"/>
      <c r="AQ51" s="1"/>
      <c r="AR51" s="1"/>
      <c r="AS51" s="1"/>
      <c r="AT51" s="1"/>
      <c r="AU51" s="1"/>
      <c r="AV51" s="1"/>
      <c r="AW51" s="1"/>
      <c r="AX51" s="1"/>
      <c r="AY51" s="1"/>
    </row>
    <row r="52" spans="1:51" ht="17.25" thickBot="1" x14ac:dyDescent="0.35">
      <c r="A52" s="147">
        <v>21</v>
      </c>
      <c r="B52" s="105">
        <v>43605</v>
      </c>
      <c r="C52" s="102">
        <v>185</v>
      </c>
      <c r="D52" s="102"/>
      <c r="E52" s="102"/>
      <c r="F52" s="149">
        <f t="shared" ref="F52" si="42">SUM(M52:M57,O52:O57,Q52:Q57,S52:S57,I52:I57,K52:K57)</f>
        <v>47870</v>
      </c>
      <c r="G52" s="149">
        <f t="shared" ref="G52" si="43">SUM(M52:M57,O52:O57,Q52:Q57,S52:S57,U52:U57,K52:K57,I52:I57)</f>
        <v>47870</v>
      </c>
      <c r="H52" s="99">
        <v>1296</v>
      </c>
      <c r="I52" s="7">
        <f t="shared" si="15"/>
        <v>6480</v>
      </c>
      <c r="J52" s="99"/>
      <c r="K52" s="7">
        <f t="shared" si="16"/>
        <v>0</v>
      </c>
      <c r="L52" s="99"/>
      <c r="M52" s="7">
        <f t="shared" si="17"/>
        <v>0</v>
      </c>
      <c r="N52" s="99"/>
      <c r="O52" s="7">
        <f t="shared" si="18"/>
        <v>0</v>
      </c>
      <c r="P52" s="99"/>
      <c r="Q52" s="7">
        <f t="shared" si="12"/>
        <v>0</v>
      </c>
      <c r="R52" s="99"/>
      <c r="S52" s="7">
        <f t="shared" si="13"/>
        <v>0</v>
      </c>
      <c r="T52" s="99"/>
      <c r="U52" s="7">
        <f t="shared" si="14"/>
        <v>0</v>
      </c>
      <c r="V52" s="8">
        <f t="shared" si="19"/>
        <v>0.22589416440075297</v>
      </c>
      <c r="W52" s="8">
        <f t="shared" si="3"/>
        <v>35.027027027027025</v>
      </c>
      <c r="X52" s="8">
        <f t="shared" si="9"/>
        <v>35.027027027027025</v>
      </c>
      <c r="Y52" s="8" t="str">
        <f t="shared" si="11"/>
        <v/>
      </c>
      <c r="Z52" s="8" t="str">
        <f t="shared" si="10"/>
        <v/>
      </c>
      <c r="AA52" s="152">
        <f t="shared" ref="AA52" si="44">AVERAGE(W52:W57)</f>
        <v>34.57824105236898</v>
      </c>
      <c r="AB52" s="152">
        <f t="shared" ref="AB52" si="45">SUM(V52:V57)</f>
        <v>1.6687582793000069</v>
      </c>
      <c r="AC52" s="179">
        <v>1.014432127170048</v>
      </c>
      <c r="AD52" s="2"/>
      <c r="AE52" s="2"/>
      <c r="AF52" s="2"/>
      <c r="AG52" s="2"/>
      <c r="AH52" s="2"/>
      <c r="AI52" s="2"/>
      <c r="AJ52" s="2"/>
      <c r="AK52" s="2"/>
      <c r="AL52" s="2"/>
      <c r="AM52" s="2"/>
      <c r="AN52" s="2"/>
      <c r="AO52" s="1"/>
      <c r="AP52" s="1"/>
      <c r="AQ52" s="1"/>
      <c r="AR52" s="1"/>
      <c r="AS52" s="1"/>
      <c r="AT52" s="1"/>
      <c r="AU52" s="1"/>
      <c r="AV52" s="1"/>
      <c r="AW52" s="1"/>
      <c r="AX52" s="1"/>
      <c r="AY52" s="1"/>
    </row>
    <row r="53" spans="1:51" ht="17.25" thickBot="1" x14ac:dyDescent="0.35">
      <c r="A53" s="147"/>
      <c r="B53" s="97">
        <v>43606</v>
      </c>
      <c r="C53" s="103">
        <v>200</v>
      </c>
      <c r="D53" s="103"/>
      <c r="E53" s="103"/>
      <c r="F53" s="150"/>
      <c r="G53" s="150"/>
      <c r="H53" s="100">
        <v>1363</v>
      </c>
      <c r="I53" s="7">
        <f t="shared" si="15"/>
        <v>6815</v>
      </c>
      <c r="J53" s="100"/>
      <c r="K53" s="7">
        <f t="shared" si="16"/>
        <v>0</v>
      </c>
      <c r="L53" s="100"/>
      <c r="M53" s="7">
        <f t="shared" si="17"/>
        <v>0</v>
      </c>
      <c r="N53" s="100"/>
      <c r="O53" s="7">
        <f t="shared" si="18"/>
        <v>0</v>
      </c>
      <c r="P53" s="100"/>
      <c r="Q53" s="7">
        <f t="shared" si="12"/>
        <v>0</v>
      </c>
      <c r="R53" s="100"/>
      <c r="S53" s="7">
        <f t="shared" si="13"/>
        <v>0</v>
      </c>
      <c r="T53" s="100"/>
      <c r="U53" s="7">
        <f t="shared" si="14"/>
        <v>0</v>
      </c>
      <c r="V53" s="8">
        <f t="shared" si="19"/>
        <v>0.23757233493690302</v>
      </c>
      <c r="W53" s="8">
        <f t="shared" si="3"/>
        <v>34.075000000000003</v>
      </c>
      <c r="X53" s="8">
        <f t="shared" si="9"/>
        <v>34.075000000000003</v>
      </c>
      <c r="Y53" s="8" t="str">
        <f t="shared" si="11"/>
        <v/>
      </c>
      <c r="Z53" s="8" t="str">
        <f t="shared" si="10"/>
        <v/>
      </c>
      <c r="AA53" s="152"/>
      <c r="AB53" s="152"/>
      <c r="AC53" s="180"/>
      <c r="AD53" s="2"/>
      <c r="AE53" s="2"/>
      <c r="AF53" s="2"/>
      <c r="AG53" s="2"/>
      <c r="AH53" s="2"/>
      <c r="AI53" s="2"/>
      <c r="AJ53" s="2"/>
      <c r="AK53" s="2"/>
      <c r="AL53" s="2"/>
      <c r="AM53" s="2"/>
      <c r="AN53" s="2"/>
      <c r="AO53" s="1"/>
      <c r="AP53" s="1"/>
      <c r="AQ53" s="1"/>
      <c r="AR53" s="1"/>
      <c r="AS53" s="1"/>
      <c r="AT53" s="1"/>
      <c r="AU53" s="1"/>
      <c r="AV53" s="1"/>
      <c r="AW53" s="1"/>
      <c r="AX53" s="1"/>
      <c r="AY53" s="1"/>
    </row>
    <row r="54" spans="1:51" ht="17.25" thickBot="1" x14ac:dyDescent="0.35">
      <c r="A54" s="147"/>
      <c r="B54" s="97">
        <v>43607</v>
      </c>
      <c r="C54" s="103">
        <v>199</v>
      </c>
      <c r="D54" s="103"/>
      <c r="E54" s="103"/>
      <c r="F54" s="150"/>
      <c r="G54" s="150"/>
      <c r="H54" s="100">
        <v>1291</v>
      </c>
      <c r="I54" s="7">
        <f t="shared" si="15"/>
        <v>6455</v>
      </c>
      <c r="J54" s="100"/>
      <c r="K54" s="7">
        <f t="shared" si="16"/>
        <v>0</v>
      </c>
      <c r="L54" s="100"/>
      <c r="M54" s="7">
        <f t="shared" si="17"/>
        <v>0</v>
      </c>
      <c r="N54" s="100"/>
      <c r="O54" s="7">
        <f t="shared" si="18"/>
        <v>0</v>
      </c>
      <c r="P54" s="100"/>
      <c r="Q54" s="7">
        <f t="shared" si="12"/>
        <v>0</v>
      </c>
      <c r="R54" s="100"/>
      <c r="S54" s="7">
        <f t="shared" si="13"/>
        <v>0</v>
      </c>
      <c r="T54" s="100"/>
      <c r="U54" s="7">
        <f t="shared" si="14"/>
        <v>0</v>
      </c>
      <c r="V54" s="8">
        <f t="shared" si="19"/>
        <v>0.22502265913686118</v>
      </c>
      <c r="W54" s="8">
        <f t="shared" si="3"/>
        <v>32.437185929648244</v>
      </c>
      <c r="X54" s="8">
        <f t="shared" si="9"/>
        <v>32.437185929648244</v>
      </c>
      <c r="Y54" s="8" t="str">
        <f t="shared" si="11"/>
        <v/>
      </c>
      <c r="Z54" s="8" t="str">
        <f t="shared" si="10"/>
        <v/>
      </c>
      <c r="AA54" s="152"/>
      <c r="AB54" s="152"/>
      <c r="AC54" s="180"/>
      <c r="AD54" s="2"/>
      <c r="AE54" s="2"/>
      <c r="AF54" s="2"/>
      <c r="AG54" s="2"/>
      <c r="AH54" s="2"/>
      <c r="AI54" s="2"/>
      <c r="AJ54" s="2"/>
      <c r="AK54" s="2"/>
      <c r="AL54" s="2"/>
      <c r="AM54" s="2"/>
      <c r="AN54" s="2"/>
      <c r="AO54" s="1"/>
      <c r="AP54" s="1"/>
      <c r="AQ54" s="1"/>
      <c r="AR54" s="1"/>
      <c r="AS54" s="1"/>
      <c r="AT54" s="1"/>
      <c r="AU54" s="1"/>
      <c r="AV54" s="1"/>
      <c r="AW54" s="1"/>
      <c r="AX54" s="1"/>
      <c r="AY54" s="1"/>
    </row>
    <row r="55" spans="1:51" ht="17.25" thickBot="1" x14ac:dyDescent="0.35">
      <c r="A55" s="147"/>
      <c r="B55" s="97">
        <v>43608</v>
      </c>
      <c r="C55" s="103">
        <v>281.25</v>
      </c>
      <c r="D55" s="103"/>
      <c r="E55" s="103"/>
      <c r="F55" s="150"/>
      <c r="G55" s="150"/>
      <c r="H55" s="100">
        <v>1952</v>
      </c>
      <c r="I55" s="7">
        <f t="shared" si="15"/>
        <v>9760</v>
      </c>
      <c r="J55" s="100"/>
      <c r="K55" s="7">
        <f t="shared" si="16"/>
        <v>0</v>
      </c>
      <c r="L55" s="100"/>
      <c r="M55" s="7">
        <f t="shared" si="17"/>
        <v>0</v>
      </c>
      <c r="N55" s="100"/>
      <c r="O55" s="7">
        <f t="shared" si="18"/>
        <v>0</v>
      </c>
      <c r="P55" s="100"/>
      <c r="Q55" s="7">
        <f t="shared" si="12"/>
        <v>0</v>
      </c>
      <c r="R55" s="100"/>
      <c r="S55" s="7">
        <f t="shared" si="13"/>
        <v>0</v>
      </c>
      <c r="T55" s="100"/>
      <c r="U55" s="7">
        <f t="shared" si="14"/>
        <v>0</v>
      </c>
      <c r="V55" s="8">
        <f t="shared" si="19"/>
        <v>0.34023565502335634</v>
      </c>
      <c r="W55" s="8">
        <f t="shared" si="3"/>
        <v>34.702222222222225</v>
      </c>
      <c r="X55" s="8">
        <f t="shared" si="9"/>
        <v>34.702222222222225</v>
      </c>
      <c r="Y55" s="8" t="str">
        <f t="shared" si="11"/>
        <v/>
      </c>
      <c r="Z55" s="8" t="str">
        <f t="shared" si="10"/>
        <v/>
      </c>
      <c r="AA55" s="152"/>
      <c r="AB55" s="152"/>
      <c r="AC55" s="180"/>
      <c r="AD55" s="2"/>
      <c r="AE55" s="2"/>
      <c r="AF55" s="2"/>
      <c r="AG55" s="2"/>
      <c r="AH55" s="2"/>
      <c r="AI55" s="2"/>
      <c r="AJ55" s="2"/>
      <c r="AK55" s="2"/>
      <c r="AL55" s="2"/>
      <c r="AM55" s="2"/>
      <c r="AN55" s="2"/>
      <c r="AO55" s="1"/>
      <c r="AP55" s="1"/>
      <c r="AQ55" s="1"/>
      <c r="AR55" s="1"/>
      <c r="AS55" s="1"/>
      <c r="AT55" s="1"/>
      <c r="AU55" s="1"/>
      <c r="AV55" s="1"/>
      <c r="AW55" s="1"/>
      <c r="AX55" s="1"/>
      <c r="AY55" s="1"/>
    </row>
    <row r="56" spans="1:51" ht="17.25" thickBot="1" x14ac:dyDescent="0.35">
      <c r="A56" s="147"/>
      <c r="B56" s="97">
        <v>43609</v>
      </c>
      <c r="C56" s="103">
        <v>325.25</v>
      </c>
      <c r="D56" s="103"/>
      <c r="E56" s="103"/>
      <c r="F56" s="150"/>
      <c r="G56" s="150"/>
      <c r="H56" s="100">
        <v>2269</v>
      </c>
      <c r="I56" s="7">
        <f t="shared" si="15"/>
        <v>11345</v>
      </c>
      <c r="J56" s="100"/>
      <c r="K56" s="7">
        <f t="shared" si="16"/>
        <v>0</v>
      </c>
      <c r="L56" s="100"/>
      <c r="M56" s="7">
        <f t="shared" si="17"/>
        <v>0</v>
      </c>
      <c r="N56" s="100"/>
      <c r="O56" s="7">
        <f t="shared" si="18"/>
        <v>0</v>
      </c>
      <c r="P56" s="100"/>
      <c r="Q56" s="7">
        <f t="shared" si="12"/>
        <v>0</v>
      </c>
      <c r="R56" s="100"/>
      <c r="S56" s="7">
        <f t="shared" si="13"/>
        <v>0</v>
      </c>
      <c r="T56" s="100"/>
      <c r="U56" s="7">
        <f t="shared" si="14"/>
        <v>0</v>
      </c>
      <c r="V56" s="8">
        <f t="shared" si="19"/>
        <v>0.39548908875409605</v>
      </c>
      <c r="W56" s="8">
        <f t="shared" si="3"/>
        <v>34.880860876249038</v>
      </c>
      <c r="X56" s="8">
        <f t="shared" si="9"/>
        <v>34.880860876249038</v>
      </c>
      <c r="Y56" s="8" t="str">
        <f t="shared" si="11"/>
        <v/>
      </c>
      <c r="Z56" s="8" t="str">
        <f t="shared" si="10"/>
        <v/>
      </c>
      <c r="AA56" s="152"/>
      <c r="AB56" s="152"/>
      <c r="AC56" s="180"/>
      <c r="AD56" s="2"/>
      <c r="AE56" s="2"/>
      <c r="AF56" s="2"/>
      <c r="AG56" s="2"/>
      <c r="AH56" s="2"/>
      <c r="AI56" s="2"/>
      <c r="AJ56" s="2"/>
      <c r="AK56" s="2"/>
      <c r="AL56" s="2"/>
      <c r="AM56" s="2"/>
      <c r="AN56" s="2"/>
      <c r="AO56" s="1"/>
      <c r="AP56" s="1"/>
      <c r="AQ56" s="1"/>
      <c r="AR56" s="1"/>
      <c r="AS56" s="1"/>
      <c r="AT56" s="1"/>
      <c r="AU56" s="1"/>
      <c r="AV56" s="1"/>
      <c r="AW56" s="1"/>
      <c r="AX56" s="1"/>
      <c r="AY56" s="1"/>
    </row>
    <row r="57" spans="1:51" ht="17.25" thickBot="1" x14ac:dyDescent="0.35">
      <c r="A57" s="147"/>
      <c r="B57" s="98">
        <v>43610</v>
      </c>
      <c r="C57" s="104">
        <v>193</v>
      </c>
      <c r="D57" s="104"/>
      <c r="E57" s="104"/>
      <c r="F57" s="151"/>
      <c r="G57" s="151"/>
      <c r="H57" s="101">
        <v>1403</v>
      </c>
      <c r="I57" s="7">
        <f t="shared" si="15"/>
        <v>7015</v>
      </c>
      <c r="J57" s="101"/>
      <c r="K57" s="7">
        <f t="shared" si="16"/>
        <v>0</v>
      </c>
      <c r="L57" s="101"/>
      <c r="M57" s="7">
        <f t="shared" si="17"/>
        <v>0</v>
      </c>
      <c r="N57" s="101"/>
      <c r="O57" s="7">
        <f t="shared" si="18"/>
        <v>0</v>
      </c>
      <c r="P57" s="101"/>
      <c r="Q57" s="7">
        <f t="shared" si="12"/>
        <v>0</v>
      </c>
      <c r="R57" s="101"/>
      <c r="S57" s="7">
        <f t="shared" si="13"/>
        <v>0</v>
      </c>
      <c r="T57" s="101"/>
      <c r="U57" s="7">
        <f t="shared" si="14"/>
        <v>0</v>
      </c>
      <c r="V57" s="8">
        <f t="shared" si="19"/>
        <v>0.24454437704803736</v>
      </c>
      <c r="W57" s="8">
        <f t="shared" si="3"/>
        <v>36.347150259067355</v>
      </c>
      <c r="X57" s="8">
        <f t="shared" si="9"/>
        <v>36.347150259067355</v>
      </c>
      <c r="Y57" s="8" t="str">
        <f t="shared" si="11"/>
        <v/>
      </c>
      <c r="Z57" s="8" t="str">
        <f t="shared" si="10"/>
        <v/>
      </c>
      <c r="AA57" s="152"/>
      <c r="AB57" s="152"/>
      <c r="AC57" s="181"/>
      <c r="AD57" s="2"/>
      <c r="AE57" s="2"/>
      <c r="AF57" s="2"/>
      <c r="AG57" s="2"/>
      <c r="AH57" s="2"/>
      <c r="AI57" s="2"/>
      <c r="AJ57" s="2"/>
      <c r="AK57" s="2"/>
      <c r="AL57" s="2"/>
      <c r="AM57" s="2"/>
      <c r="AN57" s="2"/>
      <c r="AO57" s="1"/>
      <c r="AP57" s="1"/>
      <c r="AQ57" s="1"/>
      <c r="AR57" s="1"/>
      <c r="AS57" s="1"/>
      <c r="AT57" s="1"/>
      <c r="AU57" s="1"/>
      <c r="AV57" s="1"/>
      <c r="AW57" s="1"/>
      <c r="AX57" s="1"/>
      <c r="AY57" s="1"/>
    </row>
    <row r="58" spans="1:51" ht="17.25" thickBot="1" x14ac:dyDescent="0.35">
      <c r="A58" s="146">
        <v>22</v>
      </c>
      <c r="B58" s="105">
        <v>43612</v>
      </c>
      <c r="C58" s="102">
        <v>220</v>
      </c>
      <c r="D58" s="102"/>
      <c r="E58" s="102"/>
      <c r="F58" s="149">
        <f t="shared" ref="F58" si="46">SUM(M58:M63,O58:O63,Q58:Q63,S58:S63,I58:I63,K58:K63)</f>
        <v>40785</v>
      </c>
      <c r="G58" s="149">
        <f t="shared" ref="G58" si="47">SUM(M58:M63,O58:O63,Q58:Q63,S58:S63,U58:U63,K58:K63,I58:I63)</f>
        <v>40785</v>
      </c>
      <c r="H58" s="99">
        <v>1429</v>
      </c>
      <c r="I58" s="40">
        <f t="shared" si="15"/>
        <v>7145</v>
      </c>
      <c r="J58" s="99"/>
      <c r="K58" s="40">
        <f t="shared" si="16"/>
        <v>0</v>
      </c>
      <c r="L58" s="99"/>
      <c r="M58" s="40">
        <f t="shared" si="17"/>
        <v>0</v>
      </c>
      <c r="N58" s="99"/>
      <c r="O58" s="40">
        <f t="shared" si="18"/>
        <v>0</v>
      </c>
      <c r="P58" s="99"/>
      <c r="Q58" s="40">
        <f t="shared" si="12"/>
        <v>0</v>
      </c>
      <c r="R58" s="99"/>
      <c r="S58" s="40">
        <f t="shared" si="13"/>
        <v>0</v>
      </c>
      <c r="T58" s="99"/>
      <c r="U58" s="40">
        <f t="shared" si="14"/>
        <v>0</v>
      </c>
      <c r="V58" s="34">
        <f t="shared" si="19"/>
        <v>0.2490762044202747</v>
      </c>
      <c r="W58" s="34">
        <f t="shared" si="3"/>
        <v>32.477272727272727</v>
      </c>
      <c r="X58" s="34">
        <f t="shared" si="9"/>
        <v>32.477272727272727</v>
      </c>
      <c r="Y58" s="34" t="str">
        <f t="shared" si="11"/>
        <v/>
      </c>
      <c r="Z58" s="34" t="str">
        <f t="shared" si="10"/>
        <v/>
      </c>
      <c r="AA58" s="152">
        <f>AVERAGE(W58:W63)</f>
        <v>32.351207384513884</v>
      </c>
      <c r="AB58" s="152">
        <f t="shared" ref="AB58" si="48">SUM(V58:V63)</f>
        <v>1.4217736875130726</v>
      </c>
      <c r="AC58" s="179">
        <v>1.3354946663877849</v>
      </c>
      <c r="AD58" s="2"/>
      <c r="AE58" s="2"/>
      <c r="AF58" s="2"/>
      <c r="AG58" s="2"/>
      <c r="AH58" s="2"/>
      <c r="AI58" s="2"/>
      <c r="AJ58" s="2"/>
      <c r="AK58" s="2"/>
      <c r="AL58" s="2"/>
      <c r="AM58" s="2"/>
      <c r="AN58" s="2"/>
      <c r="AO58" s="1"/>
      <c r="AP58" s="1"/>
      <c r="AQ58" s="1"/>
      <c r="AR58" s="1"/>
      <c r="AS58" s="1"/>
      <c r="AT58" s="1"/>
      <c r="AU58" s="1"/>
      <c r="AV58" s="1"/>
      <c r="AW58" s="1"/>
      <c r="AX58" s="1"/>
      <c r="AY58" s="1"/>
    </row>
    <row r="59" spans="1:51" ht="17.25" thickBot="1" x14ac:dyDescent="0.35">
      <c r="A59" s="147"/>
      <c r="B59" s="97">
        <v>43613</v>
      </c>
      <c r="C59" s="103">
        <v>172</v>
      </c>
      <c r="D59" s="103"/>
      <c r="E59" s="103"/>
      <c r="F59" s="150"/>
      <c r="G59" s="150"/>
      <c r="H59" s="100">
        <v>1102</v>
      </c>
      <c r="I59" s="7">
        <f t="shared" si="15"/>
        <v>5510</v>
      </c>
      <c r="J59" s="100"/>
      <c r="K59" s="7">
        <f t="shared" si="16"/>
        <v>0</v>
      </c>
      <c r="L59" s="100"/>
      <c r="M59" s="7">
        <f t="shared" si="17"/>
        <v>0</v>
      </c>
      <c r="N59" s="100"/>
      <c r="O59" s="7">
        <f t="shared" si="18"/>
        <v>0</v>
      </c>
      <c r="P59" s="100"/>
      <c r="Q59" s="7">
        <f t="shared" si="12"/>
        <v>0</v>
      </c>
      <c r="R59" s="100"/>
      <c r="S59" s="7">
        <f t="shared" si="13"/>
        <v>0</v>
      </c>
      <c r="T59" s="100"/>
      <c r="U59" s="7">
        <f t="shared" si="14"/>
        <v>0</v>
      </c>
      <c r="V59" s="8">
        <f t="shared" si="19"/>
        <v>0.19207976016175138</v>
      </c>
      <c r="W59" s="8">
        <f t="shared" si="3"/>
        <v>32.034883720930232</v>
      </c>
      <c r="X59" s="8">
        <f t="shared" si="9"/>
        <v>32.034883720930232</v>
      </c>
      <c r="Y59" s="8" t="str">
        <f t="shared" si="11"/>
        <v/>
      </c>
      <c r="Z59" s="8" t="str">
        <f t="shared" si="10"/>
        <v/>
      </c>
      <c r="AA59" s="152"/>
      <c r="AB59" s="152"/>
      <c r="AC59" s="180"/>
      <c r="AD59" s="2"/>
      <c r="AE59" s="2"/>
      <c r="AF59" s="2"/>
      <c r="AG59" s="2"/>
      <c r="AH59" s="2"/>
      <c r="AI59" s="2"/>
      <c r="AJ59" s="2"/>
      <c r="AK59" s="2"/>
      <c r="AL59" s="2"/>
      <c r="AM59" s="2"/>
      <c r="AN59" s="2"/>
      <c r="AO59" s="1"/>
      <c r="AP59" s="1"/>
      <c r="AQ59" s="1"/>
      <c r="AR59" s="1"/>
      <c r="AS59" s="1"/>
      <c r="AT59" s="1"/>
      <c r="AU59" s="1"/>
      <c r="AV59" s="1"/>
      <c r="AW59" s="1"/>
      <c r="AX59" s="1"/>
      <c r="AY59" s="1"/>
    </row>
    <row r="60" spans="1:51" ht="17.25" thickBot="1" x14ac:dyDescent="0.35">
      <c r="A60" s="147"/>
      <c r="B60" s="97">
        <v>43614</v>
      </c>
      <c r="C60" s="103">
        <v>191.25</v>
      </c>
      <c r="D60" s="103"/>
      <c r="E60" s="103"/>
      <c r="F60" s="150"/>
      <c r="G60" s="150"/>
      <c r="H60" s="100">
        <v>1191</v>
      </c>
      <c r="I60" s="7">
        <f t="shared" si="15"/>
        <v>5955</v>
      </c>
      <c r="J60" s="100"/>
      <c r="K60" s="7">
        <f t="shared" si="16"/>
        <v>0</v>
      </c>
      <c r="L60" s="100"/>
      <c r="M60" s="7">
        <f t="shared" si="17"/>
        <v>0</v>
      </c>
      <c r="N60" s="100"/>
      <c r="O60" s="7">
        <f t="shared" si="18"/>
        <v>0</v>
      </c>
      <c r="P60" s="100"/>
      <c r="Q60" s="7">
        <f t="shared" si="12"/>
        <v>0</v>
      </c>
      <c r="R60" s="100"/>
      <c r="S60" s="7">
        <f t="shared" si="13"/>
        <v>0</v>
      </c>
      <c r="T60" s="100"/>
      <c r="U60" s="7">
        <f t="shared" si="14"/>
        <v>0</v>
      </c>
      <c r="V60" s="8">
        <f t="shared" si="19"/>
        <v>0.20759255385902531</v>
      </c>
      <c r="W60" s="8">
        <f t="shared" si="3"/>
        <v>31.137254901960784</v>
      </c>
      <c r="X60" s="8">
        <f t="shared" si="9"/>
        <v>31.137254901960784</v>
      </c>
      <c r="Y60" s="8" t="str">
        <f t="shared" si="11"/>
        <v/>
      </c>
      <c r="Z60" s="8" t="str">
        <f t="shared" si="10"/>
        <v/>
      </c>
      <c r="AA60" s="152"/>
      <c r="AB60" s="152"/>
      <c r="AC60" s="180"/>
      <c r="AD60" s="2"/>
      <c r="AE60" s="2"/>
      <c r="AF60" s="2"/>
      <c r="AG60" s="2"/>
      <c r="AH60" s="2"/>
      <c r="AI60" s="2"/>
      <c r="AJ60" s="2"/>
      <c r="AK60" s="2"/>
      <c r="AL60" s="2"/>
      <c r="AM60" s="2"/>
      <c r="AN60" s="2"/>
      <c r="AO60" s="1"/>
      <c r="AP60" s="1"/>
      <c r="AQ60" s="1"/>
      <c r="AR60" s="1"/>
      <c r="AS60" s="1"/>
      <c r="AT60" s="1"/>
      <c r="AU60" s="1"/>
      <c r="AV60" s="1"/>
      <c r="AW60" s="1"/>
      <c r="AX60" s="1"/>
      <c r="AY60" s="1"/>
    </row>
    <row r="61" spans="1:51" ht="17.25" thickBot="1" x14ac:dyDescent="0.35">
      <c r="A61" s="147"/>
      <c r="B61" s="97">
        <v>43615</v>
      </c>
      <c r="C61" s="103">
        <v>245</v>
      </c>
      <c r="D61" s="103"/>
      <c r="E61" s="103"/>
      <c r="F61" s="150"/>
      <c r="G61" s="150"/>
      <c r="H61" s="100">
        <v>1574</v>
      </c>
      <c r="I61" s="7">
        <f t="shared" si="15"/>
        <v>7870</v>
      </c>
      <c r="J61" s="100"/>
      <c r="K61" s="7">
        <f t="shared" si="16"/>
        <v>0</v>
      </c>
      <c r="L61" s="100"/>
      <c r="M61" s="7">
        <f t="shared" si="17"/>
        <v>0</v>
      </c>
      <c r="N61" s="100"/>
      <c r="O61" s="7">
        <f t="shared" si="18"/>
        <v>0</v>
      </c>
      <c r="P61" s="100"/>
      <c r="Q61" s="7">
        <f t="shared" si="12"/>
        <v>0</v>
      </c>
      <c r="R61" s="100"/>
      <c r="S61" s="7">
        <f t="shared" si="13"/>
        <v>0</v>
      </c>
      <c r="T61" s="100"/>
      <c r="U61" s="7">
        <f t="shared" si="14"/>
        <v>0</v>
      </c>
      <c r="V61" s="8">
        <f t="shared" si="19"/>
        <v>0.27434985707313675</v>
      </c>
      <c r="W61" s="8">
        <f t="shared" si="3"/>
        <v>32.122448979591837</v>
      </c>
      <c r="X61" s="8">
        <f t="shared" si="9"/>
        <v>32.122448979591837</v>
      </c>
      <c r="Y61" s="8" t="str">
        <f t="shared" si="11"/>
        <v/>
      </c>
      <c r="Z61" s="8" t="str">
        <f t="shared" si="10"/>
        <v/>
      </c>
      <c r="AA61" s="152"/>
      <c r="AB61" s="152"/>
      <c r="AC61" s="180"/>
      <c r="AD61" s="2"/>
      <c r="AE61" s="2"/>
      <c r="AF61" s="2"/>
      <c r="AG61" s="2"/>
      <c r="AH61" s="2"/>
      <c r="AI61" s="2"/>
      <c r="AJ61" s="2"/>
      <c r="AK61" s="2"/>
      <c r="AL61" s="2"/>
      <c r="AM61" s="2"/>
      <c r="AN61" s="2"/>
      <c r="AO61" s="1"/>
      <c r="AP61" s="1"/>
      <c r="AQ61" s="1"/>
      <c r="AR61" s="1"/>
      <c r="AS61" s="1"/>
      <c r="AT61" s="1"/>
      <c r="AU61" s="1"/>
      <c r="AV61" s="1"/>
      <c r="AW61" s="1"/>
      <c r="AX61" s="1"/>
      <c r="AY61" s="1"/>
    </row>
    <row r="62" spans="1:51" ht="17.25" thickBot="1" x14ac:dyDescent="0.35">
      <c r="A62" s="147"/>
      <c r="B62" s="97">
        <v>43616</v>
      </c>
      <c r="C62" s="103">
        <v>314.5</v>
      </c>
      <c r="D62" s="103"/>
      <c r="E62" s="103"/>
      <c r="F62" s="150"/>
      <c r="G62" s="150"/>
      <c r="H62" s="100">
        <v>2105</v>
      </c>
      <c r="I62" s="7">
        <f t="shared" si="15"/>
        <v>10525</v>
      </c>
      <c r="J62" s="100"/>
      <c r="K62" s="7">
        <f t="shared" si="16"/>
        <v>0</v>
      </c>
      <c r="L62" s="100"/>
      <c r="M62" s="7">
        <f t="shared" si="17"/>
        <v>0</v>
      </c>
      <c r="N62" s="100"/>
      <c r="O62" s="7">
        <f t="shared" si="18"/>
        <v>0</v>
      </c>
      <c r="P62" s="100"/>
      <c r="Q62" s="7">
        <f t="shared" si="12"/>
        <v>0</v>
      </c>
      <c r="R62" s="100"/>
      <c r="S62" s="7">
        <f t="shared" si="13"/>
        <v>0</v>
      </c>
      <c r="T62" s="100"/>
      <c r="U62" s="7">
        <f t="shared" si="14"/>
        <v>0</v>
      </c>
      <c r="V62" s="8">
        <f t="shared" si="19"/>
        <v>0.36690371609844524</v>
      </c>
      <c r="W62" s="8">
        <f t="shared" si="3"/>
        <v>33.465818759936404</v>
      </c>
      <c r="X62" s="8">
        <f t="shared" si="9"/>
        <v>33.465818759936404</v>
      </c>
      <c r="Y62" s="8" t="str">
        <f t="shared" si="11"/>
        <v/>
      </c>
      <c r="Z62" s="8" t="str">
        <f t="shared" si="10"/>
        <v/>
      </c>
      <c r="AA62" s="152"/>
      <c r="AB62" s="152"/>
      <c r="AC62" s="180"/>
      <c r="AD62" s="2"/>
      <c r="AE62" s="2"/>
      <c r="AF62" s="2"/>
      <c r="AG62" s="2"/>
      <c r="AH62" s="2"/>
      <c r="AI62" s="2"/>
      <c r="AJ62" s="2"/>
      <c r="AK62" s="2"/>
      <c r="AL62" s="2"/>
      <c r="AM62" s="2"/>
      <c r="AN62" s="2"/>
      <c r="AO62" s="1"/>
      <c r="AP62" s="1"/>
      <c r="AQ62" s="1"/>
      <c r="AR62" s="1"/>
      <c r="AS62" s="1"/>
      <c r="AT62" s="1"/>
      <c r="AU62" s="1"/>
      <c r="AV62" s="1"/>
      <c r="AW62" s="1"/>
      <c r="AX62" s="1"/>
      <c r="AY62" s="1"/>
    </row>
    <row r="63" spans="1:51" ht="17.25" thickBot="1" x14ac:dyDescent="0.35">
      <c r="A63" s="148"/>
      <c r="B63" s="98">
        <v>43617</v>
      </c>
      <c r="C63" s="104">
        <v>115</v>
      </c>
      <c r="D63" s="104"/>
      <c r="E63" s="104"/>
      <c r="F63" s="151"/>
      <c r="G63" s="151"/>
      <c r="H63" s="101">
        <v>756</v>
      </c>
      <c r="I63" s="39">
        <f t="shared" si="15"/>
        <v>3780</v>
      </c>
      <c r="J63" s="101"/>
      <c r="K63" s="39">
        <f t="shared" si="16"/>
        <v>0</v>
      </c>
      <c r="L63" s="101"/>
      <c r="M63" s="39">
        <f t="shared" si="17"/>
        <v>0</v>
      </c>
      <c r="N63" s="101"/>
      <c r="O63" s="39">
        <f t="shared" si="18"/>
        <v>0</v>
      </c>
      <c r="P63" s="101"/>
      <c r="Q63" s="39">
        <f t="shared" si="12"/>
        <v>0</v>
      </c>
      <c r="R63" s="101"/>
      <c r="S63" s="39">
        <f t="shared" si="13"/>
        <v>0</v>
      </c>
      <c r="T63" s="101"/>
      <c r="U63" s="39">
        <f t="shared" si="14"/>
        <v>0</v>
      </c>
      <c r="V63" s="36">
        <f t="shared" si="19"/>
        <v>0.13177159590043924</v>
      </c>
      <c r="W63" s="36">
        <f t="shared" si="3"/>
        <v>32.869565217391305</v>
      </c>
      <c r="X63" s="36">
        <f t="shared" si="9"/>
        <v>32.869565217391305</v>
      </c>
      <c r="Y63" s="36" t="str">
        <f t="shared" si="11"/>
        <v/>
      </c>
      <c r="Z63" s="36" t="str">
        <f t="shared" si="10"/>
        <v/>
      </c>
      <c r="AA63" s="152"/>
      <c r="AB63" s="152"/>
      <c r="AC63" s="181"/>
      <c r="AD63" s="2"/>
      <c r="AE63" s="2"/>
      <c r="AF63" s="2"/>
      <c r="AG63" s="2"/>
      <c r="AH63" s="2"/>
      <c r="AI63" s="2"/>
      <c r="AJ63" s="2"/>
      <c r="AK63" s="2"/>
      <c r="AL63" s="2"/>
      <c r="AM63" s="2"/>
      <c r="AN63" s="2"/>
      <c r="AO63" s="1"/>
      <c r="AP63" s="1"/>
      <c r="AQ63" s="1"/>
      <c r="AR63" s="1"/>
      <c r="AS63" s="1"/>
      <c r="AT63" s="1"/>
      <c r="AU63" s="1"/>
      <c r="AV63" s="1"/>
      <c r="AW63" s="1"/>
      <c r="AX63" s="1"/>
      <c r="AY63" s="1"/>
    </row>
    <row r="64" spans="1:51" ht="17.25" thickBot="1" x14ac:dyDescent="0.35">
      <c r="A64" s="147">
        <v>23</v>
      </c>
      <c r="B64" s="105">
        <v>43619</v>
      </c>
      <c r="C64" s="102">
        <v>199</v>
      </c>
      <c r="D64" s="102"/>
      <c r="E64" s="102"/>
      <c r="F64" s="149">
        <f t="shared" ref="F64" si="49">SUM(M64:M69,O64:O69,Q64:Q69,S64:S69,I64:I69,K64:K69)</f>
        <v>32225</v>
      </c>
      <c r="G64" s="149">
        <f t="shared" ref="G64" si="50">SUM(M64:M69,O64:O69,Q64:Q69,S64:S69,U64:U69,K64:K69,I64:I69)</f>
        <v>32225</v>
      </c>
      <c r="H64" s="99">
        <v>1406</v>
      </c>
      <c r="I64" s="7">
        <f t="shared" si="15"/>
        <v>7030</v>
      </c>
      <c r="J64" s="99"/>
      <c r="K64" s="7">
        <f t="shared" si="16"/>
        <v>0</v>
      </c>
      <c r="L64" s="99"/>
      <c r="M64" s="7">
        <f t="shared" si="17"/>
        <v>0</v>
      </c>
      <c r="N64" s="99"/>
      <c r="O64" s="7">
        <f t="shared" si="18"/>
        <v>0</v>
      </c>
      <c r="P64" s="99"/>
      <c r="Q64" s="7">
        <f t="shared" si="12"/>
        <v>0</v>
      </c>
      <c r="R64" s="99"/>
      <c r="S64" s="7">
        <f t="shared" si="13"/>
        <v>0</v>
      </c>
      <c r="T64" s="99"/>
      <c r="U64" s="7">
        <f t="shared" si="14"/>
        <v>0</v>
      </c>
      <c r="V64" s="8">
        <f t="shared" si="19"/>
        <v>0.24506728020637245</v>
      </c>
      <c r="W64" s="8">
        <f t="shared" si="3"/>
        <v>35.326633165829143</v>
      </c>
      <c r="X64" s="8">
        <f t="shared" si="9"/>
        <v>35.326633165829143</v>
      </c>
      <c r="Y64" s="8" t="str">
        <f t="shared" si="11"/>
        <v/>
      </c>
      <c r="Z64" s="8" t="str">
        <f t="shared" si="10"/>
        <v/>
      </c>
      <c r="AA64" s="152">
        <f t="shared" ref="AA64" si="51">AVERAGE(W64:W69)</f>
        <v>32.092483286124491</v>
      </c>
      <c r="AB64" s="152">
        <f t="shared" ref="AB64" si="52">SUM(V64:V69)</f>
        <v>1.1233702851565224</v>
      </c>
      <c r="AC64" s="179">
        <v>1.3499616537683887</v>
      </c>
      <c r="AD64" s="2"/>
      <c r="AE64" s="2"/>
      <c r="AF64" s="2"/>
      <c r="AG64" s="2"/>
      <c r="AH64" s="2"/>
      <c r="AI64" s="2"/>
      <c r="AJ64" s="2"/>
      <c r="AK64" s="2"/>
      <c r="AL64" s="2"/>
      <c r="AM64" s="2"/>
      <c r="AN64" s="2"/>
      <c r="AO64" s="1"/>
      <c r="AP64" s="1"/>
      <c r="AQ64" s="1"/>
      <c r="AR64" s="1"/>
      <c r="AS64" s="1"/>
      <c r="AT64" s="1"/>
      <c r="AU64" s="1"/>
      <c r="AV64" s="1"/>
      <c r="AW64" s="1"/>
      <c r="AX64" s="1"/>
      <c r="AY64" s="1"/>
    </row>
    <row r="65" spans="1:51" ht="17.25" thickBot="1" x14ac:dyDescent="0.35">
      <c r="A65" s="147"/>
      <c r="B65" s="97">
        <v>43620</v>
      </c>
      <c r="C65" s="103">
        <v>81.25</v>
      </c>
      <c r="D65" s="103"/>
      <c r="E65" s="103"/>
      <c r="F65" s="150"/>
      <c r="G65" s="150"/>
      <c r="H65" s="100">
        <v>565</v>
      </c>
      <c r="I65" s="7">
        <f t="shared" si="15"/>
        <v>2825</v>
      </c>
      <c r="J65" s="100"/>
      <c r="K65" s="7">
        <f t="shared" si="16"/>
        <v>0</v>
      </c>
      <c r="L65" s="100"/>
      <c r="M65" s="7">
        <f t="shared" si="17"/>
        <v>0</v>
      </c>
      <c r="N65" s="100"/>
      <c r="O65" s="7">
        <f t="shared" si="18"/>
        <v>0</v>
      </c>
      <c r="P65" s="100"/>
      <c r="Q65" s="7">
        <f t="shared" si="12"/>
        <v>0</v>
      </c>
      <c r="R65" s="100"/>
      <c r="S65" s="7">
        <f t="shared" si="13"/>
        <v>0</v>
      </c>
      <c r="T65" s="100"/>
      <c r="U65" s="7">
        <f t="shared" si="14"/>
        <v>0</v>
      </c>
      <c r="V65" s="8">
        <f t="shared" si="19"/>
        <v>9.8480094819772712E-2</v>
      </c>
      <c r="W65" s="8">
        <f t="shared" si="3"/>
        <v>34.769230769230766</v>
      </c>
      <c r="X65" s="8">
        <f t="shared" si="9"/>
        <v>34.769230769230766</v>
      </c>
      <c r="Y65" s="8" t="str">
        <f t="shared" si="11"/>
        <v/>
      </c>
      <c r="Z65" s="8" t="str">
        <f t="shared" si="10"/>
        <v/>
      </c>
      <c r="AA65" s="152"/>
      <c r="AB65" s="152"/>
      <c r="AC65" s="180"/>
      <c r="AD65" s="2"/>
      <c r="AE65" s="2"/>
      <c r="AF65" s="2"/>
      <c r="AG65" s="2"/>
      <c r="AH65" s="2"/>
      <c r="AI65" s="2"/>
      <c r="AJ65" s="2"/>
      <c r="AK65" s="2"/>
      <c r="AL65" s="2"/>
      <c r="AM65" s="2"/>
      <c r="AN65" s="2"/>
      <c r="AO65" s="1"/>
      <c r="AP65" s="1"/>
      <c r="AQ65" s="1"/>
      <c r="AR65" s="1"/>
      <c r="AS65" s="1"/>
      <c r="AT65" s="1"/>
      <c r="AU65" s="1"/>
      <c r="AV65" s="1"/>
      <c r="AW65" s="1"/>
      <c r="AX65" s="1"/>
      <c r="AY65" s="1"/>
    </row>
    <row r="66" spans="1:51" ht="17.25" thickBot="1" x14ac:dyDescent="0.35">
      <c r="A66" s="147"/>
      <c r="B66" s="97">
        <v>43621</v>
      </c>
      <c r="C66" s="103">
        <v>189</v>
      </c>
      <c r="D66" s="103"/>
      <c r="E66" s="103"/>
      <c r="F66" s="150"/>
      <c r="G66" s="150"/>
      <c r="H66" s="100">
        <v>1171</v>
      </c>
      <c r="I66" s="7">
        <f t="shared" si="15"/>
        <v>5855</v>
      </c>
      <c r="J66" s="100"/>
      <c r="K66" s="7">
        <f t="shared" si="16"/>
        <v>0</v>
      </c>
      <c r="L66" s="100"/>
      <c r="M66" s="7">
        <f t="shared" si="17"/>
        <v>0</v>
      </c>
      <c r="N66" s="100"/>
      <c r="O66" s="7">
        <f t="shared" si="18"/>
        <v>0</v>
      </c>
      <c r="P66" s="100"/>
      <c r="Q66" s="7">
        <f t="shared" si="12"/>
        <v>0</v>
      </c>
      <c r="R66" s="100"/>
      <c r="S66" s="7">
        <f t="shared" si="13"/>
        <v>0</v>
      </c>
      <c r="T66" s="100"/>
      <c r="U66" s="7">
        <f t="shared" si="14"/>
        <v>0</v>
      </c>
      <c r="V66" s="8">
        <f t="shared" si="19"/>
        <v>0.20410653280345814</v>
      </c>
      <c r="W66" s="8">
        <f t="shared" si="3"/>
        <v>30.978835978835978</v>
      </c>
      <c r="X66" s="8">
        <f t="shared" si="9"/>
        <v>30.978835978835978</v>
      </c>
      <c r="Y66" s="8" t="str">
        <f t="shared" si="11"/>
        <v/>
      </c>
      <c r="Z66" s="8" t="str">
        <f t="shared" si="10"/>
        <v/>
      </c>
      <c r="AA66" s="152"/>
      <c r="AB66" s="152"/>
      <c r="AC66" s="180"/>
      <c r="AD66" s="2"/>
      <c r="AE66" s="2"/>
      <c r="AF66" s="2"/>
      <c r="AG66" s="2"/>
      <c r="AH66" s="2"/>
      <c r="AI66" s="2"/>
      <c r="AJ66" s="2"/>
      <c r="AK66" s="2"/>
      <c r="AL66" s="2"/>
      <c r="AM66" s="2"/>
      <c r="AN66" s="2"/>
      <c r="AO66" s="1"/>
      <c r="AP66" s="1"/>
      <c r="AQ66" s="1"/>
      <c r="AR66" s="1"/>
      <c r="AS66" s="1"/>
      <c r="AT66" s="1"/>
      <c r="AU66" s="1"/>
      <c r="AV66" s="1"/>
      <c r="AW66" s="1"/>
      <c r="AX66" s="1"/>
      <c r="AY66" s="1"/>
    </row>
    <row r="67" spans="1:51" ht="17.25" thickBot="1" x14ac:dyDescent="0.35">
      <c r="A67" s="147"/>
      <c r="B67" s="97">
        <v>43622</v>
      </c>
      <c r="C67" s="103">
        <v>224</v>
      </c>
      <c r="D67" s="103"/>
      <c r="E67" s="103"/>
      <c r="F67" s="150"/>
      <c r="G67" s="150"/>
      <c r="H67" s="100">
        <v>1357</v>
      </c>
      <c r="I67" s="7">
        <f t="shared" si="15"/>
        <v>6785</v>
      </c>
      <c r="J67" s="100"/>
      <c r="K67" s="7">
        <f t="shared" si="16"/>
        <v>0</v>
      </c>
      <c r="L67" s="100"/>
      <c r="M67" s="7">
        <f t="shared" si="17"/>
        <v>0</v>
      </c>
      <c r="N67" s="100"/>
      <c r="O67" s="7">
        <f t="shared" si="18"/>
        <v>0</v>
      </c>
      <c r="P67" s="100"/>
      <c r="Q67" s="7">
        <f t="shared" si="12"/>
        <v>0</v>
      </c>
      <c r="R67" s="100"/>
      <c r="S67" s="7">
        <f t="shared" si="13"/>
        <v>0</v>
      </c>
      <c r="T67" s="100"/>
      <c r="U67" s="7">
        <f t="shared" si="14"/>
        <v>0</v>
      </c>
      <c r="V67" s="8">
        <f t="shared" si="19"/>
        <v>0.23652652862023288</v>
      </c>
      <c r="W67" s="8">
        <f t="shared" si="3"/>
        <v>30.290178571428573</v>
      </c>
      <c r="X67" s="8">
        <f t="shared" si="9"/>
        <v>30.290178571428573</v>
      </c>
      <c r="Y67" s="8" t="str">
        <f t="shared" si="11"/>
        <v/>
      </c>
      <c r="Z67" s="8" t="str">
        <f t="shared" si="10"/>
        <v/>
      </c>
      <c r="AA67" s="152"/>
      <c r="AB67" s="152"/>
      <c r="AC67" s="180"/>
      <c r="AD67" s="2"/>
      <c r="AE67" s="2"/>
      <c r="AF67" s="2"/>
      <c r="AG67" s="2"/>
      <c r="AH67" s="2"/>
      <c r="AI67" s="2"/>
      <c r="AJ67" s="2"/>
      <c r="AK67" s="2"/>
      <c r="AL67" s="2"/>
      <c r="AM67" s="2"/>
      <c r="AN67" s="2"/>
      <c r="AO67" s="1"/>
      <c r="AP67" s="1"/>
      <c r="AQ67" s="1"/>
      <c r="AR67" s="1"/>
      <c r="AS67" s="1"/>
      <c r="AT67" s="1"/>
      <c r="AU67" s="1"/>
      <c r="AV67" s="1"/>
      <c r="AW67" s="1"/>
      <c r="AX67" s="1"/>
      <c r="AY67" s="1"/>
    </row>
    <row r="68" spans="1:51" ht="17.25" thickBot="1" x14ac:dyDescent="0.35">
      <c r="A68" s="147"/>
      <c r="B68" s="97">
        <v>43623</v>
      </c>
      <c r="C68" s="103">
        <v>235.5</v>
      </c>
      <c r="D68" s="103"/>
      <c r="E68" s="103"/>
      <c r="F68" s="150"/>
      <c r="G68" s="150"/>
      <c r="H68" s="100">
        <v>1367</v>
      </c>
      <c r="I68" s="7">
        <f t="shared" si="15"/>
        <v>6835</v>
      </c>
      <c r="J68" s="100"/>
      <c r="K68" s="7">
        <f t="shared" si="16"/>
        <v>0</v>
      </c>
      <c r="L68" s="100"/>
      <c r="M68" s="7">
        <f t="shared" si="17"/>
        <v>0</v>
      </c>
      <c r="N68" s="100"/>
      <c r="O68" s="7">
        <f t="shared" si="18"/>
        <v>0</v>
      </c>
      <c r="P68" s="100"/>
      <c r="Q68" s="7">
        <f t="shared" si="12"/>
        <v>0</v>
      </c>
      <c r="R68" s="100"/>
      <c r="S68" s="7">
        <f t="shared" si="13"/>
        <v>0</v>
      </c>
      <c r="T68" s="100"/>
      <c r="U68" s="7">
        <f t="shared" si="14"/>
        <v>0</v>
      </c>
      <c r="V68" s="8">
        <f t="shared" si="19"/>
        <v>0.23826953914801646</v>
      </c>
      <c r="W68" s="8">
        <f t="shared" ref="W68:W116" si="53">IF((E68+D68+C68)=0,"",(M68+O68+Q68+S68+U68+I68+K68)/(C68+D68+E68))</f>
        <v>29.023354564755838</v>
      </c>
      <c r="X68" s="8">
        <f t="shared" si="9"/>
        <v>29.023354564755838</v>
      </c>
      <c r="Y68" s="8" t="str">
        <f t="shared" si="11"/>
        <v/>
      </c>
      <c r="Z68" s="8" t="str">
        <f t="shared" si="10"/>
        <v/>
      </c>
      <c r="AA68" s="152"/>
      <c r="AB68" s="152"/>
      <c r="AC68" s="180"/>
      <c r="AD68" s="2"/>
      <c r="AE68" s="2"/>
      <c r="AF68" s="2"/>
      <c r="AG68" s="2"/>
      <c r="AH68" s="2"/>
      <c r="AI68" s="2"/>
      <c r="AJ68" s="2"/>
      <c r="AK68" s="2"/>
      <c r="AL68" s="2"/>
      <c r="AM68" s="2"/>
      <c r="AN68" s="2"/>
      <c r="AO68" s="1"/>
      <c r="AP68" s="1"/>
      <c r="AQ68" s="1"/>
      <c r="AR68" s="1"/>
      <c r="AS68" s="1"/>
      <c r="AT68" s="1"/>
      <c r="AU68" s="1"/>
      <c r="AV68" s="1"/>
      <c r="AW68" s="1"/>
      <c r="AX68" s="1"/>
      <c r="AY68" s="1"/>
    </row>
    <row r="69" spans="1:51" ht="17.25" thickBot="1" x14ac:dyDescent="0.35">
      <c r="A69" s="148"/>
      <c r="B69" s="98">
        <v>43624</v>
      </c>
      <c r="C69" s="104">
        <v>90</v>
      </c>
      <c r="D69" s="104"/>
      <c r="E69" s="104"/>
      <c r="F69" s="151"/>
      <c r="G69" s="151"/>
      <c r="H69" s="101">
        <v>579</v>
      </c>
      <c r="I69" s="39">
        <f t="shared" si="15"/>
        <v>2895</v>
      </c>
      <c r="J69" s="101"/>
      <c r="K69" s="39">
        <f t="shared" si="16"/>
        <v>0</v>
      </c>
      <c r="L69" s="101"/>
      <c r="M69" s="39">
        <f t="shared" si="17"/>
        <v>0</v>
      </c>
      <c r="N69" s="101"/>
      <c r="O69" s="39">
        <f t="shared" si="18"/>
        <v>0</v>
      </c>
      <c r="P69" s="101"/>
      <c r="Q69" s="39">
        <f t="shared" si="12"/>
        <v>0</v>
      </c>
      <c r="R69" s="101"/>
      <c r="S69" s="39">
        <f t="shared" si="13"/>
        <v>0</v>
      </c>
      <c r="T69" s="101"/>
      <c r="U69" s="39">
        <f t="shared" si="14"/>
        <v>0</v>
      </c>
      <c r="V69" s="36">
        <f t="shared" si="19"/>
        <v>0.10092030955866974</v>
      </c>
      <c r="W69" s="36">
        <f t="shared" si="53"/>
        <v>32.166666666666664</v>
      </c>
      <c r="X69" s="36">
        <f t="shared" ref="X69:X132" si="54">IF(C69=0,"",(S69+U69+I69)/C69)</f>
        <v>32.166666666666664</v>
      </c>
      <c r="Y69" s="36" t="str">
        <f t="shared" si="11"/>
        <v/>
      </c>
      <c r="Z69" s="36" t="str">
        <f t="shared" ref="Z69:Z132" si="55">IF(E69=0,"",Q69/E69)</f>
        <v/>
      </c>
      <c r="AA69" s="152"/>
      <c r="AB69" s="152"/>
      <c r="AC69" s="181"/>
      <c r="AD69" s="2"/>
      <c r="AE69" s="2"/>
      <c r="AF69" s="2"/>
      <c r="AG69" s="2"/>
      <c r="AH69" s="2"/>
      <c r="AI69" s="2"/>
      <c r="AJ69" s="2"/>
      <c r="AK69" s="2"/>
      <c r="AL69" s="2"/>
      <c r="AM69" s="2"/>
      <c r="AN69" s="2"/>
      <c r="AO69" s="1"/>
      <c r="AP69" s="1"/>
      <c r="AQ69" s="1"/>
      <c r="AR69" s="1"/>
      <c r="AS69" s="1"/>
      <c r="AT69" s="1"/>
      <c r="AU69" s="1"/>
      <c r="AV69" s="1"/>
      <c r="AW69" s="1"/>
      <c r="AX69" s="1"/>
      <c r="AY69" s="1"/>
    </row>
    <row r="70" spans="1:51" ht="17.25" thickBot="1" x14ac:dyDescent="0.35">
      <c r="A70" s="147">
        <v>24</v>
      </c>
      <c r="B70" s="105">
        <v>43626</v>
      </c>
      <c r="C70" s="102">
        <v>202</v>
      </c>
      <c r="D70" s="102"/>
      <c r="E70" s="102">
        <v>15</v>
      </c>
      <c r="F70" s="149">
        <f t="shared" ref="F70" si="56">SUM(M70:M75,O70:O75,Q70:Q75,S70:S75,I70:I75,K70:K75)</f>
        <v>24715</v>
      </c>
      <c r="G70" s="149">
        <f t="shared" ref="G70" si="57">SUM(M70:M75,O70:O75,Q70:Q75,S70:S75,U70:U75,K70:K75,I70:I75)</f>
        <v>24715</v>
      </c>
      <c r="H70" s="99">
        <v>1009</v>
      </c>
      <c r="I70" s="7">
        <f t="shared" si="15"/>
        <v>5045</v>
      </c>
      <c r="J70" s="99"/>
      <c r="K70" s="7">
        <f t="shared" si="16"/>
        <v>0</v>
      </c>
      <c r="L70" s="99"/>
      <c r="M70" s="7">
        <f t="shared" si="17"/>
        <v>0</v>
      </c>
      <c r="N70" s="99"/>
      <c r="O70" s="7">
        <f t="shared" si="18"/>
        <v>0</v>
      </c>
      <c r="P70" s="99">
        <v>80</v>
      </c>
      <c r="Q70" s="7">
        <f t="shared" si="12"/>
        <v>320</v>
      </c>
      <c r="R70" s="99"/>
      <c r="S70" s="7">
        <f t="shared" si="13"/>
        <v>0</v>
      </c>
      <c r="T70" s="99"/>
      <c r="U70" s="7">
        <f t="shared" si="14"/>
        <v>0</v>
      </c>
      <c r="V70" s="8">
        <f t="shared" si="19"/>
        <v>0.18702502963117898</v>
      </c>
      <c r="W70" s="8">
        <f t="shared" si="53"/>
        <v>24.723502304147466</v>
      </c>
      <c r="X70" s="8">
        <f t="shared" si="54"/>
        <v>24.975247524752476</v>
      </c>
      <c r="Y70" s="8" t="str">
        <f t="shared" ref="Y70:Y133" si="58">IF(D70=0,"",(K70+M70+O70)/D70)</f>
        <v/>
      </c>
      <c r="Z70" s="8">
        <f t="shared" si="55"/>
        <v>21.333333333333332</v>
      </c>
      <c r="AA70" s="152">
        <f t="shared" ref="AA70" si="59">AVERAGE(W70:W75)</f>
        <v>25.145202740426008</v>
      </c>
      <c r="AB70" s="152">
        <f t="shared" ref="AB70" si="60">SUM(V70:V75)</f>
        <v>0.86157010388342747</v>
      </c>
      <c r="AC70" s="179">
        <v>1.057135885100746</v>
      </c>
      <c r="AD70" s="2"/>
      <c r="AE70" s="2"/>
      <c r="AF70" s="2"/>
      <c r="AG70" s="2"/>
      <c r="AH70" s="2"/>
      <c r="AI70" s="2"/>
      <c r="AJ70" s="2"/>
      <c r="AK70" s="2"/>
      <c r="AL70" s="2"/>
      <c r="AM70" s="2"/>
      <c r="AN70" s="2"/>
      <c r="AO70" s="1"/>
      <c r="AP70" s="1"/>
      <c r="AQ70" s="1"/>
      <c r="AR70" s="1"/>
      <c r="AS70" s="1"/>
      <c r="AT70" s="1"/>
      <c r="AU70" s="1"/>
      <c r="AV70" s="1"/>
      <c r="AW70" s="1"/>
      <c r="AX70" s="1"/>
      <c r="AY70" s="1"/>
    </row>
    <row r="71" spans="1:51" ht="17.25" thickBot="1" x14ac:dyDescent="0.35">
      <c r="A71" s="147"/>
      <c r="B71" s="97">
        <v>43627</v>
      </c>
      <c r="C71" s="103">
        <v>225</v>
      </c>
      <c r="D71" s="103"/>
      <c r="E71" s="103"/>
      <c r="F71" s="150"/>
      <c r="G71" s="150"/>
      <c r="H71" s="100">
        <v>975</v>
      </c>
      <c r="I71" s="7">
        <f t="shared" si="15"/>
        <v>4875</v>
      </c>
      <c r="J71" s="100"/>
      <c r="K71" s="7">
        <f t="shared" si="16"/>
        <v>0</v>
      </c>
      <c r="L71" s="100"/>
      <c r="M71" s="7">
        <f t="shared" si="17"/>
        <v>0</v>
      </c>
      <c r="N71" s="100"/>
      <c r="O71" s="7">
        <f t="shared" si="18"/>
        <v>0</v>
      </c>
      <c r="P71" s="100"/>
      <c r="Q71" s="7">
        <f t="shared" si="12"/>
        <v>0</v>
      </c>
      <c r="R71" s="100"/>
      <c r="S71" s="7">
        <f t="shared" si="13"/>
        <v>0</v>
      </c>
      <c r="T71" s="100"/>
      <c r="U71" s="7">
        <f t="shared" si="14"/>
        <v>0</v>
      </c>
      <c r="V71" s="8">
        <f t="shared" si="19"/>
        <v>0.16994352645889982</v>
      </c>
      <c r="W71" s="8">
        <f t="shared" si="53"/>
        <v>21.666666666666668</v>
      </c>
      <c r="X71" s="8">
        <f t="shared" si="54"/>
        <v>21.666666666666668</v>
      </c>
      <c r="Y71" s="8" t="str">
        <f t="shared" si="58"/>
        <v/>
      </c>
      <c r="Z71" s="8" t="str">
        <f t="shared" si="55"/>
        <v/>
      </c>
      <c r="AA71" s="152"/>
      <c r="AB71" s="152"/>
      <c r="AC71" s="180"/>
      <c r="AD71" s="2"/>
      <c r="AE71" s="2"/>
      <c r="AF71" s="2"/>
      <c r="AG71" s="2"/>
      <c r="AH71" s="2"/>
      <c r="AI71" s="2"/>
      <c r="AJ71" s="2"/>
      <c r="AK71" s="2"/>
      <c r="AL71" s="2"/>
      <c r="AM71" s="2"/>
      <c r="AN71" s="2"/>
      <c r="AO71" s="1"/>
      <c r="AP71" s="1"/>
      <c r="AQ71" s="1"/>
      <c r="AR71" s="1"/>
      <c r="AS71" s="1"/>
      <c r="AT71" s="1"/>
      <c r="AU71" s="1"/>
      <c r="AV71" s="1"/>
      <c r="AW71" s="1"/>
      <c r="AX71" s="1"/>
      <c r="AY71" s="1"/>
    </row>
    <row r="72" spans="1:51" ht="17.25" thickBot="1" x14ac:dyDescent="0.35">
      <c r="A72" s="147"/>
      <c r="B72" s="97">
        <v>43628</v>
      </c>
      <c r="C72" s="103">
        <v>221</v>
      </c>
      <c r="D72" s="103"/>
      <c r="E72" s="103"/>
      <c r="F72" s="150"/>
      <c r="G72" s="150"/>
      <c r="H72" s="100">
        <v>1135</v>
      </c>
      <c r="I72" s="7">
        <f t="shared" si="15"/>
        <v>5675</v>
      </c>
      <c r="J72" s="100"/>
      <c r="K72" s="7">
        <f t="shared" si="16"/>
        <v>0</v>
      </c>
      <c r="L72" s="100"/>
      <c r="M72" s="7">
        <f t="shared" si="17"/>
        <v>0</v>
      </c>
      <c r="N72" s="100"/>
      <c r="O72" s="7">
        <f t="shared" si="18"/>
        <v>0</v>
      </c>
      <c r="P72" s="100"/>
      <c r="Q72" s="7">
        <f t="shared" si="12"/>
        <v>0</v>
      </c>
      <c r="R72" s="100"/>
      <c r="S72" s="7">
        <f t="shared" si="13"/>
        <v>0</v>
      </c>
      <c r="T72" s="100"/>
      <c r="U72" s="7">
        <f t="shared" si="14"/>
        <v>0</v>
      </c>
      <c r="V72" s="8">
        <f t="shared" si="19"/>
        <v>0.19783169490343722</v>
      </c>
      <c r="W72" s="8">
        <f t="shared" si="53"/>
        <v>25.678733031674209</v>
      </c>
      <c r="X72" s="8">
        <f t="shared" si="54"/>
        <v>25.678733031674209</v>
      </c>
      <c r="Y72" s="8" t="str">
        <f t="shared" si="58"/>
        <v/>
      </c>
      <c r="Z72" s="8" t="str">
        <f t="shared" si="55"/>
        <v/>
      </c>
      <c r="AA72" s="152"/>
      <c r="AB72" s="152"/>
      <c r="AC72" s="180"/>
      <c r="AD72" s="2"/>
      <c r="AE72" s="2"/>
      <c r="AF72" s="2"/>
      <c r="AG72" s="2"/>
      <c r="AH72" s="2"/>
      <c r="AI72" s="2"/>
      <c r="AJ72" s="2"/>
      <c r="AK72" s="2"/>
      <c r="AL72" s="2"/>
      <c r="AM72" s="2"/>
      <c r="AN72" s="2"/>
      <c r="AO72" s="1"/>
      <c r="AP72" s="1"/>
      <c r="AQ72" s="1"/>
      <c r="AR72" s="1"/>
      <c r="AS72" s="1"/>
      <c r="AT72" s="1"/>
      <c r="AU72" s="1"/>
      <c r="AV72" s="1"/>
      <c r="AW72" s="1"/>
      <c r="AX72" s="1"/>
      <c r="AY72" s="1"/>
    </row>
    <row r="73" spans="1:51" ht="17.25" thickBot="1" x14ac:dyDescent="0.35">
      <c r="A73" s="147"/>
      <c r="B73" s="97">
        <v>43629</v>
      </c>
      <c r="C73" s="103">
        <v>196</v>
      </c>
      <c r="D73" s="103"/>
      <c r="E73" s="103"/>
      <c r="F73" s="150"/>
      <c r="G73" s="150"/>
      <c r="H73" s="100">
        <v>1068</v>
      </c>
      <c r="I73" s="7">
        <f t="shared" si="15"/>
        <v>5340</v>
      </c>
      <c r="J73" s="100"/>
      <c r="K73" s="7">
        <f t="shared" si="16"/>
        <v>0</v>
      </c>
      <c r="L73" s="100"/>
      <c r="M73" s="7">
        <f t="shared" si="17"/>
        <v>0</v>
      </c>
      <c r="N73" s="100"/>
      <c r="O73" s="7">
        <f t="shared" si="18"/>
        <v>0</v>
      </c>
      <c r="P73" s="100"/>
      <c r="Q73" s="7">
        <f t="shared" si="12"/>
        <v>0</v>
      </c>
      <c r="R73" s="100"/>
      <c r="S73" s="7">
        <f t="shared" si="13"/>
        <v>0</v>
      </c>
      <c r="T73" s="100"/>
      <c r="U73" s="7">
        <f t="shared" si="14"/>
        <v>0</v>
      </c>
      <c r="V73" s="8">
        <f t="shared" si="19"/>
        <v>0.18615352436728719</v>
      </c>
      <c r="W73" s="8">
        <f t="shared" si="53"/>
        <v>27.244897959183675</v>
      </c>
      <c r="X73" s="8">
        <f t="shared" si="54"/>
        <v>27.244897959183675</v>
      </c>
      <c r="Y73" s="8" t="str">
        <f t="shared" si="58"/>
        <v/>
      </c>
      <c r="Z73" s="8" t="str">
        <f t="shared" si="55"/>
        <v/>
      </c>
      <c r="AA73" s="152"/>
      <c r="AB73" s="152"/>
      <c r="AC73" s="180"/>
      <c r="AD73" s="2"/>
      <c r="AE73" s="2"/>
      <c r="AF73" s="2"/>
      <c r="AG73" s="2"/>
      <c r="AH73" s="2"/>
      <c r="AI73" s="2"/>
      <c r="AJ73" s="2"/>
      <c r="AK73" s="2"/>
      <c r="AL73" s="2"/>
      <c r="AM73" s="2"/>
      <c r="AN73" s="2"/>
      <c r="AO73" s="1"/>
      <c r="AP73" s="1"/>
      <c r="AQ73" s="1"/>
      <c r="AR73" s="1"/>
      <c r="AS73" s="1"/>
      <c r="AT73" s="1"/>
      <c r="AU73" s="1"/>
      <c r="AV73" s="1"/>
      <c r="AW73" s="1"/>
      <c r="AX73" s="1"/>
      <c r="AY73" s="1"/>
    </row>
    <row r="74" spans="1:51" ht="17.25" thickBot="1" x14ac:dyDescent="0.35">
      <c r="A74" s="147"/>
      <c r="B74" s="97">
        <v>43630</v>
      </c>
      <c r="C74" s="103">
        <v>131</v>
      </c>
      <c r="D74" s="103"/>
      <c r="E74" s="103"/>
      <c r="F74" s="150"/>
      <c r="G74" s="150"/>
      <c r="H74" s="100">
        <v>692</v>
      </c>
      <c r="I74" s="7">
        <f t="shared" si="15"/>
        <v>3460</v>
      </c>
      <c r="J74" s="100"/>
      <c r="K74" s="7">
        <f t="shared" si="16"/>
        <v>0</v>
      </c>
      <c r="L74" s="100"/>
      <c r="M74" s="7">
        <f t="shared" si="17"/>
        <v>0</v>
      </c>
      <c r="N74" s="100"/>
      <c r="O74" s="7">
        <f t="shared" si="18"/>
        <v>0</v>
      </c>
      <c r="P74" s="100"/>
      <c r="Q74" s="7">
        <f t="shared" ref="Q74:Q137" si="61">P74*P$3</f>
        <v>0</v>
      </c>
      <c r="R74" s="100"/>
      <c r="S74" s="7">
        <f t="shared" ref="S74:S137" si="62">R74*R$3</f>
        <v>0</v>
      </c>
      <c r="T74" s="100"/>
      <c r="U74" s="7">
        <f t="shared" ref="U74:U137" si="63">T74*T$3</f>
        <v>0</v>
      </c>
      <c r="V74" s="8">
        <f t="shared" si="19"/>
        <v>0.12061632852262427</v>
      </c>
      <c r="W74" s="8">
        <f t="shared" si="53"/>
        <v>26.412213740458014</v>
      </c>
      <c r="X74" s="8">
        <f t="shared" si="54"/>
        <v>26.412213740458014</v>
      </c>
      <c r="Y74" s="8" t="str">
        <f t="shared" si="58"/>
        <v/>
      </c>
      <c r="Z74" s="8" t="str">
        <f t="shared" si="55"/>
        <v/>
      </c>
      <c r="AA74" s="152"/>
      <c r="AB74" s="152"/>
      <c r="AC74" s="180"/>
      <c r="AD74" s="2"/>
      <c r="AE74" s="2"/>
      <c r="AF74" s="2"/>
      <c r="AG74" s="2"/>
      <c r="AH74" s="2"/>
      <c r="AI74" s="2"/>
      <c r="AJ74" s="2"/>
      <c r="AK74" s="2"/>
      <c r="AL74" s="2"/>
      <c r="AM74" s="2"/>
      <c r="AN74" s="2"/>
      <c r="AO74" s="1"/>
      <c r="AP74" s="1"/>
      <c r="AQ74" s="1"/>
      <c r="AR74" s="1"/>
      <c r="AS74" s="1"/>
      <c r="AT74" s="1"/>
      <c r="AU74" s="1"/>
      <c r="AV74" s="1"/>
      <c r="AW74" s="1"/>
      <c r="AX74" s="1"/>
      <c r="AY74" s="1"/>
    </row>
    <row r="75" spans="1:51" ht="17.25" thickBot="1" x14ac:dyDescent="0.35">
      <c r="A75" s="147"/>
      <c r="B75" s="98"/>
      <c r="C75" s="104"/>
      <c r="D75" s="104"/>
      <c r="E75" s="104"/>
      <c r="F75" s="151"/>
      <c r="G75" s="151"/>
      <c r="H75" s="101"/>
      <c r="I75" s="7">
        <f t="shared" ref="I75:I138" si="64">H75*H$3</f>
        <v>0</v>
      </c>
      <c r="J75" s="101"/>
      <c r="K75" s="7">
        <f t="shared" ref="K75:K138" si="65">J75*J$3</f>
        <v>0</v>
      </c>
      <c r="L75" s="101"/>
      <c r="M75" s="7">
        <f t="shared" ref="M75:M138" si="66">L75*L$3</f>
        <v>0</v>
      </c>
      <c r="N75" s="101"/>
      <c r="O75" s="7">
        <f t="shared" ref="O75:O138" si="67">N75*N$3</f>
        <v>0</v>
      </c>
      <c r="P75" s="101"/>
      <c r="Q75" s="7">
        <f t="shared" si="61"/>
        <v>0</v>
      </c>
      <c r="R75" s="101"/>
      <c r="S75" s="7">
        <f t="shared" si="62"/>
        <v>0</v>
      </c>
      <c r="T75" s="101"/>
      <c r="U75" s="7">
        <f t="shared" si="63"/>
        <v>0</v>
      </c>
      <c r="V75" s="8">
        <f t="shared" ref="V75:V138" si="68">(M75+O75+Q75+S75+I75+K75)/H$1</f>
        <v>0</v>
      </c>
      <c r="W75" s="8" t="str">
        <f t="shared" si="53"/>
        <v/>
      </c>
      <c r="X75" s="8" t="str">
        <f t="shared" si="54"/>
        <v/>
      </c>
      <c r="Y75" s="8" t="str">
        <f t="shared" si="58"/>
        <v/>
      </c>
      <c r="Z75" s="8" t="str">
        <f t="shared" si="55"/>
        <v/>
      </c>
      <c r="AA75" s="152"/>
      <c r="AB75" s="152"/>
      <c r="AC75" s="181"/>
      <c r="AD75" s="2"/>
      <c r="AE75" s="2"/>
      <c r="AF75" s="2"/>
      <c r="AG75" s="2"/>
      <c r="AH75" s="2"/>
      <c r="AI75" s="2"/>
      <c r="AJ75" s="2"/>
      <c r="AK75" s="2"/>
      <c r="AL75" s="2"/>
      <c r="AM75" s="2"/>
      <c r="AN75" s="2"/>
      <c r="AO75" s="1"/>
      <c r="AP75" s="1"/>
      <c r="AQ75" s="1"/>
      <c r="AR75" s="1"/>
      <c r="AS75" s="1"/>
      <c r="AT75" s="1"/>
      <c r="AU75" s="1"/>
      <c r="AV75" s="1"/>
      <c r="AW75" s="1"/>
      <c r="AX75" s="1"/>
      <c r="AY75" s="1"/>
    </row>
    <row r="76" spans="1:51" ht="17.25" thickBot="1" x14ac:dyDescent="0.35">
      <c r="A76" s="146">
        <v>25</v>
      </c>
      <c r="B76" s="105">
        <v>43633</v>
      </c>
      <c r="C76" s="102">
        <v>192</v>
      </c>
      <c r="D76" s="102"/>
      <c r="E76" s="102"/>
      <c r="F76" s="149">
        <f t="shared" ref="F76" si="69">SUM(M76:M81,O76:O81,Q76:Q81,S76:S81,I76:I81,K76:K81)</f>
        <v>21605</v>
      </c>
      <c r="G76" s="149">
        <f t="shared" ref="G76" si="70">SUM(M76:M81,O76:O81,Q76:Q81,S76:S81,U76:U81,K76:K81,I76:I81)</f>
        <v>21605</v>
      </c>
      <c r="H76" s="99">
        <v>1164</v>
      </c>
      <c r="I76" s="40">
        <f t="shared" si="64"/>
        <v>5820</v>
      </c>
      <c r="J76" s="99"/>
      <c r="K76" s="40">
        <f t="shared" si="65"/>
        <v>0</v>
      </c>
      <c r="L76" s="99"/>
      <c r="M76" s="40">
        <f t="shared" si="66"/>
        <v>0</v>
      </c>
      <c r="N76" s="99"/>
      <c r="O76" s="40">
        <f t="shared" si="67"/>
        <v>0</v>
      </c>
      <c r="P76" s="99"/>
      <c r="Q76" s="40">
        <f t="shared" si="61"/>
        <v>0</v>
      </c>
      <c r="R76" s="99"/>
      <c r="S76" s="40">
        <f t="shared" si="62"/>
        <v>0</v>
      </c>
      <c r="T76" s="99"/>
      <c r="U76" s="40">
        <f t="shared" si="63"/>
        <v>0</v>
      </c>
      <c r="V76" s="34">
        <f t="shared" si="68"/>
        <v>0.20288642543400962</v>
      </c>
      <c r="W76" s="34">
        <f t="shared" si="53"/>
        <v>30.3125</v>
      </c>
      <c r="X76" s="34">
        <f t="shared" si="54"/>
        <v>30.3125</v>
      </c>
      <c r="Y76" s="34" t="str">
        <f t="shared" si="58"/>
        <v/>
      </c>
      <c r="Z76" s="34" t="str">
        <f t="shared" si="55"/>
        <v/>
      </c>
      <c r="AA76" s="152">
        <f>AVERAGE(W76:W81)</f>
        <v>29.828140365908069</v>
      </c>
      <c r="AB76" s="152">
        <f t="shared" ref="AB76" si="71">SUM(V76:V81)</f>
        <v>0.7531548490552884</v>
      </c>
      <c r="AC76" s="179">
        <v>1.0663738408979992</v>
      </c>
      <c r="AD76" s="2"/>
      <c r="AE76" s="2"/>
      <c r="AF76" s="2"/>
      <c r="AG76" s="2"/>
      <c r="AH76" s="2"/>
      <c r="AI76" s="2"/>
      <c r="AJ76" s="2"/>
      <c r="AK76" s="2"/>
      <c r="AL76" s="2"/>
      <c r="AM76" s="2"/>
      <c r="AN76" s="2"/>
      <c r="AO76" s="1"/>
      <c r="AP76" s="1"/>
      <c r="AQ76" s="1"/>
      <c r="AR76" s="1"/>
      <c r="AS76" s="1"/>
      <c r="AT76" s="1"/>
      <c r="AU76" s="1"/>
      <c r="AV76" s="1"/>
      <c r="AW76" s="1"/>
      <c r="AX76" s="1"/>
      <c r="AY76" s="1"/>
    </row>
    <row r="77" spans="1:51" ht="17.25" thickBot="1" x14ac:dyDescent="0.35">
      <c r="A77" s="147"/>
      <c r="B77" s="97">
        <v>43634</v>
      </c>
      <c r="C77" s="103">
        <v>158.75</v>
      </c>
      <c r="D77" s="103"/>
      <c r="E77" s="103"/>
      <c r="F77" s="150"/>
      <c r="G77" s="150"/>
      <c r="H77" s="100">
        <v>948</v>
      </c>
      <c r="I77" s="7">
        <f t="shared" si="64"/>
        <v>4740</v>
      </c>
      <c r="J77" s="100"/>
      <c r="K77" s="7">
        <f t="shared" si="65"/>
        <v>0</v>
      </c>
      <c r="L77" s="100"/>
      <c r="M77" s="7">
        <f t="shared" si="66"/>
        <v>0</v>
      </c>
      <c r="N77" s="100"/>
      <c r="O77" s="7">
        <f t="shared" si="67"/>
        <v>0</v>
      </c>
      <c r="P77" s="100"/>
      <c r="Q77" s="7">
        <f t="shared" si="61"/>
        <v>0</v>
      </c>
      <c r="R77" s="100"/>
      <c r="S77" s="7">
        <f t="shared" si="62"/>
        <v>0</v>
      </c>
      <c r="T77" s="100"/>
      <c r="U77" s="7">
        <f t="shared" si="63"/>
        <v>0</v>
      </c>
      <c r="V77" s="8">
        <f t="shared" si="68"/>
        <v>0.16523739803388413</v>
      </c>
      <c r="W77" s="8">
        <f t="shared" si="53"/>
        <v>29.858267716535433</v>
      </c>
      <c r="X77" s="8">
        <f t="shared" si="54"/>
        <v>29.858267716535433</v>
      </c>
      <c r="Y77" s="8" t="str">
        <f t="shared" si="58"/>
        <v/>
      </c>
      <c r="Z77" s="8" t="str">
        <f t="shared" si="55"/>
        <v/>
      </c>
      <c r="AA77" s="152"/>
      <c r="AB77" s="152"/>
      <c r="AC77" s="180"/>
      <c r="AD77" s="2"/>
      <c r="AE77" s="2"/>
      <c r="AF77" s="2"/>
      <c r="AG77" s="2"/>
      <c r="AH77" s="2"/>
      <c r="AI77" s="2"/>
      <c r="AJ77" s="2"/>
      <c r="AK77" s="2"/>
      <c r="AL77" s="2"/>
      <c r="AM77" s="2"/>
      <c r="AN77" s="2"/>
      <c r="AO77" s="1"/>
      <c r="AP77" s="1"/>
      <c r="AQ77" s="1"/>
      <c r="AR77" s="1"/>
      <c r="AS77" s="1"/>
      <c r="AT77" s="1"/>
      <c r="AU77" s="1"/>
      <c r="AV77" s="1"/>
      <c r="AW77" s="1"/>
      <c r="AX77" s="1"/>
      <c r="AY77" s="1"/>
    </row>
    <row r="78" spans="1:51" ht="17.25" thickBot="1" x14ac:dyDescent="0.35">
      <c r="A78" s="147"/>
      <c r="B78" s="97">
        <v>43635</v>
      </c>
      <c r="C78" s="103">
        <v>135</v>
      </c>
      <c r="D78" s="103"/>
      <c r="E78" s="103"/>
      <c r="F78" s="150"/>
      <c r="G78" s="150"/>
      <c r="H78" s="100">
        <v>821</v>
      </c>
      <c r="I78" s="7">
        <f t="shared" si="64"/>
        <v>4105</v>
      </c>
      <c r="J78" s="100"/>
      <c r="K78" s="7">
        <f t="shared" si="65"/>
        <v>0</v>
      </c>
      <c r="L78" s="100"/>
      <c r="M78" s="7">
        <f t="shared" si="66"/>
        <v>0</v>
      </c>
      <c r="N78" s="100"/>
      <c r="O78" s="7">
        <f t="shared" si="67"/>
        <v>0</v>
      </c>
      <c r="P78" s="100"/>
      <c r="Q78" s="7">
        <f t="shared" si="61"/>
        <v>0</v>
      </c>
      <c r="R78" s="100"/>
      <c r="S78" s="7">
        <f t="shared" si="62"/>
        <v>0</v>
      </c>
      <c r="T78" s="100"/>
      <c r="U78" s="7">
        <f t="shared" si="63"/>
        <v>0</v>
      </c>
      <c r="V78" s="8">
        <f t="shared" si="68"/>
        <v>0.14310116433103257</v>
      </c>
      <c r="W78" s="8">
        <f t="shared" si="53"/>
        <v>30.407407407407408</v>
      </c>
      <c r="X78" s="8">
        <f t="shared" si="54"/>
        <v>30.407407407407408</v>
      </c>
      <c r="Y78" s="8" t="str">
        <f t="shared" si="58"/>
        <v/>
      </c>
      <c r="Z78" s="8" t="str">
        <f t="shared" si="55"/>
        <v/>
      </c>
      <c r="AA78" s="152"/>
      <c r="AB78" s="152"/>
      <c r="AC78" s="180"/>
      <c r="AD78" s="2"/>
      <c r="AE78" s="2"/>
      <c r="AF78" s="2"/>
      <c r="AG78" s="2"/>
      <c r="AH78" s="2"/>
      <c r="AI78" s="2"/>
      <c r="AJ78" s="2"/>
      <c r="AK78" s="2"/>
      <c r="AL78" s="2"/>
      <c r="AM78" s="2"/>
      <c r="AN78" s="2"/>
      <c r="AO78" s="1"/>
      <c r="AP78" s="1"/>
      <c r="AQ78" s="1"/>
      <c r="AR78" s="1"/>
      <c r="AS78" s="1"/>
      <c r="AT78" s="1"/>
      <c r="AU78" s="1"/>
      <c r="AV78" s="1"/>
      <c r="AW78" s="1"/>
      <c r="AX78" s="1"/>
      <c r="AY78" s="1"/>
    </row>
    <row r="79" spans="1:51" ht="17.25" thickBot="1" x14ac:dyDescent="0.35">
      <c r="A79" s="147"/>
      <c r="B79" s="97">
        <v>43636</v>
      </c>
      <c r="C79" s="103">
        <v>119</v>
      </c>
      <c r="D79" s="103"/>
      <c r="E79" s="103"/>
      <c r="F79" s="150"/>
      <c r="G79" s="150"/>
      <c r="H79" s="100">
        <v>705</v>
      </c>
      <c r="I79" s="7">
        <f t="shared" si="64"/>
        <v>3525</v>
      </c>
      <c r="J79" s="100"/>
      <c r="K79" s="7">
        <f t="shared" si="65"/>
        <v>0</v>
      </c>
      <c r="L79" s="100"/>
      <c r="M79" s="7">
        <f t="shared" si="66"/>
        <v>0</v>
      </c>
      <c r="N79" s="100"/>
      <c r="O79" s="7">
        <f t="shared" si="67"/>
        <v>0</v>
      </c>
      <c r="P79" s="100"/>
      <c r="Q79" s="7">
        <f t="shared" si="61"/>
        <v>0</v>
      </c>
      <c r="R79" s="100"/>
      <c r="S79" s="7">
        <f t="shared" si="62"/>
        <v>0</v>
      </c>
      <c r="T79" s="100"/>
      <c r="U79" s="7">
        <f t="shared" si="63"/>
        <v>0</v>
      </c>
      <c r="V79" s="8">
        <f t="shared" si="68"/>
        <v>0.12288224220874294</v>
      </c>
      <c r="W79" s="8">
        <f t="shared" si="53"/>
        <v>29.6218487394958</v>
      </c>
      <c r="X79" s="8">
        <f t="shared" si="54"/>
        <v>29.6218487394958</v>
      </c>
      <c r="Y79" s="8" t="str">
        <f t="shared" si="58"/>
        <v/>
      </c>
      <c r="Z79" s="8" t="str">
        <f t="shared" si="55"/>
        <v/>
      </c>
      <c r="AA79" s="152"/>
      <c r="AB79" s="152"/>
      <c r="AC79" s="180"/>
      <c r="AD79" s="2"/>
      <c r="AE79" s="2"/>
      <c r="AF79" s="2"/>
      <c r="AG79" s="2"/>
      <c r="AH79" s="2"/>
      <c r="AI79" s="2"/>
      <c r="AJ79" s="2"/>
      <c r="AK79" s="2"/>
      <c r="AL79" s="2"/>
      <c r="AM79" s="2"/>
      <c r="AN79" s="2"/>
      <c r="AO79" s="1"/>
      <c r="AP79" s="1"/>
      <c r="AQ79" s="1"/>
      <c r="AR79" s="1"/>
      <c r="AS79" s="1"/>
      <c r="AT79" s="1"/>
      <c r="AU79" s="1"/>
      <c r="AV79" s="1"/>
      <c r="AW79" s="1"/>
      <c r="AX79" s="1"/>
      <c r="AY79" s="1"/>
    </row>
    <row r="80" spans="1:51" ht="17.25" thickBot="1" x14ac:dyDescent="0.35">
      <c r="A80" s="147"/>
      <c r="B80" s="97">
        <v>43637</v>
      </c>
      <c r="C80" s="103">
        <v>118</v>
      </c>
      <c r="D80" s="103"/>
      <c r="E80" s="103"/>
      <c r="F80" s="150"/>
      <c r="G80" s="150"/>
      <c r="H80" s="100">
        <v>683</v>
      </c>
      <c r="I80" s="7">
        <f t="shared" si="64"/>
        <v>3415</v>
      </c>
      <c r="J80" s="100"/>
      <c r="K80" s="7">
        <f t="shared" si="65"/>
        <v>0</v>
      </c>
      <c r="L80" s="100"/>
      <c r="M80" s="7">
        <f t="shared" si="66"/>
        <v>0</v>
      </c>
      <c r="N80" s="100"/>
      <c r="O80" s="7">
        <f t="shared" si="67"/>
        <v>0</v>
      </c>
      <c r="P80" s="100"/>
      <c r="Q80" s="7">
        <f t="shared" si="61"/>
        <v>0</v>
      </c>
      <c r="R80" s="100"/>
      <c r="S80" s="7">
        <f t="shared" si="62"/>
        <v>0</v>
      </c>
      <c r="T80" s="100"/>
      <c r="U80" s="7">
        <f t="shared" si="63"/>
        <v>0</v>
      </c>
      <c r="V80" s="8">
        <f t="shared" si="68"/>
        <v>0.11904761904761904</v>
      </c>
      <c r="W80" s="8">
        <f t="shared" si="53"/>
        <v>28.940677966101696</v>
      </c>
      <c r="X80" s="8">
        <f t="shared" si="54"/>
        <v>28.940677966101696</v>
      </c>
      <c r="Y80" s="8" t="str">
        <f t="shared" si="58"/>
        <v/>
      </c>
      <c r="Z80" s="8" t="str">
        <f t="shared" si="55"/>
        <v/>
      </c>
      <c r="AA80" s="152"/>
      <c r="AB80" s="152"/>
      <c r="AC80" s="180"/>
      <c r="AD80" s="2"/>
      <c r="AE80" s="2"/>
      <c r="AF80" s="2"/>
      <c r="AG80" s="2"/>
      <c r="AH80" s="2"/>
      <c r="AI80" s="2"/>
      <c r="AJ80" s="2"/>
      <c r="AK80" s="2"/>
      <c r="AL80" s="2"/>
      <c r="AM80" s="2"/>
      <c r="AN80" s="2"/>
      <c r="AO80" s="1"/>
      <c r="AP80" s="1"/>
      <c r="AQ80" s="1"/>
      <c r="AR80" s="1"/>
      <c r="AS80" s="1"/>
      <c r="AT80" s="1"/>
      <c r="AU80" s="1"/>
      <c r="AV80" s="1"/>
      <c r="AW80" s="1"/>
      <c r="AX80" s="1"/>
      <c r="AY80" s="1"/>
    </row>
    <row r="81" spans="1:51" ht="17.25" thickBot="1" x14ac:dyDescent="0.35">
      <c r="A81" s="148"/>
      <c r="B81" s="98"/>
      <c r="C81" s="104"/>
      <c r="D81" s="104"/>
      <c r="E81" s="104"/>
      <c r="F81" s="151"/>
      <c r="G81" s="151"/>
      <c r="H81" s="101"/>
      <c r="I81" s="39">
        <f t="shared" si="64"/>
        <v>0</v>
      </c>
      <c r="J81" s="101"/>
      <c r="K81" s="39">
        <f t="shared" si="65"/>
        <v>0</v>
      </c>
      <c r="L81" s="101"/>
      <c r="M81" s="39">
        <f t="shared" si="66"/>
        <v>0</v>
      </c>
      <c r="N81" s="101"/>
      <c r="O81" s="39">
        <f t="shared" si="67"/>
        <v>0</v>
      </c>
      <c r="P81" s="101"/>
      <c r="Q81" s="39">
        <f t="shared" si="61"/>
        <v>0</v>
      </c>
      <c r="R81" s="101"/>
      <c r="S81" s="39">
        <f t="shared" si="62"/>
        <v>0</v>
      </c>
      <c r="T81" s="101"/>
      <c r="U81" s="39">
        <f t="shared" si="63"/>
        <v>0</v>
      </c>
      <c r="V81" s="36">
        <f t="shared" si="68"/>
        <v>0</v>
      </c>
      <c r="W81" s="36" t="str">
        <f t="shared" si="53"/>
        <v/>
      </c>
      <c r="X81" s="36" t="str">
        <f t="shared" si="54"/>
        <v/>
      </c>
      <c r="Y81" s="36" t="str">
        <f t="shared" si="58"/>
        <v/>
      </c>
      <c r="Z81" s="36" t="str">
        <f t="shared" si="55"/>
        <v/>
      </c>
      <c r="AA81" s="152"/>
      <c r="AB81" s="152"/>
      <c r="AC81" s="181"/>
      <c r="AD81" s="2"/>
      <c r="AE81" s="2"/>
      <c r="AF81" s="2"/>
      <c r="AG81" s="2"/>
      <c r="AH81" s="2"/>
      <c r="AI81" s="2"/>
      <c r="AJ81" s="2"/>
      <c r="AK81" s="2"/>
      <c r="AL81" s="2"/>
      <c r="AM81" s="2"/>
      <c r="AN81" s="2"/>
      <c r="AO81" s="1"/>
      <c r="AP81" s="1"/>
      <c r="AQ81" s="1"/>
      <c r="AR81" s="1"/>
      <c r="AS81" s="1"/>
      <c r="AT81" s="1"/>
      <c r="AU81" s="1"/>
      <c r="AV81" s="1"/>
      <c r="AW81" s="1"/>
      <c r="AX81" s="1"/>
      <c r="AY81" s="1"/>
    </row>
    <row r="82" spans="1:51" ht="17.25" thickBot="1" x14ac:dyDescent="0.35">
      <c r="A82" s="147">
        <v>26</v>
      </c>
      <c r="B82" s="105">
        <v>43640</v>
      </c>
      <c r="C82" s="102">
        <v>151</v>
      </c>
      <c r="D82" s="102"/>
      <c r="E82" s="102"/>
      <c r="F82" s="149">
        <f t="shared" ref="F82" si="72">SUM(M82:M87,O82:O87,Q82:Q87,S82:S87,I82:I87,K82:K87)</f>
        <v>26685</v>
      </c>
      <c r="G82" s="149">
        <f t="shared" ref="G82" si="73">SUM(M82:M87,O82:O87,Q82:Q87,S82:S87,U82:U87,K82:K87,I82:I87)</f>
        <v>26685</v>
      </c>
      <c r="H82" s="99">
        <v>1027</v>
      </c>
      <c r="I82" s="7">
        <f t="shared" si="64"/>
        <v>5135</v>
      </c>
      <c r="J82" s="99"/>
      <c r="K82" s="7">
        <f t="shared" si="65"/>
        <v>0</v>
      </c>
      <c r="L82" s="99"/>
      <c r="M82" s="7">
        <f t="shared" si="66"/>
        <v>0</v>
      </c>
      <c r="N82" s="99"/>
      <c r="O82" s="7">
        <f t="shared" si="67"/>
        <v>0</v>
      </c>
      <c r="P82" s="99"/>
      <c r="Q82" s="7">
        <f t="shared" si="61"/>
        <v>0</v>
      </c>
      <c r="R82" s="99"/>
      <c r="S82" s="7">
        <f t="shared" si="62"/>
        <v>0</v>
      </c>
      <c r="T82" s="99"/>
      <c r="U82" s="7">
        <f t="shared" si="63"/>
        <v>0</v>
      </c>
      <c r="V82" s="8">
        <f t="shared" si="68"/>
        <v>0.17900718120337447</v>
      </c>
      <c r="W82" s="8">
        <f t="shared" si="53"/>
        <v>34.006622516556291</v>
      </c>
      <c r="X82" s="8">
        <f t="shared" si="54"/>
        <v>34.006622516556291</v>
      </c>
      <c r="Y82" s="8" t="str">
        <f t="shared" si="58"/>
        <v/>
      </c>
      <c r="Z82" s="8" t="str">
        <f t="shared" si="55"/>
        <v/>
      </c>
      <c r="AA82" s="152">
        <f t="shared" ref="AA82" si="74">AVERAGE(W82:W87)</f>
        <v>32.022355901041486</v>
      </c>
      <c r="AB82" s="152">
        <f>SUM(V82:V87)</f>
        <v>0.93024471867810077</v>
      </c>
      <c r="AC82" s="179">
        <v>1.2340514536707803</v>
      </c>
      <c r="AD82" s="2"/>
      <c r="AE82" s="2"/>
      <c r="AF82" s="2"/>
      <c r="AG82" s="2"/>
      <c r="AH82" s="2"/>
      <c r="AI82" s="2"/>
      <c r="AJ82" s="2"/>
      <c r="AK82" s="2"/>
      <c r="AL82" s="2"/>
      <c r="AM82" s="2"/>
      <c r="AN82" s="2"/>
      <c r="AO82" s="1"/>
      <c r="AP82" s="1"/>
      <c r="AQ82" s="1"/>
      <c r="AR82" s="1"/>
      <c r="AS82" s="1"/>
      <c r="AT82" s="1"/>
      <c r="AU82" s="1"/>
      <c r="AV82" s="1"/>
      <c r="AW82" s="1"/>
      <c r="AX82" s="1"/>
      <c r="AY82" s="1"/>
    </row>
    <row r="83" spans="1:51" ht="17.25" thickBot="1" x14ac:dyDescent="0.35">
      <c r="A83" s="147"/>
      <c r="B83" s="97">
        <v>43641</v>
      </c>
      <c r="C83" s="103">
        <v>163</v>
      </c>
      <c r="D83" s="103"/>
      <c r="E83" s="103"/>
      <c r="F83" s="150"/>
      <c r="G83" s="150"/>
      <c r="H83" s="100">
        <v>1087</v>
      </c>
      <c r="I83" s="7">
        <f t="shared" si="64"/>
        <v>5435</v>
      </c>
      <c r="J83" s="100"/>
      <c r="K83" s="7">
        <f t="shared" si="65"/>
        <v>0</v>
      </c>
      <c r="L83" s="100"/>
      <c r="M83" s="7">
        <f t="shared" si="66"/>
        <v>0</v>
      </c>
      <c r="N83" s="100"/>
      <c r="O83" s="7">
        <f t="shared" si="67"/>
        <v>0</v>
      </c>
      <c r="P83" s="100"/>
      <c r="Q83" s="7">
        <f t="shared" si="61"/>
        <v>0</v>
      </c>
      <c r="R83" s="100"/>
      <c r="S83" s="7">
        <f t="shared" si="62"/>
        <v>0</v>
      </c>
      <c r="T83" s="100"/>
      <c r="U83" s="7">
        <f t="shared" si="63"/>
        <v>0</v>
      </c>
      <c r="V83" s="8">
        <f t="shared" si="68"/>
        <v>0.189465244370076</v>
      </c>
      <c r="W83" s="8">
        <f t="shared" si="53"/>
        <v>33.343558282208591</v>
      </c>
      <c r="X83" s="8">
        <f t="shared" si="54"/>
        <v>33.343558282208591</v>
      </c>
      <c r="Y83" s="8" t="str">
        <f t="shared" si="58"/>
        <v/>
      </c>
      <c r="Z83" s="8" t="str">
        <f t="shared" si="55"/>
        <v/>
      </c>
      <c r="AA83" s="152"/>
      <c r="AB83" s="152"/>
      <c r="AC83" s="180"/>
      <c r="AD83" s="2"/>
      <c r="AE83" s="2"/>
      <c r="AF83" s="2"/>
      <c r="AG83" s="2"/>
      <c r="AH83" s="2"/>
      <c r="AI83" s="2"/>
      <c r="AJ83" s="2"/>
      <c r="AK83" s="2"/>
      <c r="AL83" s="2"/>
      <c r="AM83" s="2"/>
      <c r="AN83" s="2"/>
      <c r="AO83" s="1"/>
      <c r="AP83" s="1"/>
      <c r="AQ83" s="1"/>
      <c r="AR83" s="1"/>
      <c r="AS83" s="1"/>
      <c r="AT83" s="1"/>
      <c r="AU83" s="1"/>
      <c r="AV83" s="1"/>
      <c r="AW83" s="1"/>
      <c r="AX83" s="1"/>
      <c r="AY83" s="1"/>
    </row>
    <row r="84" spans="1:51" ht="17.25" thickBot="1" x14ac:dyDescent="0.35">
      <c r="A84" s="147"/>
      <c r="B84" s="97">
        <v>43642</v>
      </c>
      <c r="C84" s="103">
        <v>135</v>
      </c>
      <c r="D84" s="103"/>
      <c r="E84" s="103"/>
      <c r="F84" s="150"/>
      <c r="G84" s="150"/>
      <c r="H84" s="100">
        <v>858</v>
      </c>
      <c r="I84" s="7">
        <f t="shared" si="64"/>
        <v>4290</v>
      </c>
      <c r="J84" s="100"/>
      <c r="K84" s="7">
        <f t="shared" si="65"/>
        <v>0</v>
      </c>
      <c r="L84" s="100"/>
      <c r="M84" s="7">
        <f t="shared" si="66"/>
        <v>0</v>
      </c>
      <c r="N84" s="100"/>
      <c r="O84" s="7">
        <f t="shared" si="67"/>
        <v>0</v>
      </c>
      <c r="P84" s="100"/>
      <c r="Q84" s="7">
        <f t="shared" si="61"/>
        <v>0</v>
      </c>
      <c r="R84" s="100"/>
      <c r="S84" s="7">
        <f t="shared" si="62"/>
        <v>0</v>
      </c>
      <c r="T84" s="100"/>
      <c r="U84" s="7">
        <f t="shared" si="63"/>
        <v>0</v>
      </c>
      <c r="V84" s="8">
        <f t="shared" si="68"/>
        <v>0.14955030328383184</v>
      </c>
      <c r="W84" s="8">
        <f t="shared" si="53"/>
        <v>31.777777777777779</v>
      </c>
      <c r="X84" s="8">
        <f t="shared" si="54"/>
        <v>31.777777777777779</v>
      </c>
      <c r="Y84" s="8" t="str">
        <f t="shared" si="58"/>
        <v/>
      </c>
      <c r="Z84" s="8" t="str">
        <f t="shared" si="55"/>
        <v/>
      </c>
      <c r="AA84" s="152"/>
      <c r="AB84" s="152"/>
      <c r="AC84" s="180"/>
      <c r="AD84" s="2"/>
      <c r="AE84" s="2"/>
      <c r="AF84" s="2"/>
      <c r="AG84" s="2"/>
      <c r="AH84" s="2"/>
      <c r="AI84" s="2"/>
      <c r="AJ84" s="2"/>
      <c r="AK84" s="2"/>
      <c r="AL84" s="2"/>
      <c r="AM84" s="2"/>
      <c r="AN84" s="2"/>
      <c r="AO84" s="1"/>
      <c r="AP84" s="1"/>
      <c r="AQ84" s="1"/>
      <c r="AR84" s="1"/>
      <c r="AS84" s="1"/>
      <c r="AT84" s="1"/>
      <c r="AU84" s="1"/>
      <c r="AV84" s="1"/>
      <c r="AW84" s="1"/>
      <c r="AX84" s="1"/>
      <c r="AY84" s="1"/>
    </row>
    <row r="85" spans="1:51" ht="17.25" thickBot="1" x14ac:dyDescent="0.35">
      <c r="A85" s="147"/>
      <c r="B85" s="97">
        <v>43643</v>
      </c>
      <c r="C85" s="103">
        <v>153</v>
      </c>
      <c r="D85" s="103"/>
      <c r="E85" s="103"/>
      <c r="F85" s="150"/>
      <c r="G85" s="150"/>
      <c r="H85" s="100">
        <v>973</v>
      </c>
      <c r="I85" s="7">
        <f t="shared" si="64"/>
        <v>4865</v>
      </c>
      <c r="J85" s="100"/>
      <c r="K85" s="7">
        <f t="shared" si="65"/>
        <v>0</v>
      </c>
      <c r="L85" s="100"/>
      <c r="M85" s="7">
        <f t="shared" si="66"/>
        <v>0</v>
      </c>
      <c r="N85" s="100"/>
      <c r="O85" s="7">
        <f t="shared" si="67"/>
        <v>0</v>
      </c>
      <c r="P85" s="100"/>
      <c r="Q85" s="7">
        <f t="shared" si="61"/>
        <v>0</v>
      </c>
      <c r="R85" s="100"/>
      <c r="S85" s="7">
        <f t="shared" si="62"/>
        <v>0</v>
      </c>
      <c r="T85" s="100"/>
      <c r="U85" s="7">
        <f t="shared" si="63"/>
        <v>0</v>
      </c>
      <c r="V85" s="8">
        <f t="shared" si="68"/>
        <v>0.16959492435334309</v>
      </c>
      <c r="W85" s="8">
        <f t="shared" si="53"/>
        <v>31.797385620915033</v>
      </c>
      <c r="X85" s="8">
        <f t="shared" si="54"/>
        <v>31.797385620915033</v>
      </c>
      <c r="Y85" s="8" t="str">
        <f t="shared" si="58"/>
        <v/>
      </c>
      <c r="Z85" s="8" t="str">
        <f t="shared" si="55"/>
        <v/>
      </c>
      <c r="AA85" s="152"/>
      <c r="AB85" s="152"/>
      <c r="AC85" s="180"/>
      <c r="AD85" s="2"/>
      <c r="AE85" s="2"/>
      <c r="AF85" s="2"/>
      <c r="AG85" s="2"/>
      <c r="AH85" s="2"/>
      <c r="AI85" s="2"/>
      <c r="AJ85" s="2"/>
      <c r="AK85" s="2"/>
      <c r="AL85" s="2"/>
      <c r="AM85" s="2"/>
      <c r="AN85" s="2"/>
      <c r="AO85" s="1"/>
      <c r="AP85" s="1"/>
      <c r="AQ85" s="1"/>
      <c r="AR85" s="1"/>
      <c r="AS85" s="1"/>
      <c r="AT85" s="1"/>
      <c r="AU85" s="1"/>
      <c r="AV85" s="1"/>
      <c r="AW85" s="1"/>
      <c r="AX85" s="1"/>
      <c r="AY85" s="1"/>
    </row>
    <row r="86" spans="1:51" ht="17.25" thickBot="1" x14ac:dyDescent="0.35">
      <c r="A86" s="147"/>
      <c r="B86" s="97">
        <v>43644</v>
      </c>
      <c r="C86" s="103">
        <v>136.5</v>
      </c>
      <c r="D86" s="103"/>
      <c r="E86" s="103"/>
      <c r="F86" s="150"/>
      <c r="G86" s="150"/>
      <c r="H86" s="100">
        <v>834</v>
      </c>
      <c r="I86" s="7">
        <f t="shared" si="64"/>
        <v>4170</v>
      </c>
      <c r="J86" s="100"/>
      <c r="K86" s="7">
        <f t="shared" si="65"/>
        <v>0</v>
      </c>
      <c r="L86" s="100"/>
      <c r="M86" s="7">
        <f t="shared" si="66"/>
        <v>0</v>
      </c>
      <c r="N86" s="100"/>
      <c r="O86" s="7">
        <f t="shared" si="67"/>
        <v>0</v>
      </c>
      <c r="P86" s="100"/>
      <c r="Q86" s="7">
        <f t="shared" si="61"/>
        <v>0</v>
      </c>
      <c r="R86" s="100"/>
      <c r="S86" s="7">
        <f t="shared" si="62"/>
        <v>0</v>
      </c>
      <c r="T86" s="100"/>
      <c r="U86" s="7">
        <f t="shared" si="63"/>
        <v>0</v>
      </c>
      <c r="V86" s="8">
        <f t="shared" si="68"/>
        <v>0.14536707801715124</v>
      </c>
      <c r="W86" s="8">
        <f t="shared" si="53"/>
        <v>30.549450549450551</v>
      </c>
      <c r="X86" s="8">
        <f t="shared" si="54"/>
        <v>30.549450549450551</v>
      </c>
      <c r="Y86" s="8" t="str">
        <f t="shared" si="58"/>
        <v/>
      </c>
      <c r="Z86" s="8" t="str">
        <f t="shared" si="55"/>
        <v/>
      </c>
      <c r="AA86" s="152"/>
      <c r="AB86" s="152"/>
      <c r="AC86" s="180"/>
      <c r="AD86" s="2"/>
      <c r="AE86" s="2"/>
      <c r="AF86" s="2"/>
      <c r="AG86" s="2"/>
      <c r="AH86" s="2"/>
      <c r="AI86" s="2"/>
      <c r="AJ86" s="2"/>
      <c r="AK86" s="2"/>
      <c r="AL86" s="2"/>
      <c r="AM86" s="2"/>
      <c r="AN86" s="2"/>
      <c r="AO86" s="1"/>
      <c r="AP86" s="1"/>
      <c r="AQ86" s="1"/>
      <c r="AR86" s="1"/>
      <c r="AS86" s="1"/>
      <c r="AT86" s="1"/>
      <c r="AU86" s="1"/>
      <c r="AV86" s="1"/>
      <c r="AW86" s="1"/>
      <c r="AX86" s="1"/>
      <c r="AY86" s="1"/>
    </row>
    <row r="87" spans="1:51" ht="17.25" thickBot="1" x14ac:dyDescent="0.35">
      <c r="A87" s="147"/>
      <c r="B87" s="98">
        <v>43645</v>
      </c>
      <c r="C87" s="104">
        <v>91</v>
      </c>
      <c r="D87" s="104"/>
      <c r="E87" s="104"/>
      <c r="F87" s="151"/>
      <c r="G87" s="151"/>
      <c r="H87" s="101">
        <v>558</v>
      </c>
      <c r="I87" s="7">
        <f t="shared" si="64"/>
        <v>2790</v>
      </c>
      <c r="J87" s="101"/>
      <c r="K87" s="7">
        <f t="shared" si="65"/>
        <v>0</v>
      </c>
      <c r="L87" s="101"/>
      <c r="M87" s="7">
        <f t="shared" si="66"/>
        <v>0</v>
      </c>
      <c r="N87" s="101"/>
      <c r="O87" s="7">
        <f t="shared" si="67"/>
        <v>0</v>
      </c>
      <c r="P87" s="101"/>
      <c r="Q87" s="7">
        <f t="shared" si="61"/>
        <v>0</v>
      </c>
      <c r="R87" s="101"/>
      <c r="S87" s="7">
        <f t="shared" si="62"/>
        <v>0</v>
      </c>
      <c r="T87" s="101"/>
      <c r="U87" s="7">
        <f t="shared" si="63"/>
        <v>0</v>
      </c>
      <c r="V87" s="8">
        <f t="shared" si="68"/>
        <v>9.7259987450324201E-2</v>
      </c>
      <c r="W87" s="8">
        <f t="shared" si="53"/>
        <v>30.659340659340661</v>
      </c>
      <c r="X87" s="8">
        <f t="shared" si="54"/>
        <v>30.659340659340661</v>
      </c>
      <c r="Y87" s="8" t="str">
        <f t="shared" si="58"/>
        <v/>
      </c>
      <c r="Z87" s="8" t="str">
        <f t="shared" si="55"/>
        <v/>
      </c>
      <c r="AA87" s="152"/>
      <c r="AB87" s="152"/>
      <c r="AC87" s="181"/>
      <c r="AD87" s="2"/>
      <c r="AE87" s="2"/>
      <c r="AF87" s="2"/>
      <c r="AG87" s="2"/>
      <c r="AH87" s="2"/>
      <c r="AI87" s="2"/>
      <c r="AJ87" s="2"/>
      <c r="AK87" s="2"/>
      <c r="AL87" s="2"/>
      <c r="AM87" s="2"/>
      <c r="AN87" s="2"/>
      <c r="AO87" s="1"/>
      <c r="AP87" s="1"/>
      <c r="AQ87" s="1"/>
      <c r="AR87" s="1"/>
      <c r="AS87" s="1"/>
      <c r="AT87" s="1"/>
      <c r="AU87" s="1"/>
      <c r="AV87" s="1"/>
      <c r="AW87" s="1"/>
      <c r="AX87" s="1"/>
      <c r="AY87" s="1"/>
    </row>
    <row r="88" spans="1:51" ht="17.25" thickBot="1" x14ac:dyDescent="0.35">
      <c r="A88" s="146">
        <v>27</v>
      </c>
      <c r="B88" s="105">
        <v>43647</v>
      </c>
      <c r="C88" s="102">
        <v>161.5</v>
      </c>
      <c r="D88" s="102"/>
      <c r="E88" s="102"/>
      <c r="F88" s="149">
        <f t="shared" ref="F88" si="75">SUM(M88:M93,O88:O93,Q88:Q93,S88:S93,I88:I93,K88:K93)</f>
        <v>30205</v>
      </c>
      <c r="G88" s="149">
        <f t="shared" ref="G88" si="76">SUM(M88:M93,O88:O93,Q88:Q93,S88:S93,U88:U93,K88:K93,I88:I93)</f>
        <v>30205</v>
      </c>
      <c r="H88" s="99">
        <v>1032</v>
      </c>
      <c r="I88" s="40">
        <f t="shared" si="64"/>
        <v>5160</v>
      </c>
      <c r="J88" s="99"/>
      <c r="K88" s="40">
        <f t="shared" si="65"/>
        <v>0</v>
      </c>
      <c r="L88" s="99"/>
      <c r="M88" s="40">
        <f t="shared" si="66"/>
        <v>0</v>
      </c>
      <c r="N88" s="99"/>
      <c r="O88" s="40">
        <f t="shared" si="67"/>
        <v>0</v>
      </c>
      <c r="P88" s="99"/>
      <c r="Q88" s="40">
        <f t="shared" si="61"/>
        <v>0</v>
      </c>
      <c r="R88" s="99"/>
      <c r="S88" s="40">
        <f t="shared" si="62"/>
        <v>0</v>
      </c>
      <c r="T88" s="99"/>
      <c r="U88" s="40">
        <f t="shared" si="63"/>
        <v>0</v>
      </c>
      <c r="V88" s="34">
        <f t="shared" si="68"/>
        <v>0.17987868646726626</v>
      </c>
      <c r="W88" s="34">
        <f t="shared" si="53"/>
        <v>31.950464396284829</v>
      </c>
      <c r="X88" s="34">
        <f t="shared" si="54"/>
        <v>31.950464396284829</v>
      </c>
      <c r="Y88" s="34" t="str">
        <f t="shared" si="58"/>
        <v/>
      </c>
      <c r="Z88" s="34" t="str">
        <f t="shared" si="55"/>
        <v/>
      </c>
      <c r="AA88" s="152">
        <f>AVERAGE(W88:W93)</f>
        <v>36.916989563150231</v>
      </c>
      <c r="AB88" s="152">
        <f t="shared" ref="AB88" si="77">SUM(V88:V93)</f>
        <v>1.0529526598340653</v>
      </c>
      <c r="AC88" s="179">
        <v>0.80108763856933707</v>
      </c>
      <c r="AD88" s="2"/>
      <c r="AE88" s="2"/>
      <c r="AF88" s="2"/>
      <c r="AG88" s="2"/>
      <c r="AH88" s="2"/>
      <c r="AI88" s="2"/>
      <c r="AJ88" s="2"/>
      <c r="AK88" s="2"/>
      <c r="AL88" s="2"/>
      <c r="AM88" s="2"/>
      <c r="AN88" s="2"/>
      <c r="AO88" s="1"/>
      <c r="AP88" s="1"/>
      <c r="AQ88" s="1"/>
      <c r="AR88" s="1"/>
      <c r="AS88" s="1"/>
      <c r="AT88" s="1"/>
      <c r="AU88" s="1"/>
      <c r="AV88" s="1"/>
      <c r="AW88" s="1"/>
      <c r="AX88" s="1"/>
      <c r="AY88" s="1"/>
    </row>
    <row r="89" spans="1:51" ht="17.25" thickBot="1" x14ac:dyDescent="0.35">
      <c r="A89" s="147"/>
      <c r="B89" s="97">
        <v>43648</v>
      </c>
      <c r="C89" s="103">
        <v>126</v>
      </c>
      <c r="D89" s="103"/>
      <c r="E89" s="103"/>
      <c r="F89" s="150"/>
      <c r="G89" s="150"/>
      <c r="H89" s="100">
        <v>971</v>
      </c>
      <c r="I89" s="7">
        <f t="shared" si="64"/>
        <v>4855</v>
      </c>
      <c r="J89" s="100"/>
      <c r="K89" s="7">
        <f t="shared" si="65"/>
        <v>0</v>
      </c>
      <c r="L89" s="100"/>
      <c r="M89" s="7">
        <f t="shared" si="66"/>
        <v>0</v>
      </c>
      <c r="N89" s="100"/>
      <c r="O89" s="7">
        <f t="shared" si="67"/>
        <v>0</v>
      </c>
      <c r="P89" s="100"/>
      <c r="Q89" s="7">
        <f t="shared" si="61"/>
        <v>0</v>
      </c>
      <c r="R89" s="100"/>
      <c r="S89" s="7">
        <f t="shared" si="62"/>
        <v>0</v>
      </c>
      <c r="T89" s="100"/>
      <c r="U89" s="7">
        <f t="shared" si="63"/>
        <v>0</v>
      </c>
      <c r="V89" s="8">
        <f t="shared" si="68"/>
        <v>0.16924632224778638</v>
      </c>
      <c r="W89" s="8">
        <f t="shared" si="53"/>
        <v>38.531746031746032</v>
      </c>
      <c r="X89" s="8">
        <f t="shared" si="54"/>
        <v>38.531746031746032</v>
      </c>
      <c r="Y89" s="8" t="str">
        <f t="shared" si="58"/>
        <v/>
      </c>
      <c r="Z89" s="8" t="str">
        <f t="shared" si="55"/>
        <v/>
      </c>
      <c r="AA89" s="152"/>
      <c r="AB89" s="152"/>
      <c r="AC89" s="180"/>
      <c r="AD89" s="2"/>
      <c r="AE89" s="2"/>
      <c r="AF89" s="2"/>
      <c r="AG89" s="2"/>
      <c r="AH89" s="2"/>
      <c r="AI89" s="2"/>
      <c r="AJ89" s="2"/>
      <c r="AK89" s="2"/>
      <c r="AL89" s="2"/>
      <c r="AM89" s="2"/>
      <c r="AN89" s="2"/>
      <c r="AO89" s="1"/>
      <c r="AP89" s="1"/>
      <c r="AQ89" s="1"/>
      <c r="AR89" s="1"/>
      <c r="AS89" s="1"/>
      <c r="AT89" s="1"/>
      <c r="AU89" s="1"/>
      <c r="AV89" s="1"/>
      <c r="AW89" s="1"/>
      <c r="AX89" s="1"/>
      <c r="AY89" s="1"/>
    </row>
    <row r="90" spans="1:51" ht="17.25" thickBot="1" x14ac:dyDescent="0.35">
      <c r="A90" s="147"/>
      <c r="B90" s="97">
        <v>43649</v>
      </c>
      <c r="C90" s="103">
        <v>157.5</v>
      </c>
      <c r="D90" s="103"/>
      <c r="E90" s="103"/>
      <c r="F90" s="150"/>
      <c r="G90" s="150"/>
      <c r="H90" s="100">
        <v>1177</v>
      </c>
      <c r="I90" s="7">
        <f t="shared" si="64"/>
        <v>5885</v>
      </c>
      <c r="J90" s="100"/>
      <c r="K90" s="7">
        <f t="shared" si="65"/>
        <v>0</v>
      </c>
      <c r="L90" s="100"/>
      <c r="M90" s="7">
        <f t="shared" si="66"/>
        <v>0</v>
      </c>
      <c r="N90" s="100"/>
      <c r="O90" s="7">
        <f t="shared" si="67"/>
        <v>0</v>
      </c>
      <c r="P90" s="100"/>
      <c r="Q90" s="7">
        <f t="shared" si="61"/>
        <v>0</v>
      </c>
      <c r="R90" s="100"/>
      <c r="S90" s="7">
        <f t="shared" si="62"/>
        <v>0</v>
      </c>
      <c r="T90" s="100"/>
      <c r="U90" s="7">
        <f t="shared" si="63"/>
        <v>0</v>
      </c>
      <c r="V90" s="8">
        <f t="shared" si="68"/>
        <v>0.20515233912012829</v>
      </c>
      <c r="W90" s="8">
        <f t="shared" si="53"/>
        <v>37.365079365079367</v>
      </c>
      <c r="X90" s="8">
        <f t="shared" si="54"/>
        <v>37.365079365079367</v>
      </c>
      <c r="Y90" s="8" t="str">
        <f t="shared" si="58"/>
        <v/>
      </c>
      <c r="Z90" s="8" t="str">
        <f t="shared" si="55"/>
        <v/>
      </c>
      <c r="AA90" s="152"/>
      <c r="AB90" s="152"/>
      <c r="AC90" s="180"/>
      <c r="AD90" s="2"/>
      <c r="AE90" s="2"/>
      <c r="AF90" s="2"/>
      <c r="AG90" s="2"/>
      <c r="AH90" s="2"/>
      <c r="AI90" s="2"/>
      <c r="AJ90" s="2"/>
      <c r="AK90" s="2"/>
      <c r="AL90" s="2"/>
      <c r="AM90" s="2"/>
      <c r="AN90" s="2"/>
      <c r="AO90" s="1"/>
      <c r="AP90" s="1"/>
      <c r="AQ90" s="1"/>
      <c r="AR90" s="1"/>
      <c r="AS90" s="1"/>
      <c r="AT90" s="1"/>
      <c r="AU90" s="1"/>
      <c r="AV90" s="1"/>
      <c r="AW90" s="1"/>
      <c r="AX90" s="1"/>
      <c r="AY90" s="1"/>
    </row>
    <row r="91" spans="1:51" ht="17.25" thickBot="1" x14ac:dyDescent="0.35">
      <c r="A91" s="147"/>
      <c r="B91" s="97">
        <v>43650</v>
      </c>
      <c r="C91" s="103">
        <v>158</v>
      </c>
      <c r="D91" s="103"/>
      <c r="E91" s="103"/>
      <c r="F91" s="150"/>
      <c r="G91" s="150"/>
      <c r="H91" s="100">
        <v>1306</v>
      </c>
      <c r="I91" s="7">
        <f t="shared" si="64"/>
        <v>6530</v>
      </c>
      <c r="J91" s="100"/>
      <c r="K91" s="7">
        <f t="shared" si="65"/>
        <v>0</v>
      </c>
      <c r="L91" s="100"/>
      <c r="M91" s="7">
        <f t="shared" si="66"/>
        <v>0</v>
      </c>
      <c r="N91" s="100"/>
      <c r="O91" s="7">
        <f t="shared" si="67"/>
        <v>0</v>
      </c>
      <c r="P91" s="100"/>
      <c r="Q91" s="7">
        <f t="shared" si="61"/>
        <v>0</v>
      </c>
      <c r="R91" s="100"/>
      <c r="S91" s="7">
        <f t="shared" si="62"/>
        <v>0</v>
      </c>
      <c r="T91" s="100"/>
      <c r="U91" s="7">
        <f t="shared" si="63"/>
        <v>0</v>
      </c>
      <c r="V91" s="8">
        <f t="shared" si="68"/>
        <v>0.22763717492853658</v>
      </c>
      <c r="W91" s="8">
        <f t="shared" si="53"/>
        <v>41.329113924050631</v>
      </c>
      <c r="X91" s="8">
        <f t="shared" si="54"/>
        <v>41.329113924050631</v>
      </c>
      <c r="Y91" s="8" t="str">
        <f t="shared" si="58"/>
        <v/>
      </c>
      <c r="Z91" s="8" t="str">
        <f t="shared" si="55"/>
        <v/>
      </c>
      <c r="AA91" s="152"/>
      <c r="AB91" s="152"/>
      <c r="AC91" s="180"/>
      <c r="AD91" s="2"/>
      <c r="AE91" s="2"/>
      <c r="AF91" s="2"/>
      <c r="AG91" s="2"/>
      <c r="AH91" s="2"/>
      <c r="AI91" s="2"/>
      <c r="AJ91" s="2"/>
      <c r="AK91" s="2"/>
      <c r="AL91" s="2"/>
      <c r="AM91" s="2"/>
      <c r="AN91" s="2"/>
      <c r="AO91" s="1"/>
      <c r="AP91" s="1"/>
      <c r="AQ91" s="1"/>
      <c r="AR91" s="1"/>
      <c r="AS91" s="1"/>
      <c r="AT91" s="1"/>
      <c r="AU91" s="1"/>
      <c r="AV91" s="1"/>
      <c r="AW91" s="1"/>
      <c r="AX91" s="1"/>
      <c r="AY91" s="1"/>
    </row>
    <row r="92" spans="1:51" ht="17.25" thickBot="1" x14ac:dyDescent="0.35">
      <c r="A92" s="147"/>
      <c r="B92" s="97">
        <v>43651</v>
      </c>
      <c r="C92" s="103">
        <v>130.5</v>
      </c>
      <c r="D92" s="103"/>
      <c r="E92" s="103"/>
      <c r="F92" s="150"/>
      <c r="G92" s="150"/>
      <c r="H92" s="100">
        <v>954</v>
      </c>
      <c r="I92" s="7">
        <f t="shared" si="64"/>
        <v>4770</v>
      </c>
      <c r="J92" s="100"/>
      <c r="K92" s="7">
        <f t="shared" si="65"/>
        <v>0</v>
      </c>
      <c r="L92" s="100"/>
      <c r="M92" s="7">
        <f t="shared" si="66"/>
        <v>0</v>
      </c>
      <c r="N92" s="100"/>
      <c r="O92" s="7">
        <f t="shared" si="67"/>
        <v>0</v>
      </c>
      <c r="P92" s="100"/>
      <c r="Q92" s="7">
        <f t="shared" si="61"/>
        <v>0</v>
      </c>
      <c r="R92" s="100"/>
      <c r="S92" s="7">
        <f t="shared" si="62"/>
        <v>0</v>
      </c>
      <c r="T92" s="100"/>
      <c r="U92" s="7">
        <f t="shared" si="63"/>
        <v>0</v>
      </c>
      <c r="V92" s="8">
        <f t="shared" si="68"/>
        <v>0.16628320435055427</v>
      </c>
      <c r="W92" s="8">
        <f t="shared" si="53"/>
        <v>36.551724137931032</v>
      </c>
      <c r="X92" s="8">
        <f t="shared" si="54"/>
        <v>36.551724137931032</v>
      </c>
      <c r="Y92" s="8" t="str">
        <f t="shared" si="58"/>
        <v/>
      </c>
      <c r="Z92" s="8" t="str">
        <f t="shared" si="55"/>
        <v/>
      </c>
      <c r="AA92" s="152"/>
      <c r="AB92" s="152"/>
      <c r="AC92" s="180"/>
      <c r="AD92" s="2"/>
      <c r="AE92" s="2"/>
      <c r="AF92" s="2"/>
      <c r="AG92" s="2"/>
      <c r="AH92" s="2"/>
      <c r="AI92" s="2"/>
      <c r="AJ92" s="2"/>
      <c r="AK92" s="2"/>
      <c r="AL92" s="2"/>
      <c r="AM92" s="2"/>
      <c r="AN92" s="2"/>
      <c r="AO92" s="1"/>
      <c r="AP92" s="1"/>
      <c r="AQ92" s="1"/>
      <c r="AR92" s="1"/>
      <c r="AS92" s="1"/>
      <c r="AT92" s="1"/>
      <c r="AU92" s="1"/>
      <c r="AV92" s="1"/>
      <c r="AW92" s="1"/>
      <c r="AX92" s="1"/>
      <c r="AY92" s="1"/>
    </row>
    <row r="93" spans="1:51" ht="17.25" thickBot="1" x14ac:dyDescent="0.35">
      <c r="A93" s="148"/>
      <c r="B93" s="98">
        <v>43652</v>
      </c>
      <c r="C93" s="104">
        <v>84</v>
      </c>
      <c r="D93" s="104"/>
      <c r="E93" s="104"/>
      <c r="F93" s="151"/>
      <c r="G93" s="151"/>
      <c r="H93" s="101">
        <v>601</v>
      </c>
      <c r="I93" s="39">
        <f t="shared" si="64"/>
        <v>3005</v>
      </c>
      <c r="J93" s="101"/>
      <c r="K93" s="39">
        <f t="shared" si="65"/>
        <v>0</v>
      </c>
      <c r="L93" s="101"/>
      <c r="M93" s="39">
        <f t="shared" si="66"/>
        <v>0</v>
      </c>
      <c r="N93" s="101"/>
      <c r="O93" s="39">
        <f t="shared" si="67"/>
        <v>0</v>
      </c>
      <c r="P93" s="101"/>
      <c r="Q93" s="39">
        <f t="shared" si="61"/>
        <v>0</v>
      </c>
      <c r="R93" s="101"/>
      <c r="S93" s="39">
        <f t="shared" si="62"/>
        <v>0</v>
      </c>
      <c r="T93" s="101"/>
      <c r="U93" s="39">
        <f t="shared" si="63"/>
        <v>0</v>
      </c>
      <c r="V93" s="36">
        <f t="shared" si="68"/>
        <v>0.10475493271979362</v>
      </c>
      <c r="W93" s="36">
        <f t="shared" si="53"/>
        <v>35.773809523809526</v>
      </c>
      <c r="X93" s="36">
        <f t="shared" si="54"/>
        <v>35.773809523809526</v>
      </c>
      <c r="Y93" s="36" t="str">
        <f t="shared" si="58"/>
        <v/>
      </c>
      <c r="Z93" s="36" t="str">
        <f t="shared" si="55"/>
        <v/>
      </c>
      <c r="AA93" s="152"/>
      <c r="AB93" s="152"/>
      <c r="AC93" s="181"/>
      <c r="AD93" s="2"/>
      <c r="AE93" s="2"/>
      <c r="AF93" s="2"/>
      <c r="AG93" s="2"/>
      <c r="AH93" s="2"/>
      <c r="AI93" s="2"/>
      <c r="AJ93" s="2"/>
      <c r="AK93" s="2"/>
      <c r="AL93" s="2"/>
      <c r="AM93" s="2"/>
      <c r="AN93" s="2"/>
      <c r="AO93" s="1"/>
      <c r="AP93" s="1"/>
      <c r="AQ93" s="1"/>
      <c r="AR93" s="1"/>
      <c r="AS93" s="1"/>
      <c r="AT93" s="1"/>
      <c r="AU93" s="1"/>
      <c r="AV93" s="1"/>
      <c r="AW93" s="1"/>
      <c r="AX93" s="1"/>
      <c r="AY93" s="1"/>
    </row>
    <row r="94" spans="1:51" ht="17.25" thickBot="1" x14ac:dyDescent="0.35">
      <c r="A94" s="147">
        <v>28</v>
      </c>
      <c r="B94" s="105">
        <v>43654</v>
      </c>
      <c r="C94" s="102">
        <v>175</v>
      </c>
      <c r="D94" s="102"/>
      <c r="E94" s="102"/>
      <c r="F94" s="149">
        <f t="shared" ref="F94" si="78">SUM(M94:M99,O94:O99,Q94:Q99,S94:S99,I94:I99,K94:K99)</f>
        <v>28330</v>
      </c>
      <c r="G94" s="149">
        <f t="shared" ref="G94" si="79">SUM(M94:M99,O94:O99,Q94:Q99,S94:S99,U94:U99,K94:K99,I94:I99)</f>
        <v>28330</v>
      </c>
      <c r="H94" s="99">
        <v>1356</v>
      </c>
      <c r="I94" s="7">
        <f t="shared" si="64"/>
        <v>6780</v>
      </c>
      <c r="J94" s="99"/>
      <c r="K94" s="7">
        <f t="shared" si="65"/>
        <v>0</v>
      </c>
      <c r="L94" s="99"/>
      <c r="M94" s="7">
        <f t="shared" si="66"/>
        <v>0</v>
      </c>
      <c r="N94" s="99"/>
      <c r="O94" s="7">
        <f t="shared" si="67"/>
        <v>0</v>
      </c>
      <c r="P94" s="99"/>
      <c r="Q94" s="7">
        <f t="shared" si="61"/>
        <v>0</v>
      </c>
      <c r="R94" s="99"/>
      <c r="S94" s="7">
        <f t="shared" si="62"/>
        <v>0</v>
      </c>
      <c r="T94" s="99"/>
      <c r="U94" s="7">
        <f t="shared" si="63"/>
        <v>0</v>
      </c>
      <c r="V94" s="8">
        <f t="shared" si="68"/>
        <v>0.2363522275674545</v>
      </c>
      <c r="W94" s="8">
        <f t="shared" si="53"/>
        <v>38.74285714285714</v>
      </c>
      <c r="X94" s="8">
        <f t="shared" si="54"/>
        <v>38.74285714285714</v>
      </c>
      <c r="Y94" s="8" t="str">
        <f t="shared" si="58"/>
        <v/>
      </c>
      <c r="Z94" s="8" t="str">
        <f t="shared" si="55"/>
        <v/>
      </c>
      <c r="AA94" s="152">
        <f t="shared" ref="AA94" si="80">AVERAGE(W94:W99)</f>
        <v>36.183805318842481</v>
      </c>
      <c r="AB94" s="152">
        <f t="shared" ref="AB94" si="81">SUM(V94:V99)</f>
        <v>0.98758976504218077</v>
      </c>
      <c r="AC94" s="179">
        <v>0.98079202398382481</v>
      </c>
      <c r="AD94" s="2"/>
      <c r="AE94" s="2"/>
      <c r="AF94" s="2"/>
      <c r="AG94" s="2"/>
      <c r="AH94" s="2"/>
      <c r="AI94" s="2"/>
      <c r="AJ94" s="2"/>
      <c r="AK94" s="2"/>
      <c r="AL94" s="2"/>
      <c r="AM94" s="2"/>
      <c r="AN94" s="2"/>
      <c r="AO94" s="1"/>
      <c r="AP94" s="1"/>
      <c r="AQ94" s="1"/>
      <c r="AR94" s="1"/>
      <c r="AS94" s="1"/>
      <c r="AT94" s="1"/>
      <c r="AU94" s="1"/>
      <c r="AV94" s="1"/>
      <c r="AW94" s="1"/>
      <c r="AX94" s="1"/>
      <c r="AY94" s="1"/>
    </row>
    <row r="95" spans="1:51" ht="17.25" thickBot="1" x14ac:dyDescent="0.35">
      <c r="A95" s="147"/>
      <c r="B95" s="97">
        <v>43655</v>
      </c>
      <c r="C95" s="103">
        <v>161.25</v>
      </c>
      <c r="D95" s="103"/>
      <c r="E95" s="103"/>
      <c r="F95" s="150"/>
      <c r="G95" s="150"/>
      <c r="H95" s="100">
        <v>1266</v>
      </c>
      <c r="I95" s="7">
        <f t="shared" si="64"/>
        <v>6330</v>
      </c>
      <c r="J95" s="100"/>
      <c r="K95" s="7">
        <f t="shared" si="65"/>
        <v>0</v>
      </c>
      <c r="L95" s="100"/>
      <c r="M95" s="7">
        <f t="shared" si="66"/>
        <v>0</v>
      </c>
      <c r="N95" s="100"/>
      <c r="O95" s="7">
        <f t="shared" si="67"/>
        <v>0</v>
      </c>
      <c r="P95" s="100"/>
      <c r="Q95" s="7">
        <f t="shared" si="61"/>
        <v>0</v>
      </c>
      <c r="R95" s="100"/>
      <c r="S95" s="7">
        <f t="shared" si="62"/>
        <v>0</v>
      </c>
      <c r="T95" s="100"/>
      <c r="U95" s="7">
        <f t="shared" si="63"/>
        <v>0</v>
      </c>
      <c r="V95" s="8">
        <f t="shared" si="68"/>
        <v>0.22066513281740222</v>
      </c>
      <c r="W95" s="8">
        <f t="shared" si="53"/>
        <v>39.255813953488371</v>
      </c>
      <c r="X95" s="8">
        <f t="shared" si="54"/>
        <v>39.255813953488371</v>
      </c>
      <c r="Y95" s="8" t="str">
        <f t="shared" si="58"/>
        <v/>
      </c>
      <c r="Z95" s="8" t="str">
        <f t="shared" si="55"/>
        <v/>
      </c>
      <c r="AA95" s="152"/>
      <c r="AB95" s="152"/>
      <c r="AC95" s="180"/>
      <c r="AD95" s="2"/>
      <c r="AE95" s="2"/>
      <c r="AF95" s="2"/>
      <c r="AG95" s="2"/>
      <c r="AH95" s="2"/>
      <c r="AI95" s="2"/>
      <c r="AJ95" s="2"/>
      <c r="AK95" s="2"/>
      <c r="AL95" s="2"/>
      <c r="AM95" s="2"/>
      <c r="AN95" s="2"/>
      <c r="AO95" s="1"/>
      <c r="AP95" s="1"/>
      <c r="AQ95" s="1"/>
      <c r="AR95" s="1"/>
      <c r="AS95" s="1"/>
      <c r="AT95" s="1"/>
      <c r="AU95" s="1"/>
      <c r="AV95" s="1"/>
      <c r="AW95" s="1"/>
      <c r="AX95" s="1"/>
      <c r="AY95" s="1"/>
    </row>
    <row r="96" spans="1:51" ht="17.25" thickBot="1" x14ac:dyDescent="0.35">
      <c r="A96" s="147"/>
      <c r="B96" s="97">
        <v>43656</v>
      </c>
      <c r="C96" s="103">
        <v>149</v>
      </c>
      <c r="D96" s="103"/>
      <c r="E96" s="103"/>
      <c r="F96" s="150"/>
      <c r="G96" s="150"/>
      <c r="H96" s="100">
        <v>1123</v>
      </c>
      <c r="I96" s="7">
        <f t="shared" si="64"/>
        <v>5615</v>
      </c>
      <c r="J96" s="100"/>
      <c r="K96" s="7">
        <f t="shared" si="65"/>
        <v>0</v>
      </c>
      <c r="L96" s="100"/>
      <c r="M96" s="7">
        <f t="shared" si="66"/>
        <v>0</v>
      </c>
      <c r="N96" s="100"/>
      <c r="O96" s="7">
        <f t="shared" si="67"/>
        <v>0</v>
      </c>
      <c r="P96" s="100"/>
      <c r="Q96" s="7">
        <f t="shared" si="61"/>
        <v>0</v>
      </c>
      <c r="R96" s="100"/>
      <c r="S96" s="7">
        <f t="shared" si="62"/>
        <v>0</v>
      </c>
      <c r="T96" s="100"/>
      <c r="U96" s="7">
        <f t="shared" si="63"/>
        <v>0</v>
      </c>
      <c r="V96" s="8">
        <f t="shared" si="68"/>
        <v>0.1957400822700969</v>
      </c>
      <c r="W96" s="8">
        <f t="shared" si="53"/>
        <v>37.68456375838926</v>
      </c>
      <c r="X96" s="8">
        <f t="shared" si="54"/>
        <v>37.68456375838926</v>
      </c>
      <c r="Y96" s="8" t="str">
        <f t="shared" si="58"/>
        <v/>
      </c>
      <c r="Z96" s="8" t="str">
        <f t="shared" si="55"/>
        <v/>
      </c>
      <c r="AA96" s="152"/>
      <c r="AB96" s="152"/>
      <c r="AC96" s="180"/>
      <c r="AD96" s="2"/>
      <c r="AE96" s="2"/>
      <c r="AF96" s="2"/>
      <c r="AG96" s="2"/>
      <c r="AH96" s="2"/>
      <c r="AI96" s="2"/>
      <c r="AJ96" s="2"/>
      <c r="AK96" s="2"/>
      <c r="AL96" s="2"/>
      <c r="AM96" s="2"/>
      <c r="AN96" s="2"/>
      <c r="AO96" s="1"/>
      <c r="AP96" s="1"/>
      <c r="AQ96" s="1"/>
      <c r="AR96" s="1"/>
      <c r="AS96" s="1"/>
      <c r="AT96" s="1"/>
      <c r="AU96" s="1"/>
      <c r="AV96" s="1"/>
      <c r="AW96" s="1"/>
      <c r="AX96" s="1"/>
      <c r="AY96" s="1"/>
    </row>
    <row r="97" spans="1:51" ht="17.25" thickBot="1" x14ac:dyDescent="0.35">
      <c r="A97" s="147"/>
      <c r="B97" s="97">
        <v>43657</v>
      </c>
      <c r="C97" s="103">
        <v>149.5</v>
      </c>
      <c r="D97" s="103"/>
      <c r="E97" s="103"/>
      <c r="F97" s="150"/>
      <c r="G97" s="150"/>
      <c r="H97" s="100">
        <v>1067</v>
      </c>
      <c r="I97" s="7">
        <f t="shared" si="64"/>
        <v>5335</v>
      </c>
      <c r="J97" s="100"/>
      <c r="K97" s="7">
        <f t="shared" si="65"/>
        <v>0</v>
      </c>
      <c r="L97" s="100"/>
      <c r="M97" s="7">
        <f t="shared" si="66"/>
        <v>0</v>
      </c>
      <c r="N97" s="100"/>
      <c r="O97" s="7">
        <f t="shared" si="67"/>
        <v>0</v>
      </c>
      <c r="P97" s="100"/>
      <c r="Q97" s="7">
        <f t="shared" si="61"/>
        <v>0</v>
      </c>
      <c r="R97" s="100"/>
      <c r="S97" s="7">
        <f t="shared" si="62"/>
        <v>0</v>
      </c>
      <c r="T97" s="100"/>
      <c r="U97" s="7">
        <f t="shared" si="63"/>
        <v>0</v>
      </c>
      <c r="V97" s="8">
        <f t="shared" si="68"/>
        <v>0.18597922331450881</v>
      </c>
      <c r="W97" s="8">
        <f t="shared" si="53"/>
        <v>35.685618729096987</v>
      </c>
      <c r="X97" s="8">
        <f t="shared" si="54"/>
        <v>35.685618729096987</v>
      </c>
      <c r="Y97" s="8" t="str">
        <f t="shared" si="58"/>
        <v/>
      </c>
      <c r="Z97" s="8" t="str">
        <f t="shared" si="55"/>
        <v/>
      </c>
      <c r="AA97" s="152"/>
      <c r="AB97" s="152"/>
      <c r="AC97" s="180"/>
      <c r="AD97" s="2"/>
      <c r="AE97" s="2"/>
      <c r="AF97" s="2"/>
      <c r="AG97" s="2"/>
      <c r="AH97" s="2"/>
      <c r="AI97" s="2"/>
      <c r="AJ97" s="2"/>
      <c r="AK97" s="2"/>
      <c r="AL97" s="2"/>
      <c r="AM97" s="2"/>
      <c r="AN97" s="2"/>
      <c r="AO97" s="1"/>
      <c r="AP97" s="1"/>
      <c r="AQ97" s="1"/>
      <c r="AR97" s="1"/>
      <c r="AS97" s="1"/>
      <c r="AT97" s="1"/>
      <c r="AU97" s="1"/>
      <c r="AV97" s="1"/>
      <c r="AW97" s="1"/>
      <c r="AX97" s="1"/>
      <c r="AY97" s="1"/>
    </row>
    <row r="98" spans="1:51" ht="17.25" thickBot="1" x14ac:dyDescent="0.35">
      <c r="A98" s="147"/>
      <c r="B98" s="97">
        <v>43658</v>
      </c>
      <c r="C98" s="103">
        <v>144.5</v>
      </c>
      <c r="D98" s="103"/>
      <c r="E98" s="103"/>
      <c r="F98" s="150"/>
      <c r="G98" s="150"/>
      <c r="H98" s="100">
        <v>854</v>
      </c>
      <c r="I98" s="7">
        <f t="shared" si="64"/>
        <v>4270</v>
      </c>
      <c r="J98" s="100"/>
      <c r="K98" s="7">
        <f t="shared" si="65"/>
        <v>0</v>
      </c>
      <c r="L98" s="100"/>
      <c r="M98" s="7">
        <f t="shared" si="66"/>
        <v>0</v>
      </c>
      <c r="N98" s="100"/>
      <c r="O98" s="7">
        <f t="shared" si="67"/>
        <v>0</v>
      </c>
      <c r="P98" s="100"/>
      <c r="Q98" s="7">
        <f t="shared" si="61"/>
        <v>0</v>
      </c>
      <c r="R98" s="100"/>
      <c r="S98" s="7">
        <f t="shared" si="62"/>
        <v>0</v>
      </c>
      <c r="T98" s="100"/>
      <c r="U98" s="7">
        <f t="shared" si="63"/>
        <v>0</v>
      </c>
      <c r="V98" s="8">
        <f t="shared" si="68"/>
        <v>0.1488530990727184</v>
      </c>
      <c r="W98" s="8">
        <f t="shared" si="53"/>
        <v>29.550173010380622</v>
      </c>
      <c r="X98" s="8">
        <f t="shared" si="54"/>
        <v>29.550173010380622</v>
      </c>
      <c r="Y98" s="8" t="str">
        <f t="shared" si="58"/>
        <v/>
      </c>
      <c r="Z98" s="8" t="str">
        <f t="shared" si="55"/>
        <v/>
      </c>
      <c r="AA98" s="152"/>
      <c r="AB98" s="152"/>
      <c r="AC98" s="180"/>
      <c r="AD98" s="2"/>
      <c r="AE98" s="2"/>
      <c r="AF98" s="2"/>
      <c r="AG98" s="2"/>
      <c r="AH98" s="2"/>
      <c r="AI98" s="2"/>
      <c r="AJ98" s="2"/>
      <c r="AK98" s="2"/>
      <c r="AL98" s="2"/>
      <c r="AM98" s="2"/>
      <c r="AN98" s="2"/>
      <c r="AO98" s="1"/>
      <c r="AP98" s="1"/>
      <c r="AQ98" s="1"/>
      <c r="AR98" s="1"/>
      <c r="AS98" s="1"/>
      <c r="AT98" s="1"/>
      <c r="AU98" s="1"/>
      <c r="AV98" s="1"/>
      <c r="AW98" s="1"/>
      <c r="AX98" s="1"/>
      <c r="AY98" s="1"/>
    </row>
    <row r="99" spans="1:51" ht="17.25" thickBot="1" x14ac:dyDescent="0.35">
      <c r="A99" s="147"/>
      <c r="B99" s="98"/>
      <c r="C99" s="104"/>
      <c r="D99" s="104"/>
      <c r="E99" s="104"/>
      <c r="F99" s="151"/>
      <c r="G99" s="151"/>
      <c r="H99" s="101"/>
      <c r="I99" s="7">
        <f t="shared" si="64"/>
        <v>0</v>
      </c>
      <c r="J99" s="101"/>
      <c r="K99" s="7">
        <f t="shared" si="65"/>
        <v>0</v>
      </c>
      <c r="L99" s="101"/>
      <c r="M99" s="7">
        <f t="shared" si="66"/>
        <v>0</v>
      </c>
      <c r="N99" s="101"/>
      <c r="O99" s="7">
        <f t="shared" si="67"/>
        <v>0</v>
      </c>
      <c r="P99" s="101"/>
      <c r="Q99" s="7">
        <f t="shared" si="61"/>
        <v>0</v>
      </c>
      <c r="R99" s="101"/>
      <c r="S99" s="7">
        <f t="shared" si="62"/>
        <v>0</v>
      </c>
      <c r="T99" s="101"/>
      <c r="U99" s="7">
        <f t="shared" si="63"/>
        <v>0</v>
      </c>
      <c r="V99" s="8">
        <f t="shared" si="68"/>
        <v>0</v>
      </c>
      <c r="W99" s="8" t="str">
        <f t="shared" si="53"/>
        <v/>
      </c>
      <c r="X99" s="8" t="str">
        <f t="shared" si="54"/>
        <v/>
      </c>
      <c r="Y99" s="8" t="str">
        <f t="shared" si="58"/>
        <v/>
      </c>
      <c r="Z99" s="8" t="str">
        <f t="shared" si="55"/>
        <v/>
      </c>
      <c r="AA99" s="152"/>
      <c r="AB99" s="152"/>
      <c r="AC99" s="181"/>
      <c r="AD99" s="2"/>
      <c r="AE99" s="2"/>
      <c r="AF99" s="2"/>
      <c r="AG99" s="2"/>
      <c r="AH99" s="2"/>
      <c r="AI99" s="2"/>
      <c r="AJ99" s="2"/>
      <c r="AK99" s="2"/>
      <c r="AL99" s="2"/>
      <c r="AM99" s="2"/>
      <c r="AN99" s="2"/>
      <c r="AO99" s="1"/>
      <c r="AP99" s="1"/>
      <c r="AQ99" s="1"/>
      <c r="AR99" s="1"/>
      <c r="AS99" s="1"/>
      <c r="AT99" s="1"/>
      <c r="AU99" s="1"/>
      <c r="AV99" s="1"/>
      <c r="AW99" s="1"/>
      <c r="AX99" s="1"/>
      <c r="AY99" s="1"/>
    </row>
    <row r="100" spans="1:51" ht="17.25" thickBot="1" x14ac:dyDescent="0.35">
      <c r="A100" s="146">
        <v>29</v>
      </c>
      <c r="B100" s="105">
        <v>43661</v>
      </c>
      <c r="C100" s="102">
        <v>144</v>
      </c>
      <c r="D100" s="102"/>
      <c r="E100" s="102"/>
      <c r="F100" s="149">
        <f t="shared" ref="F100" si="82">SUM(M100:M105,O100:O105,Q100:Q105,S100:S105,I100:I105,K100:K105)</f>
        <v>22360</v>
      </c>
      <c r="G100" s="149">
        <f t="shared" ref="G100" si="83">SUM(M100:M105,O100:O105,Q100:Q105,S100:S105,U100:U105,K100:K105,I100:I105)</f>
        <v>22360</v>
      </c>
      <c r="H100" s="99">
        <v>1030</v>
      </c>
      <c r="I100" s="40">
        <f t="shared" si="64"/>
        <v>5150</v>
      </c>
      <c r="J100" s="99"/>
      <c r="K100" s="40">
        <f t="shared" si="65"/>
        <v>0</v>
      </c>
      <c r="L100" s="99"/>
      <c r="M100" s="40">
        <f t="shared" si="66"/>
        <v>0</v>
      </c>
      <c r="N100" s="99"/>
      <c r="O100" s="40">
        <f t="shared" si="67"/>
        <v>0</v>
      </c>
      <c r="P100" s="99"/>
      <c r="Q100" s="40">
        <f t="shared" si="61"/>
        <v>0</v>
      </c>
      <c r="R100" s="99"/>
      <c r="S100" s="40">
        <f t="shared" si="62"/>
        <v>0</v>
      </c>
      <c r="T100" s="99"/>
      <c r="U100" s="40">
        <f t="shared" si="63"/>
        <v>0</v>
      </c>
      <c r="V100" s="34">
        <f t="shared" si="68"/>
        <v>0.17953008436170956</v>
      </c>
      <c r="W100" s="34">
        <f t="shared" si="53"/>
        <v>35.763888888888886</v>
      </c>
      <c r="X100" s="34">
        <f t="shared" si="54"/>
        <v>35.763888888888886</v>
      </c>
      <c r="Y100" s="34" t="str">
        <f t="shared" si="58"/>
        <v/>
      </c>
      <c r="Z100" s="34" t="str">
        <f t="shared" si="55"/>
        <v/>
      </c>
      <c r="AA100" s="152">
        <f>AVERAGE(W100:W105)</f>
        <v>33.93668876118803</v>
      </c>
      <c r="AB100" s="152">
        <f t="shared" ref="AB100" si="84">SUM(V100:V105)</f>
        <v>0.77947430802482043</v>
      </c>
      <c r="AC100" s="179">
        <v>0.85947849125008713</v>
      </c>
      <c r="AD100" s="2"/>
      <c r="AE100" s="2"/>
      <c r="AF100" s="2"/>
      <c r="AG100" s="2"/>
      <c r="AH100" s="2"/>
      <c r="AI100" s="2"/>
      <c r="AJ100" s="2"/>
      <c r="AK100" s="2"/>
      <c r="AL100" s="2"/>
      <c r="AM100" s="2"/>
      <c r="AN100" s="2"/>
      <c r="AO100" s="1"/>
      <c r="AP100" s="1"/>
      <c r="AQ100" s="1"/>
      <c r="AR100" s="1"/>
      <c r="AS100" s="1"/>
      <c r="AT100" s="1"/>
      <c r="AU100" s="1"/>
      <c r="AV100" s="1"/>
      <c r="AW100" s="1"/>
      <c r="AX100" s="1"/>
      <c r="AY100" s="1"/>
    </row>
    <row r="101" spans="1:51" ht="17.25" thickBot="1" x14ac:dyDescent="0.35">
      <c r="A101" s="147"/>
      <c r="B101" s="97">
        <v>43662</v>
      </c>
      <c r="C101" s="103">
        <v>122</v>
      </c>
      <c r="D101" s="103"/>
      <c r="E101" s="103"/>
      <c r="F101" s="150"/>
      <c r="G101" s="150"/>
      <c r="H101" s="100">
        <v>890</v>
      </c>
      <c r="I101" s="7">
        <f t="shared" si="64"/>
        <v>4450</v>
      </c>
      <c r="J101" s="100"/>
      <c r="K101" s="7">
        <f t="shared" si="65"/>
        <v>0</v>
      </c>
      <c r="L101" s="100"/>
      <c r="M101" s="7">
        <f t="shared" si="66"/>
        <v>0</v>
      </c>
      <c r="N101" s="100"/>
      <c r="O101" s="7">
        <f t="shared" si="67"/>
        <v>0</v>
      </c>
      <c r="P101" s="100"/>
      <c r="Q101" s="7">
        <f t="shared" si="61"/>
        <v>0</v>
      </c>
      <c r="R101" s="100"/>
      <c r="S101" s="7">
        <f t="shared" si="62"/>
        <v>0</v>
      </c>
      <c r="T101" s="100"/>
      <c r="U101" s="7">
        <f t="shared" si="63"/>
        <v>0</v>
      </c>
      <c r="V101" s="8">
        <f t="shared" si="68"/>
        <v>0.15512793697273933</v>
      </c>
      <c r="W101" s="8">
        <f t="shared" si="53"/>
        <v>36.475409836065573</v>
      </c>
      <c r="X101" s="8">
        <f t="shared" si="54"/>
        <v>36.475409836065573</v>
      </c>
      <c r="Y101" s="8" t="str">
        <f t="shared" si="58"/>
        <v/>
      </c>
      <c r="Z101" s="8" t="str">
        <f t="shared" si="55"/>
        <v/>
      </c>
      <c r="AA101" s="152"/>
      <c r="AB101" s="152"/>
      <c r="AC101" s="180"/>
      <c r="AD101" s="2"/>
      <c r="AE101" s="2"/>
      <c r="AF101" s="2"/>
      <c r="AG101" s="2"/>
      <c r="AH101" s="2"/>
      <c r="AI101" s="2"/>
      <c r="AJ101" s="2"/>
      <c r="AK101" s="2"/>
      <c r="AL101" s="2"/>
      <c r="AM101" s="2"/>
      <c r="AN101" s="2"/>
      <c r="AO101" s="1"/>
      <c r="AP101" s="1"/>
      <c r="AQ101" s="1"/>
      <c r="AR101" s="1"/>
      <c r="AS101" s="1"/>
      <c r="AT101" s="1"/>
      <c r="AU101" s="1"/>
      <c r="AV101" s="1"/>
      <c r="AW101" s="1"/>
      <c r="AX101" s="1"/>
      <c r="AY101" s="1"/>
    </row>
    <row r="102" spans="1:51" ht="17.25" thickBot="1" x14ac:dyDescent="0.35">
      <c r="A102" s="147"/>
      <c r="B102" s="97">
        <v>43663</v>
      </c>
      <c r="C102" s="103">
        <v>108</v>
      </c>
      <c r="D102" s="103"/>
      <c r="E102" s="103"/>
      <c r="F102" s="150"/>
      <c r="G102" s="150"/>
      <c r="H102" s="100">
        <v>813</v>
      </c>
      <c r="I102" s="7">
        <f t="shared" si="64"/>
        <v>4065</v>
      </c>
      <c r="J102" s="100"/>
      <c r="K102" s="7">
        <f t="shared" si="65"/>
        <v>0</v>
      </c>
      <c r="L102" s="100"/>
      <c r="M102" s="7">
        <f t="shared" si="66"/>
        <v>0</v>
      </c>
      <c r="N102" s="100"/>
      <c r="O102" s="7">
        <f t="shared" si="67"/>
        <v>0</v>
      </c>
      <c r="P102" s="100"/>
      <c r="Q102" s="7">
        <f t="shared" si="61"/>
        <v>0</v>
      </c>
      <c r="R102" s="100"/>
      <c r="S102" s="7">
        <f t="shared" si="62"/>
        <v>0</v>
      </c>
      <c r="T102" s="100"/>
      <c r="U102" s="7">
        <f t="shared" si="63"/>
        <v>0</v>
      </c>
      <c r="V102" s="8">
        <f t="shared" si="68"/>
        <v>0.14170675590880569</v>
      </c>
      <c r="W102" s="8">
        <f t="shared" si="53"/>
        <v>37.638888888888886</v>
      </c>
      <c r="X102" s="8">
        <f t="shared" si="54"/>
        <v>37.638888888888886</v>
      </c>
      <c r="Y102" s="8" t="str">
        <f t="shared" si="58"/>
        <v/>
      </c>
      <c r="Z102" s="8" t="str">
        <f t="shared" si="55"/>
        <v/>
      </c>
      <c r="AA102" s="152"/>
      <c r="AB102" s="152"/>
      <c r="AC102" s="180"/>
      <c r="AD102" s="2"/>
      <c r="AE102" s="2"/>
      <c r="AF102" s="2"/>
      <c r="AG102" s="2"/>
      <c r="AH102" s="2"/>
      <c r="AI102" s="2"/>
      <c r="AJ102" s="2"/>
      <c r="AK102" s="2"/>
      <c r="AL102" s="2"/>
      <c r="AM102" s="2"/>
      <c r="AN102" s="2"/>
      <c r="AO102" s="1"/>
      <c r="AP102" s="1"/>
      <c r="AQ102" s="1"/>
      <c r="AR102" s="1"/>
      <c r="AS102" s="1"/>
      <c r="AT102" s="1"/>
      <c r="AU102" s="1"/>
      <c r="AV102" s="1"/>
      <c r="AW102" s="1"/>
      <c r="AX102" s="1"/>
      <c r="AY102" s="1"/>
    </row>
    <row r="103" spans="1:51" ht="17.25" thickBot="1" x14ac:dyDescent="0.35">
      <c r="A103" s="147"/>
      <c r="B103" s="97">
        <v>43664</v>
      </c>
      <c r="C103" s="103">
        <v>123</v>
      </c>
      <c r="D103" s="103"/>
      <c r="E103" s="103"/>
      <c r="F103" s="150"/>
      <c r="G103" s="150"/>
      <c r="H103" s="100">
        <v>799</v>
      </c>
      <c r="I103" s="7">
        <f t="shared" si="64"/>
        <v>3995</v>
      </c>
      <c r="J103" s="100"/>
      <c r="K103" s="7">
        <f t="shared" si="65"/>
        <v>0</v>
      </c>
      <c r="L103" s="100"/>
      <c r="M103" s="7">
        <f t="shared" si="66"/>
        <v>0</v>
      </c>
      <c r="N103" s="100"/>
      <c r="O103" s="7">
        <f t="shared" si="67"/>
        <v>0</v>
      </c>
      <c r="P103" s="100"/>
      <c r="Q103" s="7">
        <f t="shared" si="61"/>
        <v>0</v>
      </c>
      <c r="R103" s="100"/>
      <c r="S103" s="7">
        <f t="shared" si="62"/>
        <v>0</v>
      </c>
      <c r="T103" s="100"/>
      <c r="U103" s="7">
        <f t="shared" si="63"/>
        <v>0</v>
      </c>
      <c r="V103" s="8">
        <f t="shared" si="68"/>
        <v>0.13926654116990866</v>
      </c>
      <c r="W103" s="8">
        <f t="shared" si="53"/>
        <v>32.479674796747965</v>
      </c>
      <c r="X103" s="8">
        <f t="shared" si="54"/>
        <v>32.479674796747965</v>
      </c>
      <c r="Y103" s="8" t="str">
        <f t="shared" si="58"/>
        <v/>
      </c>
      <c r="Z103" s="8" t="str">
        <f t="shared" si="55"/>
        <v/>
      </c>
      <c r="AA103" s="152"/>
      <c r="AB103" s="152"/>
      <c r="AC103" s="180"/>
      <c r="AD103" s="2"/>
      <c r="AE103" s="2"/>
      <c r="AF103" s="2"/>
      <c r="AG103" s="2"/>
      <c r="AH103" s="2"/>
      <c r="AI103" s="2"/>
      <c r="AJ103" s="2"/>
      <c r="AK103" s="2"/>
      <c r="AL103" s="2"/>
      <c r="AM103" s="2"/>
      <c r="AN103" s="2"/>
      <c r="AO103" s="1"/>
      <c r="AP103" s="1"/>
      <c r="AQ103" s="1"/>
      <c r="AR103" s="1"/>
      <c r="AS103" s="1"/>
      <c r="AT103" s="1"/>
      <c r="AU103" s="1"/>
      <c r="AV103" s="1"/>
      <c r="AW103" s="1"/>
      <c r="AX103" s="1"/>
      <c r="AY103" s="1"/>
    </row>
    <row r="104" spans="1:51" ht="17.25" thickBot="1" x14ac:dyDescent="0.35">
      <c r="A104" s="147"/>
      <c r="B104" s="97">
        <v>43665</v>
      </c>
      <c r="C104" s="103">
        <v>172</v>
      </c>
      <c r="D104" s="103"/>
      <c r="E104" s="103"/>
      <c r="F104" s="150"/>
      <c r="G104" s="150"/>
      <c r="H104" s="100">
        <v>940</v>
      </c>
      <c r="I104" s="7">
        <f t="shared" si="64"/>
        <v>4700</v>
      </c>
      <c r="J104" s="100"/>
      <c r="K104" s="7">
        <f t="shared" si="65"/>
        <v>0</v>
      </c>
      <c r="L104" s="100"/>
      <c r="M104" s="7">
        <f t="shared" si="66"/>
        <v>0</v>
      </c>
      <c r="N104" s="100"/>
      <c r="O104" s="7">
        <f t="shared" si="67"/>
        <v>0</v>
      </c>
      <c r="P104" s="100"/>
      <c r="Q104" s="7">
        <f t="shared" si="61"/>
        <v>0</v>
      </c>
      <c r="R104" s="100"/>
      <c r="S104" s="7">
        <f t="shared" si="62"/>
        <v>0</v>
      </c>
      <c r="T104" s="100"/>
      <c r="U104" s="7">
        <f t="shared" si="63"/>
        <v>0</v>
      </c>
      <c r="V104" s="8">
        <f t="shared" si="68"/>
        <v>0.16384298961165725</v>
      </c>
      <c r="W104" s="8">
        <f t="shared" si="53"/>
        <v>27.325581395348838</v>
      </c>
      <c r="X104" s="8">
        <f t="shared" si="54"/>
        <v>27.325581395348838</v>
      </c>
      <c r="Y104" s="8" t="str">
        <f t="shared" si="58"/>
        <v/>
      </c>
      <c r="Z104" s="8" t="str">
        <f t="shared" si="55"/>
        <v/>
      </c>
      <c r="AA104" s="152"/>
      <c r="AB104" s="152"/>
      <c r="AC104" s="180"/>
      <c r="AD104" s="2"/>
      <c r="AE104" s="2"/>
      <c r="AF104" s="2"/>
      <c r="AG104" s="2"/>
      <c r="AH104" s="2"/>
      <c r="AI104" s="2"/>
      <c r="AJ104" s="2"/>
      <c r="AK104" s="2"/>
      <c r="AL104" s="2"/>
      <c r="AM104" s="2"/>
      <c r="AN104" s="2"/>
      <c r="AO104" s="1"/>
      <c r="AP104" s="1"/>
      <c r="AQ104" s="1"/>
      <c r="AR104" s="1"/>
      <c r="AS104" s="1"/>
      <c r="AT104" s="1"/>
      <c r="AU104" s="1"/>
      <c r="AV104" s="1"/>
      <c r="AW104" s="1"/>
      <c r="AX104" s="1"/>
      <c r="AY104" s="1"/>
    </row>
    <row r="105" spans="1:51" ht="17.25" thickBot="1" x14ac:dyDescent="0.35">
      <c r="A105" s="148"/>
      <c r="B105" s="98"/>
      <c r="C105" s="104"/>
      <c r="D105" s="104"/>
      <c r="E105" s="104"/>
      <c r="F105" s="151"/>
      <c r="G105" s="151"/>
      <c r="H105" s="101"/>
      <c r="I105" s="39">
        <f t="shared" si="64"/>
        <v>0</v>
      </c>
      <c r="J105" s="101"/>
      <c r="K105" s="39">
        <f t="shared" si="65"/>
        <v>0</v>
      </c>
      <c r="L105" s="101"/>
      <c r="M105" s="39">
        <f t="shared" si="66"/>
        <v>0</v>
      </c>
      <c r="N105" s="101"/>
      <c r="O105" s="39">
        <f t="shared" si="67"/>
        <v>0</v>
      </c>
      <c r="P105" s="101"/>
      <c r="Q105" s="39">
        <f t="shared" si="61"/>
        <v>0</v>
      </c>
      <c r="R105" s="101"/>
      <c r="S105" s="39">
        <f t="shared" si="62"/>
        <v>0</v>
      </c>
      <c r="T105" s="101"/>
      <c r="U105" s="39">
        <f t="shared" si="63"/>
        <v>0</v>
      </c>
      <c r="V105" s="36">
        <f t="shared" si="68"/>
        <v>0</v>
      </c>
      <c r="W105" s="36" t="str">
        <f t="shared" si="53"/>
        <v/>
      </c>
      <c r="X105" s="36" t="str">
        <f t="shared" si="54"/>
        <v/>
      </c>
      <c r="Y105" s="36" t="str">
        <f t="shared" si="58"/>
        <v/>
      </c>
      <c r="Z105" s="36" t="str">
        <f t="shared" si="55"/>
        <v/>
      </c>
      <c r="AA105" s="152"/>
      <c r="AB105" s="152"/>
      <c r="AC105" s="181"/>
      <c r="AD105" s="2"/>
      <c r="AE105" s="2"/>
      <c r="AF105" s="2"/>
      <c r="AG105" s="2"/>
      <c r="AH105" s="2"/>
      <c r="AI105" s="2"/>
      <c r="AJ105" s="2"/>
      <c r="AK105" s="2"/>
      <c r="AL105" s="2"/>
      <c r="AM105" s="2"/>
      <c r="AN105" s="2"/>
      <c r="AO105" s="1"/>
      <c r="AP105" s="1"/>
      <c r="AQ105" s="1"/>
      <c r="AR105" s="1"/>
      <c r="AS105" s="1"/>
      <c r="AT105" s="1"/>
      <c r="AU105" s="1"/>
      <c r="AV105" s="1"/>
      <c r="AW105" s="1"/>
      <c r="AX105" s="1"/>
      <c r="AY105" s="1"/>
    </row>
    <row r="106" spans="1:51" ht="17.25" thickBot="1" x14ac:dyDescent="0.35">
      <c r="A106" s="147">
        <v>30</v>
      </c>
      <c r="B106" s="105">
        <v>43668</v>
      </c>
      <c r="C106" s="102">
        <f>179</f>
        <v>179</v>
      </c>
      <c r="D106" s="102"/>
      <c r="E106" s="102"/>
      <c r="F106" s="149">
        <f t="shared" ref="F106" si="85">SUM(M106:M111,O106:O111,Q106:Q111,S106:S111,I106:I111,K106:K111)</f>
        <v>21860</v>
      </c>
      <c r="G106" s="149">
        <f t="shared" ref="G106" si="86">SUM(M106:M111,O106:O111,Q106:Q111,S106:S111,U106:U111,K106:K111,I106:I111)</f>
        <v>21860</v>
      </c>
      <c r="H106" s="99">
        <v>1118</v>
      </c>
      <c r="I106" s="7">
        <f t="shared" si="64"/>
        <v>5590</v>
      </c>
      <c r="J106" s="99"/>
      <c r="K106" s="7">
        <f t="shared" si="65"/>
        <v>0</v>
      </c>
      <c r="L106" s="99"/>
      <c r="M106" s="7">
        <f t="shared" si="66"/>
        <v>0</v>
      </c>
      <c r="N106" s="99"/>
      <c r="O106" s="7">
        <f t="shared" si="67"/>
        <v>0</v>
      </c>
      <c r="P106" s="99"/>
      <c r="Q106" s="7">
        <f t="shared" si="61"/>
        <v>0</v>
      </c>
      <c r="R106" s="99"/>
      <c r="S106" s="7">
        <f t="shared" si="62"/>
        <v>0</v>
      </c>
      <c r="T106" s="99"/>
      <c r="U106" s="7">
        <f t="shared" si="63"/>
        <v>0</v>
      </c>
      <c r="V106" s="8">
        <f t="shared" si="68"/>
        <v>0.19486857700620511</v>
      </c>
      <c r="W106" s="8">
        <f t="shared" si="53"/>
        <v>31.229050279329609</v>
      </c>
      <c r="X106" s="8">
        <f t="shared" si="54"/>
        <v>31.229050279329609</v>
      </c>
      <c r="Y106" s="8" t="str">
        <f t="shared" si="58"/>
        <v/>
      </c>
      <c r="Z106" s="8" t="str">
        <f t="shared" si="55"/>
        <v/>
      </c>
      <c r="AA106" s="152">
        <f t="shared" ref="AA106" si="87">AVERAGE(W106:W111)</f>
        <v>30.888202455741656</v>
      </c>
      <c r="AB106" s="152">
        <f t="shared" ref="AB106" si="88">SUM(V106:V111)</f>
        <v>0.76204420274698448</v>
      </c>
      <c r="AC106" s="179">
        <v>0.86226730809454089</v>
      </c>
      <c r="AD106" s="2"/>
      <c r="AE106" s="2"/>
      <c r="AF106" s="2"/>
      <c r="AG106" s="2"/>
      <c r="AH106" s="2"/>
      <c r="AI106" s="2"/>
      <c r="AJ106" s="2"/>
      <c r="AK106" s="2"/>
      <c r="AL106" s="2"/>
      <c r="AM106" s="2"/>
      <c r="AN106" s="2"/>
      <c r="AO106" s="1"/>
      <c r="AP106" s="1"/>
      <c r="AQ106" s="1"/>
      <c r="AR106" s="1"/>
      <c r="AS106" s="1"/>
      <c r="AT106" s="1"/>
      <c r="AU106" s="1"/>
      <c r="AV106" s="1"/>
      <c r="AW106" s="1"/>
      <c r="AX106" s="1"/>
      <c r="AY106" s="1"/>
    </row>
    <row r="107" spans="1:51" ht="17.25" thickBot="1" x14ac:dyDescent="0.35">
      <c r="A107" s="147"/>
      <c r="B107" s="138">
        <v>43669</v>
      </c>
      <c r="C107" s="103">
        <v>112</v>
      </c>
      <c r="D107" s="103"/>
      <c r="E107" s="103"/>
      <c r="F107" s="150"/>
      <c r="G107" s="150"/>
      <c r="H107" s="100">
        <v>701</v>
      </c>
      <c r="I107" s="7">
        <f t="shared" si="64"/>
        <v>3505</v>
      </c>
      <c r="J107" s="100"/>
      <c r="K107" s="7">
        <f t="shared" si="65"/>
        <v>0</v>
      </c>
      <c r="L107" s="100"/>
      <c r="M107" s="7">
        <f t="shared" si="66"/>
        <v>0</v>
      </c>
      <c r="N107" s="100"/>
      <c r="O107" s="7">
        <f t="shared" si="67"/>
        <v>0</v>
      </c>
      <c r="P107" s="100"/>
      <c r="Q107" s="7">
        <f t="shared" si="61"/>
        <v>0</v>
      </c>
      <c r="R107" s="100"/>
      <c r="S107" s="7">
        <f t="shared" si="62"/>
        <v>0</v>
      </c>
      <c r="T107" s="100"/>
      <c r="U107" s="7">
        <f t="shared" si="63"/>
        <v>0</v>
      </c>
      <c r="V107" s="8">
        <f t="shared" si="68"/>
        <v>0.1221850379976295</v>
      </c>
      <c r="W107" s="8">
        <f t="shared" si="53"/>
        <v>31.294642857142858</v>
      </c>
      <c r="X107" s="8">
        <f t="shared" si="54"/>
        <v>31.294642857142858</v>
      </c>
      <c r="Y107" s="8" t="str">
        <f t="shared" si="58"/>
        <v/>
      </c>
      <c r="Z107" s="8" t="str">
        <f t="shared" si="55"/>
        <v/>
      </c>
      <c r="AA107" s="152"/>
      <c r="AB107" s="152"/>
      <c r="AC107" s="180"/>
      <c r="AD107" s="2"/>
      <c r="AE107" s="2"/>
      <c r="AF107" s="2"/>
      <c r="AG107" s="2"/>
      <c r="AH107" s="2"/>
      <c r="AI107" s="2"/>
      <c r="AJ107" s="2"/>
      <c r="AK107" s="2"/>
      <c r="AL107" s="2"/>
      <c r="AM107" s="2"/>
      <c r="AN107" s="2"/>
      <c r="AO107" s="1"/>
      <c r="AP107" s="1"/>
      <c r="AQ107" s="1"/>
      <c r="AR107" s="1"/>
      <c r="AS107" s="1"/>
      <c r="AT107" s="1"/>
      <c r="AU107" s="1"/>
      <c r="AV107" s="1"/>
      <c r="AW107" s="1"/>
      <c r="AX107" s="1"/>
      <c r="AY107" s="1"/>
    </row>
    <row r="108" spans="1:51" ht="17.25" thickBot="1" x14ac:dyDescent="0.35">
      <c r="A108" s="147"/>
      <c r="B108" s="97">
        <v>43670</v>
      </c>
      <c r="C108" s="103">
        <v>126.5</v>
      </c>
      <c r="D108" s="103"/>
      <c r="E108" s="103"/>
      <c r="F108" s="150"/>
      <c r="G108" s="150"/>
      <c r="H108" s="100">
        <v>811</v>
      </c>
      <c r="I108" s="7">
        <f t="shared" si="64"/>
        <v>4055</v>
      </c>
      <c r="J108" s="100"/>
      <c r="K108" s="7">
        <f t="shared" si="65"/>
        <v>0</v>
      </c>
      <c r="L108" s="100"/>
      <c r="M108" s="7">
        <f t="shared" si="66"/>
        <v>0</v>
      </c>
      <c r="N108" s="100"/>
      <c r="O108" s="7">
        <f t="shared" si="67"/>
        <v>0</v>
      </c>
      <c r="P108" s="100"/>
      <c r="Q108" s="7">
        <f t="shared" si="61"/>
        <v>0</v>
      </c>
      <c r="R108" s="100"/>
      <c r="S108" s="7">
        <f t="shared" si="62"/>
        <v>0</v>
      </c>
      <c r="T108" s="100"/>
      <c r="U108" s="7">
        <f t="shared" si="63"/>
        <v>0</v>
      </c>
      <c r="V108" s="8">
        <f t="shared" si="68"/>
        <v>0.14135815380324898</v>
      </c>
      <c r="W108" s="8">
        <f t="shared" si="53"/>
        <v>32.055335968379445</v>
      </c>
      <c r="X108" s="8">
        <f t="shared" si="54"/>
        <v>32.055335968379445</v>
      </c>
      <c r="Y108" s="8" t="str">
        <f t="shared" si="58"/>
        <v/>
      </c>
      <c r="Z108" s="8" t="str">
        <f t="shared" si="55"/>
        <v/>
      </c>
      <c r="AA108" s="152"/>
      <c r="AB108" s="152"/>
      <c r="AC108" s="180"/>
      <c r="AD108" s="2"/>
      <c r="AE108" s="2"/>
      <c r="AF108" s="2"/>
      <c r="AG108" s="2"/>
      <c r="AH108" s="2"/>
      <c r="AI108" s="2"/>
      <c r="AJ108" s="2"/>
      <c r="AK108" s="2"/>
      <c r="AL108" s="2"/>
      <c r="AM108" s="2"/>
      <c r="AN108" s="2"/>
      <c r="AO108" s="1"/>
      <c r="AP108" s="1"/>
      <c r="AQ108" s="1"/>
      <c r="AR108" s="1"/>
      <c r="AS108" s="1"/>
      <c r="AT108" s="1"/>
      <c r="AU108" s="1"/>
      <c r="AV108" s="1"/>
      <c r="AW108" s="1"/>
      <c r="AX108" s="1"/>
      <c r="AY108" s="1"/>
    </row>
    <row r="109" spans="1:51" ht="17.25" thickBot="1" x14ac:dyDescent="0.35">
      <c r="A109" s="147"/>
      <c r="B109" s="97">
        <v>43671</v>
      </c>
      <c r="C109" s="103">
        <v>143.5</v>
      </c>
      <c r="D109" s="103"/>
      <c r="E109" s="103"/>
      <c r="F109" s="150"/>
      <c r="G109" s="150"/>
      <c r="H109" s="100">
        <v>909</v>
      </c>
      <c r="I109" s="7">
        <f t="shared" si="64"/>
        <v>4545</v>
      </c>
      <c r="J109" s="100"/>
      <c r="K109" s="7">
        <f t="shared" si="65"/>
        <v>0</v>
      </c>
      <c r="L109" s="100"/>
      <c r="M109" s="7">
        <f t="shared" si="66"/>
        <v>0</v>
      </c>
      <c r="N109" s="100"/>
      <c r="O109" s="7">
        <f t="shared" si="67"/>
        <v>0</v>
      </c>
      <c r="P109" s="100"/>
      <c r="Q109" s="7">
        <f t="shared" si="61"/>
        <v>0</v>
      </c>
      <c r="R109" s="100"/>
      <c r="S109" s="7">
        <f t="shared" si="62"/>
        <v>0</v>
      </c>
      <c r="T109" s="100"/>
      <c r="U109" s="7">
        <f t="shared" si="63"/>
        <v>0</v>
      </c>
      <c r="V109" s="8">
        <f t="shared" si="68"/>
        <v>0.15843965697552814</v>
      </c>
      <c r="W109" s="8">
        <f t="shared" si="53"/>
        <v>31.672473867595819</v>
      </c>
      <c r="X109" s="8">
        <f t="shared" si="54"/>
        <v>31.672473867595819</v>
      </c>
      <c r="Y109" s="8" t="str">
        <f t="shared" si="58"/>
        <v/>
      </c>
      <c r="Z109" s="8" t="str">
        <f t="shared" si="55"/>
        <v/>
      </c>
      <c r="AA109" s="152"/>
      <c r="AB109" s="152"/>
      <c r="AC109" s="180"/>
      <c r="AD109" s="2"/>
      <c r="AE109" s="2"/>
      <c r="AF109" s="2"/>
      <c r="AG109" s="2"/>
      <c r="AH109" s="2"/>
      <c r="AI109" s="2"/>
      <c r="AJ109" s="2"/>
      <c r="AK109" s="2"/>
      <c r="AL109" s="2"/>
      <c r="AM109" s="2"/>
      <c r="AN109" s="2"/>
      <c r="AO109" s="1"/>
      <c r="AP109" s="1"/>
      <c r="AQ109" s="1"/>
      <c r="AR109" s="1"/>
      <c r="AS109" s="1"/>
      <c r="AT109" s="1"/>
      <c r="AU109" s="1"/>
      <c r="AV109" s="1"/>
      <c r="AW109" s="1"/>
      <c r="AX109" s="1"/>
      <c r="AY109" s="1"/>
    </row>
    <row r="110" spans="1:51" ht="17.25" thickBot="1" x14ac:dyDescent="0.35">
      <c r="A110" s="147"/>
      <c r="B110" s="132">
        <v>43672</v>
      </c>
      <c r="C110" s="103">
        <v>147.75</v>
      </c>
      <c r="D110" s="103"/>
      <c r="E110" s="103"/>
      <c r="F110" s="150"/>
      <c r="G110" s="150"/>
      <c r="H110" s="103">
        <v>833</v>
      </c>
      <c r="I110" s="7">
        <f>H110*H$3</f>
        <v>4165</v>
      </c>
      <c r="J110" s="100"/>
      <c r="K110" s="7">
        <f t="shared" si="65"/>
        <v>0</v>
      </c>
      <c r="L110" s="100"/>
      <c r="M110" s="7">
        <f t="shared" si="66"/>
        <v>0</v>
      </c>
      <c r="N110" s="100"/>
      <c r="O110" s="7">
        <f t="shared" si="67"/>
        <v>0</v>
      </c>
      <c r="P110" s="100"/>
      <c r="Q110" s="7">
        <f t="shared" si="61"/>
        <v>0</v>
      </c>
      <c r="R110" s="100"/>
      <c r="S110" s="7">
        <f t="shared" si="62"/>
        <v>0</v>
      </c>
      <c r="T110" s="100"/>
      <c r="U110" s="7">
        <f t="shared" si="63"/>
        <v>0</v>
      </c>
      <c r="V110" s="8">
        <f t="shared" si="68"/>
        <v>0.14519277696437285</v>
      </c>
      <c r="W110" s="8">
        <f t="shared" si="53"/>
        <v>28.189509306260575</v>
      </c>
      <c r="X110" s="8">
        <f t="shared" si="54"/>
        <v>28.189509306260575</v>
      </c>
      <c r="Y110" s="8" t="str">
        <f t="shared" si="58"/>
        <v/>
      </c>
      <c r="Z110" s="8" t="str">
        <f t="shared" si="55"/>
        <v/>
      </c>
      <c r="AA110" s="152"/>
      <c r="AB110" s="152"/>
      <c r="AC110" s="180"/>
      <c r="AD110" s="2"/>
      <c r="AE110" s="2"/>
      <c r="AF110" s="2"/>
      <c r="AG110" s="2"/>
      <c r="AH110" s="2"/>
      <c r="AI110" s="2"/>
      <c r="AJ110" s="2"/>
      <c r="AK110" s="2"/>
      <c r="AL110" s="2"/>
      <c r="AM110" s="2"/>
      <c r="AN110" s="2"/>
      <c r="AO110" s="1"/>
      <c r="AP110" s="1"/>
      <c r="AQ110" s="1"/>
      <c r="AR110" s="1"/>
      <c r="AS110" s="1"/>
      <c r="AT110" s="1"/>
      <c r="AU110" s="1"/>
      <c r="AV110" s="1"/>
      <c r="AW110" s="1"/>
      <c r="AX110" s="1"/>
      <c r="AY110" s="1"/>
    </row>
    <row r="111" spans="1:51" ht="17.25" thickBot="1" x14ac:dyDescent="0.35">
      <c r="A111" s="147"/>
      <c r="B111" s="97"/>
      <c r="C111" s="104"/>
      <c r="D111" s="104"/>
      <c r="E111" s="104"/>
      <c r="F111" s="151"/>
      <c r="G111" s="151"/>
      <c r="H111" s="101"/>
      <c r="I111" s="7">
        <f t="shared" si="64"/>
        <v>0</v>
      </c>
      <c r="J111" s="101"/>
      <c r="K111" s="7">
        <f t="shared" si="65"/>
        <v>0</v>
      </c>
      <c r="L111" s="101"/>
      <c r="M111" s="7">
        <f t="shared" si="66"/>
        <v>0</v>
      </c>
      <c r="N111" s="101"/>
      <c r="O111" s="7">
        <f t="shared" si="67"/>
        <v>0</v>
      </c>
      <c r="P111" s="101"/>
      <c r="Q111" s="7">
        <f t="shared" si="61"/>
        <v>0</v>
      </c>
      <c r="R111" s="101"/>
      <c r="S111" s="7">
        <f t="shared" si="62"/>
        <v>0</v>
      </c>
      <c r="T111" s="101"/>
      <c r="U111" s="7">
        <f t="shared" si="63"/>
        <v>0</v>
      </c>
      <c r="V111" s="8">
        <f t="shared" si="68"/>
        <v>0</v>
      </c>
      <c r="W111" s="8" t="str">
        <f t="shared" si="53"/>
        <v/>
      </c>
      <c r="X111" s="8" t="str">
        <f t="shared" si="54"/>
        <v/>
      </c>
      <c r="Y111" s="8" t="str">
        <f t="shared" si="58"/>
        <v/>
      </c>
      <c r="Z111" s="8" t="str">
        <f t="shared" si="55"/>
        <v/>
      </c>
      <c r="AA111" s="152"/>
      <c r="AB111" s="152"/>
      <c r="AC111" s="181"/>
      <c r="AD111" s="2"/>
      <c r="AE111" s="2"/>
      <c r="AF111" s="2"/>
      <c r="AG111" s="2"/>
      <c r="AH111" s="2"/>
      <c r="AI111" s="2"/>
      <c r="AJ111" s="2"/>
      <c r="AK111" s="2"/>
      <c r="AL111" s="2"/>
      <c r="AM111" s="2"/>
      <c r="AN111" s="2"/>
      <c r="AO111" s="1"/>
      <c r="AP111" s="1"/>
      <c r="AQ111" s="1"/>
      <c r="AR111" s="1"/>
      <c r="AS111" s="1"/>
      <c r="AT111" s="1"/>
      <c r="AU111" s="1"/>
      <c r="AV111" s="1"/>
      <c r="AW111" s="1"/>
      <c r="AX111" s="1"/>
      <c r="AY111" s="1"/>
    </row>
    <row r="112" spans="1:51" ht="17.25" thickBot="1" x14ac:dyDescent="0.35">
      <c r="A112" s="146">
        <v>31</v>
      </c>
      <c r="B112" s="105">
        <v>43675</v>
      </c>
      <c r="C112" s="102">
        <v>180.5</v>
      </c>
      <c r="D112" s="102"/>
      <c r="E112" s="102"/>
      <c r="F112" s="149">
        <f t="shared" ref="F112" si="89">SUM(M112:M117,O112:O117,Q112:Q117,S112:S117,I112:I117,K112:K117)</f>
        <v>26275</v>
      </c>
      <c r="G112" s="149">
        <f t="shared" ref="G112" si="90">SUM(M112:M117,O112:O117,Q112:Q117,S112:S117,U112:U117,K112:K117,I112:I117)</f>
        <v>26275</v>
      </c>
      <c r="H112" s="99">
        <v>1175</v>
      </c>
      <c r="I112" s="40">
        <f t="shared" si="64"/>
        <v>5875</v>
      </c>
      <c r="J112" s="99"/>
      <c r="K112" s="40">
        <f t="shared" si="65"/>
        <v>0</v>
      </c>
      <c r="L112" s="99"/>
      <c r="M112" s="40">
        <f t="shared" si="66"/>
        <v>0</v>
      </c>
      <c r="N112" s="99"/>
      <c r="O112" s="40">
        <f t="shared" si="67"/>
        <v>0</v>
      </c>
      <c r="P112" s="99"/>
      <c r="Q112" s="40">
        <f t="shared" si="61"/>
        <v>0</v>
      </c>
      <c r="R112" s="99"/>
      <c r="S112" s="40">
        <f t="shared" si="62"/>
        <v>0</v>
      </c>
      <c r="T112" s="99"/>
      <c r="U112" s="40">
        <f t="shared" si="63"/>
        <v>0</v>
      </c>
      <c r="V112" s="34">
        <f t="shared" si="68"/>
        <v>0.20480373701457158</v>
      </c>
      <c r="W112" s="34">
        <f t="shared" si="53"/>
        <v>32.548476454293628</v>
      </c>
      <c r="X112" s="34">
        <f t="shared" si="54"/>
        <v>32.548476454293628</v>
      </c>
      <c r="Y112" s="34" t="str">
        <f t="shared" si="58"/>
        <v/>
      </c>
      <c r="Z112" s="34" t="str">
        <f t="shared" si="55"/>
        <v/>
      </c>
      <c r="AA112" s="152">
        <f t="shared" ref="AA112" si="91">AVERAGE(W112:W117)</f>
        <v>35.006307613183111</v>
      </c>
      <c r="AB112" s="152">
        <f t="shared" ref="AB112" si="92">SUM(V112:V117)</f>
        <v>0.91595203235027556</v>
      </c>
      <c r="AC112" s="179">
        <v>0.88161472495293869</v>
      </c>
      <c r="AD112" s="2"/>
      <c r="AE112" s="2"/>
      <c r="AF112" s="2"/>
      <c r="AG112" s="2"/>
      <c r="AH112" s="2"/>
      <c r="AI112" s="2"/>
      <c r="AJ112" s="2"/>
      <c r="AK112" s="2"/>
      <c r="AL112" s="2"/>
      <c r="AM112" s="2"/>
      <c r="AN112" s="2"/>
      <c r="AO112" s="1"/>
      <c r="AP112" s="1"/>
      <c r="AQ112" s="1"/>
      <c r="AR112" s="1"/>
      <c r="AS112" s="1"/>
      <c r="AT112" s="1"/>
      <c r="AU112" s="1"/>
      <c r="AV112" s="1"/>
      <c r="AW112" s="1"/>
      <c r="AX112" s="1"/>
      <c r="AY112" s="1"/>
    </row>
    <row r="113" spans="1:51" ht="17.25" thickBot="1" x14ac:dyDescent="0.35">
      <c r="A113" s="147"/>
      <c r="B113" s="97">
        <v>43676</v>
      </c>
      <c r="C113" s="103">
        <v>162</v>
      </c>
      <c r="D113" s="103"/>
      <c r="E113" s="103"/>
      <c r="F113" s="150"/>
      <c r="G113" s="150"/>
      <c r="H113" s="100">
        <v>1081</v>
      </c>
      <c r="I113" s="7">
        <f>H113*H$3</f>
        <v>5405</v>
      </c>
      <c r="J113" s="100"/>
      <c r="K113" s="7">
        <f t="shared" si="65"/>
        <v>0</v>
      </c>
      <c r="L113" s="100"/>
      <c r="M113" s="7">
        <f t="shared" si="66"/>
        <v>0</v>
      </c>
      <c r="N113" s="100"/>
      <c r="O113" s="7">
        <f t="shared" si="67"/>
        <v>0</v>
      </c>
      <c r="P113" s="134"/>
      <c r="Q113" s="7">
        <f t="shared" si="61"/>
        <v>0</v>
      </c>
      <c r="R113" s="100"/>
      <c r="S113" s="7">
        <f t="shared" si="62"/>
        <v>0</v>
      </c>
      <c r="T113" s="100"/>
      <c r="U113" s="7">
        <f t="shared" si="63"/>
        <v>0</v>
      </c>
      <c r="V113" s="8">
        <f t="shared" si="68"/>
        <v>0.18841943805340583</v>
      </c>
      <c r="W113" s="8">
        <f t="shared" si="53"/>
        <v>33.364197530864196</v>
      </c>
      <c r="X113" s="8">
        <f t="shared" si="54"/>
        <v>33.364197530864196</v>
      </c>
      <c r="Y113" s="8" t="str">
        <f t="shared" si="58"/>
        <v/>
      </c>
      <c r="Z113" s="8" t="str">
        <f t="shared" si="55"/>
        <v/>
      </c>
      <c r="AA113" s="152"/>
      <c r="AB113" s="152"/>
      <c r="AC113" s="180"/>
      <c r="AD113" s="2"/>
      <c r="AE113" s="2"/>
      <c r="AF113" s="2"/>
      <c r="AG113" s="2"/>
      <c r="AH113" s="2"/>
      <c r="AI113" s="2"/>
      <c r="AJ113" s="2"/>
      <c r="AK113" s="2"/>
      <c r="AL113" s="2"/>
      <c r="AM113" s="2"/>
      <c r="AN113" s="2"/>
      <c r="AO113" s="1"/>
      <c r="AP113" s="1"/>
      <c r="AQ113" s="1"/>
      <c r="AR113" s="1"/>
      <c r="AS113" s="1"/>
      <c r="AT113" s="1"/>
      <c r="AU113" s="1"/>
      <c r="AV113" s="1"/>
      <c r="AW113" s="1"/>
      <c r="AX113" s="1"/>
      <c r="AY113" s="1"/>
    </row>
    <row r="114" spans="1:51" ht="17.25" thickBot="1" x14ac:dyDescent="0.35">
      <c r="A114" s="147"/>
      <c r="B114" s="97">
        <v>43677</v>
      </c>
      <c r="C114" s="103">
        <v>153</v>
      </c>
      <c r="D114" s="103"/>
      <c r="E114" s="103"/>
      <c r="F114" s="150"/>
      <c r="G114" s="150"/>
      <c r="H114" s="100">
        <v>1107</v>
      </c>
      <c r="I114" s="7">
        <f t="shared" si="64"/>
        <v>5535</v>
      </c>
      <c r="J114" s="100"/>
      <c r="K114" s="7">
        <f t="shared" si="65"/>
        <v>0</v>
      </c>
      <c r="L114" s="100"/>
      <c r="M114" s="7">
        <f t="shared" si="66"/>
        <v>0</v>
      </c>
      <c r="N114" s="100"/>
      <c r="O114" s="7">
        <f t="shared" si="67"/>
        <v>0</v>
      </c>
      <c r="P114" s="100"/>
      <c r="Q114" s="7">
        <f t="shared" si="61"/>
        <v>0</v>
      </c>
      <c r="R114" s="100"/>
      <c r="S114" s="7">
        <f t="shared" si="62"/>
        <v>0</v>
      </c>
      <c r="T114" s="100"/>
      <c r="U114" s="7">
        <f t="shared" si="63"/>
        <v>0</v>
      </c>
      <c r="V114" s="8">
        <f t="shared" si="68"/>
        <v>0.19295126542564317</v>
      </c>
      <c r="W114" s="8">
        <f t="shared" si="53"/>
        <v>36.176470588235297</v>
      </c>
      <c r="X114" s="8">
        <f t="shared" si="54"/>
        <v>36.176470588235297</v>
      </c>
      <c r="Y114" s="8" t="str">
        <f t="shared" si="58"/>
        <v/>
      </c>
      <c r="Z114" s="8" t="str">
        <f t="shared" si="55"/>
        <v/>
      </c>
      <c r="AA114" s="152"/>
      <c r="AB114" s="152"/>
      <c r="AC114" s="180"/>
      <c r="AD114" s="2"/>
      <c r="AE114" s="2"/>
      <c r="AF114" s="2"/>
      <c r="AG114" s="2"/>
      <c r="AH114" s="2"/>
      <c r="AI114" s="2"/>
      <c r="AJ114" s="2"/>
      <c r="AK114" s="2"/>
      <c r="AL114" s="2"/>
      <c r="AM114" s="2"/>
      <c r="AN114" s="2"/>
      <c r="AO114" s="1"/>
      <c r="AP114" s="1"/>
      <c r="AQ114" s="1"/>
      <c r="AR114" s="1"/>
      <c r="AS114" s="1"/>
      <c r="AT114" s="1"/>
      <c r="AU114" s="1"/>
      <c r="AV114" s="1"/>
      <c r="AW114" s="1"/>
      <c r="AX114" s="1"/>
      <c r="AY114" s="1"/>
    </row>
    <row r="115" spans="1:51" ht="17.25" thickBot="1" x14ac:dyDescent="0.35">
      <c r="A115" s="147"/>
      <c r="B115" s="97">
        <v>43678</v>
      </c>
      <c r="C115" s="103">
        <f>9*14+3*4.25+4.5</f>
        <v>143.25</v>
      </c>
      <c r="D115" s="103"/>
      <c r="E115" s="103"/>
      <c r="F115" s="150"/>
      <c r="G115" s="150"/>
      <c r="H115" s="100">
        <f>150*6+71+3+26</f>
        <v>1000</v>
      </c>
      <c r="I115" s="7">
        <f t="shared" si="64"/>
        <v>5000</v>
      </c>
      <c r="J115" s="100"/>
      <c r="K115" s="7">
        <f t="shared" si="65"/>
        <v>0</v>
      </c>
      <c r="L115" s="100"/>
      <c r="M115" s="7">
        <f t="shared" si="66"/>
        <v>0</v>
      </c>
      <c r="N115" s="100"/>
      <c r="O115" s="7">
        <f t="shared" si="67"/>
        <v>0</v>
      </c>
      <c r="P115" s="100"/>
      <c r="Q115" s="7">
        <f t="shared" si="61"/>
        <v>0</v>
      </c>
      <c r="R115" s="100"/>
      <c r="S115" s="7">
        <f t="shared" si="62"/>
        <v>0</v>
      </c>
      <c r="T115" s="100"/>
      <c r="U115" s="7">
        <f t="shared" si="63"/>
        <v>0</v>
      </c>
      <c r="V115" s="8">
        <f t="shared" si="68"/>
        <v>0.17430105277835878</v>
      </c>
      <c r="W115" s="8">
        <f t="shared" si="53"/>
        <v>34.904013961605585</v>
      </c>
      <c r="X115" s="8">
        <f t="shared" si="54"/>
        <v>34.904013961605585</v>
      </c>
      <c r="Y115" s="8" t="str">
        <f t="shared" si="58"/>
        <v/>
      </c>
      <c r="Z115" s="8" t="str">
        <f t="shared" si="55"/>
        <v/>
      </c>
      <c r="AA115" s="152"/>
      <c r="AB115" s="152"/>
      <c r="AC115" s="180"/>
      <c r="AD115" s="2"/>
      <c r="AE115" s="2"/>
      <c r="AF115" s="2"/>
      <c r="AG115" s="2"/>
      <c r="AH115" s="2"/>
      <c r="AI115" s="2"/>
      <c r="AJ115" s="2"/>
      <c r="AK115" s="2"/>
      <c r="AL115" s="2"/>
      <c r="AM115" s="2"/>
      <c r="AN115" s="2"/>
      <c r="AO115" s="1"/>
      <c r="AP115" s="1"/>
      <c r="AQ115" s="1"/>
      <c r="AR115" s="1"/>
      <c r="AS115" s="1"/>
      <c r="AT115" s="1"/>
      <c r="AU115" s="1"/>
      <c r="AV115" s="1"/>
      <c r="AW115" s="1"/>
      <c r="AX115" s="1"/>
      <c r="AY115" s="1"/>
    </row>
    <row r="116" spans="1:51" ht="17.25" thickBot="1" x14ac:dyDescent="0.35">
      <c r="A116" s="147"/>
      <c r="B116" s="97">
        <v>43679</v>
      </c>
      <c r="C116" s="103">
        <f>5*19+4*5+2.25</f>
        <v>117.25</v>
      </c>
      <c r="D116" s="103"/>
      <c r="E116" s="103"/>
      <c r="F116" s="150"/>
      <c r="G116" s="150"/>
      <c r="H116" s="100">
        <f>150*5+44+79+15+4</f>
        <v>892</v>
      </c>
      <c r="I116" s="7">
        <f t="shared" si="64"/>
        <v>4460</v>
      </c>
      <c r="J116" s="100"/>
      <c r="K116" s="7">
        <f t="shared" si="65"/>
        <v>0</v>
      </c>
      <c r="L116" s="100"/>
      <c r="M116" s="7">
        <f t="shared" si="66"/>
        <v>0</v>
      </c>
      <c r="N116" s="100"/>
      <c r="O116" s="7">
        <f t="shared" si="67"/>
        <v>0</v>
      </c>
      <c r="P116" s="100"/>
      <c r="Q116" s="7">
        <f t="shared" si="61"/>
        <v>0</v>
      </c>
      <c r="R116" s="100"/>
      <c r="S116" s="7">
        <f t="shared" si="62"/>
        <v>0</v>
      </c>
      <c r="T116" s="100"/>
      <c r="U116" s="7">
        <f t="shared" si="63"/>
        <v>0</v>
      </c>
      <c r="V116" s="8">
        <f t="shared" si="68"/>
        <v>0.15547653907829603</v>
      </c>
      <c r="W116" s="8">
        <f t="shared" si="53"/>
        <v>38.038379530916842</v>
      </c>
      <c r="X116" s="8">
        <f t="shared" si="54"/>
        <v>38.038379530916842</v>
      </c>
      <c r="Y116" s="8" t="str">
        <f t="shared" si="58"/>
        <v/>
      </c>
      <c r="Z116" s="8" t="str">
        <f t="shared" si="55"/>
        <v/>
      </c>
      <c r="AA116" s="152"/>
      <c r="AB116" s="152"/>
      <c r="AC116" s="180"/>
      <c r="AD116" s="2"/>
      <c r="AE116" s="2"/>
      <c r="AF116" s="2"/>
      <c r="AG116" s="2"/>
      <c r="AH116" s="2"/>
      <c r="AI116" s="2"/>
      <c r="AJ116" s="2"/>
      <c r="AK116" s="2"/>
      <c r="AL116" s="2"/>
      <c r="AM116" s="2"/>
      <c r="AN116" s="2"/>
      <c r="AO116" s="1"/>
      <c r="AP116" s="1"/>
      <c r="AQ116" s="1"/>
      <c r="AR116" s="1"/>
      <c r="AS116" s="1"/>
      <c r="AT116" s="1"/>
      <c r="AU116" s="1"/>
      <c r="AV116" s="1"/>
      <c r="AW116" s="1"/>
      <c r="AX116" s="1"/>
      <c r="AY116" s="1"/>
    </row>
    <row r="117" spans="1:51" ht="17.25" thickBot="1" x14ac:dyDescent="0.35">
      <c r="A117" s="148"/>
      <c r="B117" s="97"/>
      <c r="C117" s="104"/>
      <c r="D117" s="104"/>
      <c r="E117" s="104"/>
      <c r="F117" s="151"/>
      <c r="G117" s="151"/>
      <c r="H117" s="101"/>
      <c r="I117" s="39">
        <f t="shared" si="64"/>
        <v>0</v>
      </c>
      <c r="J117" s="101"/>
      <c r="K117" s="39">
        <f t="shared" si="65"/>
        <v>0</v>
      </c>
      <c r="L117" s="101"/>
      <c r="M117" s="39">
        <f t="shared" si="66"/>
        <v>0</v>
      </c>
      <c r="N117" s="101"/>
      <c r="O117" s="39">
        <f t="shared" si="67"/>
        <v>0</v>
      </c>
      <c r="P117" s="101"/>
      <c r="Q117" s="39">
        <f t="shared" si="61"/>
        <v>0</v>
      </c>
      <c r="R117" s="101"/>
      <c r="S117" s="39">
        <f t="shared" si="62"/>
        <v>0</v>
      </c>
      <c r="T117" s="101"/>
      <c r="U117" s="39">
        <f t="shared" si="63"/>
        <v>0</v>
      </c>
      <c r="V117" s="36">
        <f t="shared" si="68"/>
        <v>0</v>
      </c>
      <c r="W117" s="36" t="str">
        <f>IF((E117+D117+C117)=0,"",(M117+O117+Q117+S117+U117+I117+K117)/(C117+D117+E117))</f>
        <v/>
      </c>
      <c r="X117" s="36" t="str">
        <f t="shared" si="54"/>
        <v/>
      </c>
      <c r="Y117" s="36" t="str">
        <f t="shared" si="58"/>
        <v/>
      </c>
      <c r="Z117" s="36" t="str">
        <f t="shared" si="55"/>
        <v/>
      </c>
      <c r="AA117" s="152"/>
      <c r="AB117" s="152"/>
      <c r="AC117" s="181"/>
      <c r="AD117" s="2"/>
      <c r="AE117" s="2"/>
      <c r="AF117" s="2"/>
      <c r="AG117" s="2"/>
      <c r="AH117" s="2"/>
      <c r="AI117" s="2"/>
      <c r="AJ117" s="2"/>
      <c r="AK117" s="2"/>
      <c r="AL117" s="2"/>
      <c r="AM117" s="2"/>
      <c r="AN117" s="2"/>
      <c r="AO117" s="1"/>
      <c r="AP117" s="1"/>
      <c r="AQ117" s="1"/>
      <c r="AR117" s="1"/>
      <c r="AS117" s="1"/>
      <c r="AT117" s="1"/>
      <c r="AU117" s="1"/>
      <c r="AV117" s="1"/>
      <c r="AW117" s="1"/>
      <c r="AX117" s="1"/>
      <c r="AY117" s="1"/>
    </row>
    <row r="118" spans="1:51" ht="17.25" thickBot="1" x14ac:dyDescent="0.35">
      <c r="A118" s="147">
        <v>32</v>
      </c>
      <c r="B118" s="105">
        <v>43682</v>
      </c>
      <c r="C118" s="103">
        <f>9*15</f>
        <v>135</v>
      </c>
      <c r="D118" s="102"/>
      <c r="E118" s="102"/>
      <c r="F118" s="149">
        <f t="shared" ref="F118" si="93">SUM(M118:M123,O118:O123,Q118:Q123,S118:S123,I118:I123,K118:K123)</f>
        <v>13375</v>
      </c>
      <c r="G118" s="149">
        <f t="shared" ref="G118" si="94">SUM(M118:M123,O118:O123,Q118:Q123,S118:S123,U118:U123,K118:K123,I118:I123)</f>
        <v>13375</v>
      </c>
      <c r="H118" s="102">
        <f>150*4+122+46+15+19</f>
        <v>802</v>
      </c>
      <c r="I118" s="7">
        <f t="shared" si="64"/>
        <v>4010</v>
      </c>
      <c r="J118" s="99"/>
      <c r="K118" s="7">
        <f t="shared" si="65"/>
        <v>0</v>
      </c>
      <c r="L118" s="99"/>
      <c r="M118" s="7">
        <f t="shared" si="66"/>
        <v>0</v>
      </c>
      <c r="N118" s="99"/>
      <c r="O118" s="7">
        <f t="shared" si="67"/>
        <v>0</v>
      </c>
      <c r="P118" s="99"/>
      <c r="Q118" s="7">
        <f t="shared" si="61"/>
        <v>0</v>
      </c>
      <c r="R118" s="99"/>
      <c r="S118" s="7">
        <f t="shared" si="62"/>
        <v>0</v>
      </c>
      <c r="T118" s="99"/>
      <c r="U118" s="7">
        <f t="shared" si="63"/>
        <v>0</v>
      </c>
      <c r="V118" s="8">
        <f t="shared" si="68"/>
        <v>0.13978944432824375</v>
      </c>
      <c r="W118" s="8">
        <f t="shared" ref="W118:W181" si="95">IF((E118+D118+C118)=0,"",(M118+O118+Q118+S118+U118+I118+K118)/(C118+D118+E118))</f>
        <v>29.703703703703702</v>
      </c>
      <c r="X118" s="8">
        <f t="shared" si="54"/>
        <v>29.703703703703702</v>
      </c>
      <c r="Y118" s="8" t="str">
        <f t="shared" si="58"/>
        <v/>
      </c>
      <c r="Z118" s="8" t="str">
        <f t="shared" si="55"/>
        <v/>
      </c>
      <c r="AA118" s="152">
        <f>AVERAGE(W118:W123)</f>
        <v>24.546297907399598</v>
      </c>
      <c r="AB118" s="152">
        <f t="shared" ref="AB118" si="96">SUM(V118:V123)</f>
        <v>0.46625531618210969</v>
      </c>
      <c r="AC118" s="179">
        <v>0.92693299867531198</v>
      </c>
      <c r="AD118" s="2"/>
      <c r="AE118" s="2"/>
      <c r="AF118" s="2"/>
      <c r="AG118" s="2"/>
      <c r="AH118" s="2"/>
      <c r="AI118" s="2"/>
      <c r="AJ118" s="2"/>
      <c r="AK118" s="2"/>
      <c r="AL118" s="2"/>
      <c r="AM118" s="2"/>
      <c r="AN118" s="2"/>
      <c r="AO118" s="1"/>
      <c r="AP118" s="1"/>
      <c r="AQ118" s="1"/>
      <c r="AR118" s="1"/>
      <c r="AS118" s="1"/>
      <c r="AT118" s="1"/>
      <c r="AU118" s="1"/>
      <c r="AV118" s="1"/>
      <c r="AW118" s="1"/>
      <c r="AX118" s="1"/>
      <c r="AY118" s="1"/>
    </row>
    <row r="119" spans="1:51" ht="17.25" thickBot="1" x14ac:dyDescent="0.35">
      <c r="A119" s="147"/>
      <c r="B119" s="97">
        <v>43683</v>
      </c>
      <c r="C119" s="103">
        <f>9*15+2*7.25</f>
        <v>149.5</v>
      </c>
      <c r="D119" s="103"/>
      <c r="E119" s="103"/>
      <c r="F119" s="150"/>
      <c r="G119" s="150"/>
      <c r="H119" s="100">
        <f>150*4+132+28+22+28</f>
        <v>810</v>
      </c>
      <c r="I119" s="7">
        <f t="shared" si="64"/>
        <v>4050</v>
      </c>
      <c r="J119" s="100"/>
      <c r="K119" s="7">
        <f t="shared" si="65"/>
        <v>0</v>
      </c>
      <c r="L119" s="100"/>
      <c r="M119" s="7">
        <f t="shared" si="66"/>
        <v>0</v>
      </c>
      <c r="N119" s="100"/>
      <c r="O119" s="7">
        <f t="shared" si="67"/>
        <v>0</v>
      </c>
      <c r="P119" s="100"/>
      <c r="Q119" s="7">
        <f t="shared" si="61"/>
        <v>0</v>
      </c>
      <c r="R119" s="100"/>
      <c r="S119" s="7">
        <f t="shared" si="62"/>
        <v>0</v>
      </c>
      <c r="T119" s="100"/>
      <c r="U119" s="7">
        <f t="shared" si="63"/>
        <v>0</v>
      </c>
      <c r="V119" s="8">
        <f t="shared" si="68"/>
        <v>0.1411838527504706</v>
      </c>
      <c r="W119" s="8">
        <f t="shared" si="95"/>
        <v>27.090301003344482</v>
      </c>
      <c r="X119" s="8">
        <f t="shared" si="54"/>
        <v>27.090301003344482</v>
      </c>
      <c r="Y119" s="8" t="str">
        <f t="shared" si="58"/>
        <v/>
      </c>
      <c r="Z119" s="8" t="str">
        <f t="shared" si="55"/>
        <v/>
      </c>
      <c r="AA119" s="152"/>
      <c r="AB119" s="152"/>
      <c r="AC119" s="180"/>
      <c r="AD119" s="2"/>
      <c r="AE119" s="2"/>
      <c r="AF119" s="2"/>
      <c r="AG119" s="2"/>
      <c r="AH119" s="2"/>
      <c r="AI119" s="2"/>
      <c r="AJ119" s="2"/>
      <c r="AK119" s="2"/>
      <c r="AL119" s="2"/>
      <c r="AM119" s="2"/>
      <c r="AN119" s="2"/>
      <c r="AO119" s="1"/>
      <c r="AP119" s="1"/>
      <c r="AQ119" s="1"/>
      <c r="AR119" s="1"/>
      <c r="AS119" s="1"/>
      <c r="AT119" s="1"/>
      <c r="AU119" s="1"/>
      <c r="AV119" s="1"/>
      <c r="AW119" s="1"/>
      <c r="AX119" s="1"/>
      <c r="AY119" s="1"/>
    </row>
    <row r="120" spans="1:51" ht="17.25" thickBot="1" x14ac:dyDescent="0.35">
      <c r="A120" s="147"/>
      <c r="B120" s="97">
        <v>43684</v>
      </c>
      <c r="C120" s="103">
        <f>5*15+4*16</f>
        <v>139</v>
      </c>
      <c r="D120" s="103"/>
      <c r="E120" s="103"/>
      <c r="F120" s="150"/>
      <c r="G120" s="150"/>
      <c r="H120" s="100">
        <f>150*4+18+65+39</f>
        <v>722</v>
      </c>
      <c r="I120" s="7">
        <f t="shared" si="64"/>
        <v>3610</v>
      </c>
      <c r="J120" s="100"/>
      <c r="K120" s="7">
        <f t="shared" si="65"/>
        <v>0</v>
      </c>
      <c r="L120" s="100"/>
      <c r="M120" s="7">
        <f t="shared" si="66"/>
        <v>0</v>
      </c>
      <c r="N120" s="100"/>
      <c r="O120" s="7">
        <f t="shared" si="67"/>
        <v>0</v>
      </c>
      <c r="P120" s="100"/>
      <c r="Q120" s="7">
        <f t="shared" si="61"/>
        <v>0</v>
      </c>
      <c r="R120" s="100"/>
      <c r="S120" s="7">
        <f t="shared" si="62"/>
        <v>0</v>
      </c>
      <c r="T120" s="100"/>
      <c r="U120" s="7">
        <f t="shared" si="63"/>
        <v>0</v>
      </c>
      <c r="V120" s="8">
        <f t="shared" si="68"/>
        <v>0.12584536010597505</v>
      </c>
      <c r="W120" s="8">
        <f t="shared" si="95"/>
        <v>25.971223021582734</v>
      </c>
      <c r="X120" s="8">
        <f t="shared" si="54"/>
        <v>25.971223021582734</v>
      </c>
      <c r="Y120" s="8" t="str">
        <f t="shared" si="58"/>
        <v/>
      </c>
      <c r="Z120" s="8" t="str">
        <f t="shared" si="55"/>
        <v/>
      </c>
      <c r="AA120" s="152"/>
      <c r="AB120" s="152"/>
      <c r="AC120" s="180"/>
      <c r="AD120" s="2"/>
      <c r="AE120" s="2"/>
      <c r="AF120" s="2"/>
      <c r="AG120" s="2"/>
      <c r="AH120" s="2"/>
      <c r="AI120" s="2"/>
      <c r="AJ120" s="2"/>
      <c r="AK120" s="2"/>
      <c r="AL120" s="2"/>
      <c r="AM120" s="2"/>
      <c r="AN120" s="2"/>
      <c r="AO120" s="1"/>
      <c r="AP120" s="1"/>
      <c r="AQ120" s="1"/>
      <c r="AR120" s="1"/>
      <c r="AS120" s="1"/>
      <c r="AT120" s="1"/>
      <c r="AU120" s="1"/>
      <c r="AV120" s="1"/>
      <c r="AW120" s="1"/>
      <c r="AX120" s="1"/>
      <c r="AY120" s="1"/>
    </row>
    <row r="121" spans="1:51" ht="17.25" thickBot="1" x14ac:dyDescent="0.35">
      <c r="A121" s="147"/>
      <c r="B121" s="97">
        <v>43685</v>
      </c>
      <c r="C121" s="103">
        <f>4*6+4.5*5+4.75+5*4</f>
        <v>71.25</v>
      </c>
      <c r="D121" s="103"/>
      <c r="E121" s="103"/>
      <c r="F121" s="150"/>
      <c r="G121" s="150"/>
      <c r="H121" s="100">
        <v>290</v>
      </c>
      <c r="I121" s="7">
        <f t="shared" si="64"/>
        <v>1450</v>
      </c>
      <c r="J121" s="100"/>
      <c r="K121" s="7">
        <f t="shared" si="65"/>
        <v>0</v>
      </c>
      <c r="L121" s="100"/>
      <c r="M121" s="7">
        <f t="shared" si="66"/>
        <v>0</v>
      </c>
      <c r="N121" s="100"/>
      <c r="O121" s="7">
        <f t="shared" si="67"/>
        <v>0</v>
      </c>
      <c r="P121" s="100"/>
      <c r="Q121" s="7">
        <f t="shared" si="61"/>
        <v>0</v>
      </c>
      <c r="R121" s="100"/>
      <c r="S121" s="7">
        <f t="shared" si="62"/>
        <v>0</v>
      </c>
      <c r="T121" s="100"/>
      <c r="U121" s="7">
        <f t="shared" si="63"/>
        <v>0</v>
      </c>
      <c r="V121" s="8">
        <f t="shared" si="68"/>
        <v>5.0547305305724044E-2</v>
      </c>
      <c r="W121" s="8">
        <f t="shared" si="95"/>
        <v>20.350877192982455</v>
      </c>
      <c r="X121" s="8">
        <f t="shared" si="54"/>
        <v>20.350877192982455</v>
      </c>
      <c r="Y121" s="8" t="str">
        <f t="shared" si="58"/>
        <v/>
      </c>
      <c r="Z121" s="8" t="str">
        <f t="shared" si="55"/>
        <v/>
      </c>
      <c r="AA121" s="152"/>
      <c r="AB121" s="152"/>
      <c r="AC121" s="180"/>
      <c r="AD121" s="2"/>
      <c r="AE121" s="2"/>
      <c r="AF121" s="2"/>
      <c r="AG121" s="2"/>
      <c r="AH121" s="2"/>
      <c r="AI121" s="2"/>
      <c r="AJ121" s="2"/>
      <c r="AK121" s="2"/>
      <c r="AL121" s="2"/>
      <c r="AM121" s="2"/>
      <c r="AN121" s="2"/>
      <c r="AO121" s="1"/>
      <c r="AP121" s="1"/>
      <c r="AQ121" s="1"/>
      <c r="AR121" s="1"/>
      <c r="AS121" s="1"/>
      <c r="AT121" s="1"/>
      <c r="AU121" s="1"/>
      <c r="AV121" s="1"/>
      <c r="AW121" s="1"/>
      <c r="AX121" s="1"/>
      <c r="AY121" s="1"/>
    </row>
    <row r="122" spans="1:51" ht="17.25" thickBot="1" x14ac:dyDescent="0.35">
      <c r="A122" s="147"/>
      <c r="B122" s="97">
        <v>43686</v>
      </c>
      <c r="C122" s="103">
        <v>13</v>
      </c>
      <c r="D122" s="103"/>
      <c r="E122" s="103"/>
      <c r="F122" s="150"/>
      <c r="G122" s="150"/>
      <c r="H122" s="100">
        <f>12+27+5+7</f>
        <v>51</v>
      </c>
      <c r="I122" s="7">
        <f t="shared" si="64"/>
        <v>255</v>
      </c>
      <c r="J122" s="100"/>
      <c r="K122" s="7">
        <f t="shared" si="65"/>
        <v>0</v>
      </c>
      <c r="L122" s="100"/>
      <c r="M122" s="7">
        <f t="shared" si="66"/>
        <v>0</v>
      </c>
      <c r="N122" s="100"/>
      <c r="O122" s="7">
        <f t="shared" si="67"/>
        <v>0</v>
      </c>
      <c r="P122" s="100"/>
      <c r="Q122" s="7">
        <f t="shared" si="61"/>
        <v>0</v>
      </c>
      <c r="R122" s="100"/>
      <c r="S122" s="7">
        <f t="shared" si="62"/>
        <v>0</v>
      </c>
      <c r="T122" s="100"/>
      <c r="U122" s="7">
        <f t="shared" si="63"/>
        <v>0</v>
      </c>
      <c r="V122" s="8">
        <f t="shared" si="68"/>
        <v>8.8893536916962983E-3</v>
      </c>
      <c r="W122" s="8">
        <f t="shared" si="95"/>
        <v>19.615384615384617</v>
      </c>
      <c r="X122" s="8">
        <f t="shared" si="54"/>
        <v>19.615384615384617</v>
      </c>
      <c r="Y122" s="8" t="str">
        <f t="shared" si="58"/>
        <v/>
      </c>
      <c r="Z122" s="8" t="str">
        <f t="shared" si="55"/>
        <v/>
      </c>
      <c r="AA122" s="152"/>
      <c r="AB122" s="152"/>
      <c r="AC122" s="180"/>
      <c r="AD122" s="2"/>
      <c r="AE122" s="2"/>
      <c r="AF122" s="2"/>
      <c r="AG122" s="2"/>
      <c r="AH122" s="2"/>
      <c r="AI122" s="2"/>
      <c r="AJ122" s="2"/>
      <c r="AK122" s="2"/>
      <c r="AL122" s="2"/>
      <c r="AM122" s="2"/>
      <c r="AN122" s="2"/>
      <c r="AO122" s="1"/>
      <c r="AP122" s="1"/>
      <c r="AQ122" s="1"/>
      <c r="AR122" s="1"/>
      <c r="AS122" s="1"/>
      <c r="AT122" s="1"/>
      <c r="AU122" s="1"/>
      <c r="AV122" s="1"/>
      <c r="AW122" s="1"/>
      <c r="AX122" s="1"/>
      <c r="AY122" s="1"/>
    </row>
    <row r="123" spans="1:51" ht="17.25" thickBot="1" x14ac:dyDescent="0.35">
      <c r="A123" s="147"/>
      <c r="B123" s="97"/>
      <c r="C123" s="104"/>
      <c r="D123" s="104"/>
      <c r="E123" s="104"/>
      <c r="F123" s="151"/>
      <c r="G123" s="151"/>
      <c r="H123" s="101"/>
      <c r="I123" s="7">
        <f t="shared" si="64"/>
        <v>0</v>
      </c>
      <c r="J123" s="101"/>
      <c r="K123" s="7">
        <f t="shared" si="65"/>
        <v>0</v>
      </c>
      <c r="L123" s="101"/>
      <c r="M123" s="7">
        <f t="shared" si="66"/>
        <v>0</v>
      </c>
      <c r="N123" s="101"/>
      <c r="O123" s="7">
        <f t="shared" si="67"/>
        <v>0</v>
      </c>
      <c r="P123" s="101"/>
      <c r="Q123" s="7">
        <f t="shared" si="61"/>
        <v>0</v>
      </c>
      <c r="R123" s="101"/>
      <c r="S123" s="7">
        <f t="shared" si="62"/>
        <v>0</v>
      </c>
      <c r="T123" s="101"/>
      <c r="U123" s="7">
        <f t="shared" si="63"/>
        <v>0</v>
      </c>
      <c r="V123" s="8">
        <f t="shared" si="68"/>
        <v>0</v>
      </c>
      <c r="W123" s="8" t="str">
        <f t="shared" si="95"/>
        <v/>
      </c>
      <c r="X123" s="8" t="str">
        <f t="shared" si="54"/>
        <v/>
      </c>
      <c r="Y123" s="8" t="str">
        <f t="shared" si="58"/>
        <v/>
      </c>
      <c r="Z123" s="8" t="str">
        <f t="shared" si="55"/>
        <v/>
      </c>
      <c r="AA123" s="152"/>
      <c r="AB123" s="152"/>
      <c r="AC123" s="181"/>
      <c r="AD123" s="2"/>
      <c r="AE123" s="2"/>
      <c r="AF123" s="2"/>
      <c r="AG123" s="2"/>
      <c r="AH123" s="2"/>
      <c r="AI123" s="2"/>
      <c r="AJ123" s="2"/>
      <c r="AK123" s="2"/>
      <c r="AL123" s="2"/>
      <c r="AM123" s="2"/>
      <c r="AN123" s="2"/>
      <c r="AO123" s="1"/>
      <c r="AP123" s="1"/>
      <c r="AQ123" s="1"/>
      <c r="AR123" s="1"/>
      <c r="AS123" s="1"/>
      <c r="AT123" s="1"/>
      <c r="AU123" s="1"/>
      <c r="AV123" s="1"/>
      <c r="AW123" s="1"/>
      <c r="AX123" s="1"/>
      <c r="AY123" s="1"/>
    </row>
    <row r="124" spans="1:51" ht="17.25" thickBot="1" x14ac:dyDescent="0.35">
      <c r="A124" s="146">
        <v>33</v>
      </c>
      <c r="B124" s="105">
        <v>43689</v>
      </c>
      <c r="C124" s="102">
        <f>14*9+4+4+5</f>
        <v>139</v>
      </c>
      <c r="D124" s="102"/>
      <c r="E124" s="102"/>
      <c r="F124" s="149">
        <f t="shared" ref="F124" si="97">SUM(M124:M129,O124:O129,Q124:Q129,S124:S129,I124:I129,K124:K129)</f>
        <v>13000</v>
      </c>
      <c r="G124" s="149">
        <f t="shared" ref="G124" si="98">SUM(M124:M129,O124:O129,Q124:Q129,S124:S129,U124:U129,K124:K129,I124:I129)</f>
        <v>13000</v>
      </c>
      <c r="H124" s="99">
        <v>609</v>
      </c>
      <c r="I124" s="40">
        <f t="shared" si="64"/>
        <v>3045</v>
      </c>
      <c r="J124" s="99"/>
      <c r="K124" s="40">
        <f t="shared" si="65"/>
        <v>0</v>
      </c>
      <c r="L124" s="99"/>
      <c r="M124" s="40">
        <f t="shared" si="66"/>
        <v>0</v>
      </c>
      <c r="N124" s="99"/>
      <c r="O124" s="40">
        <f t="shared" si="67"/>
        <v>0</v>
      </c>
      <c r="P124" s="99"/>
      <c r="Q124" s="40">
        <f t="shared" si="61"/>
        <v>0</v>
      </c>
      <c r="R124" s="99"/>
      <c r="S124" s="40">
        <f t="shared" si="62"/>
        <v>0</v>
      </c>
      <c r="T124" s="99"/>
      <c r="U124" s="40">
        <f t="shared" si="63"/>
        <v>0</v>
      </c>
      <c r="V124" s="34">
        <f t="shared" si="68"/>
        <v>0.1061493411420205</v>
      </c>
      <c r="W124" s="75">
        <f t="shared" si="95"/>
        <v>21.906474820143885</v>
      </c>
      <c r="X124" s="122">
        <f t="shared" si="54"/>
        <v>21.906474820143885</v>
      </c>
      <c r="Y124" s="122" t="str">
        <f t="shared" si="58"/>
        <v/>
      </c>
      <c r="Z124" s="122" t="str">
        <f t="shared" si="55"/>
        <v/>
      </c>
      <c r="AA124" s="152">
        <f t="shared" ref="AA124" si="99">AVERAGE(W124:W129)</f>
        <v>22.054924689177497</v>
      </c>
      <c r="AB124" s="152">
        <f t="shared" ref="AB124" si="100">SUM(V124:V129)</f>
        <v>0.45318273722373281</v>
      </c>
      <c r="AC124" s="179">
        <v>0.80509656278323927</v>
      </c>
      <c r="AD124" s="2"/>
      <c r="AE124" s="2"/>
      <c r="AF124" s="2"/>
      <c r="AG124" s="2"/>
      <c r="AH124" s="2"/>
      <c r="AI124" s="2"/>
      <c r="AJ124" s="2"/>
      <c r="AK124" s="2"/>
      <c r="AL124" s="2"/>
      <c r="AM124" s="2"/>
      <c r="AN124" s="2"/>
      <c r="AO124" s="1"/>
      <c r="AP124" s="1"/>
      <c r="AQ124" s="1"/>
      <c r="AR124" s="1"/>
      <c r="AS124" s="1"/>
      <c r="AT124" s="1"/>
      <c r="AU124" s="1"/>
      <c r="AV124" s="1"/>
      <c r="AW124" s="1"/>
      <c r="AX124" s="1"/>
      <c r="AY124" s="1"/>
    </row>
    <row r="125" spans="1:51" ht="17.25" thickBot="1" x14ac:dyDescent="0.35">
      <c r="A125" s="147"/>
      <c r="B125" s="97">
        <v>43690</v>
      </c>
      <c r="C125" s="103">
        <v>179.25</v>
      </c>
      <c r="D125" s="103"/>
      <c r="E125" s="103"/>
      <c r="F125" s="150"/>
      <c r="G125" s="150"/>
      <c r="H125" s="100">
        <v>772</v>
      </c>
      <c r="I125" s="7">
        <f t="shared" si="64"/>
        <v>3860</v>
      </c>
      <c r="J125" s="100"/>
      <c r="K125" s="7">
        <f t="shared" si="65"/>
        <v>0</v>
      </c>
      <c r="L125" s="100"/>
      <c r="M125" s="7">
        <f t="shared" si="66"/>
        <v>0</v>
      </c>
      <c r="N125" s="100"/>
      <c r="O125" s="7">
        <f t="shared" si="67"/>
        <v>0</v>
      </c>
      <c r="P125" s="100"/>
      <c r="Q125" s="7">
        <f t="shared" si="61"/>
        <v>0</v>
      </c>
      <c r="R125" s="100"/>
      <c r="S125" s="7">
        <f t="shared" si="62"/>
        <v>0</v>
      </c>
      <c r="T125" s="100"/>
      <c r="U125" s="7">
        <f t="shared" si="63"/>
        <v>0</v>
      </c>
      <c r="V125" s="8">
        <f t="shared" si="68"/>
        <v>0.13456041274489297</v>
      </c>
      <c r="W125" s="4">
        <f t="shared" si="95"/>
        <v>21.534170153417016</v>
      </c>
      <c r="X125" s="123">
        <f t="shared" si="54"/>
        <v>21.534170153417016</v>
      </c>
      <c r="Y125" s="123" t="str">
        <f t="shared" si="58"/>
        <v/>
      </c>
      <c r="Z125" s="123" t="str">
        <f t="shared" si="55"/>
        <v/>
      </c>
      <c r="AA125" s="152"/>
      <c r="AB125" s="152"/>
      <c r="AC125" s="180"/>
      <c r="AD125" s="2"/>
      <c r="AE125" s="2"/>
      <c r="AF125" s="2"/>
      <c r="AG125" s="2"/>
      <c r="AH125" s="2"/>
      <c r="AI125" s="2"/>
      <c r="AJ125" s="2"/>
      <c r="AK125" s="2"/>
      <c r="AL125" s="2"/>
      <c r="AM125" s="2"/>
      <c r="AN125" s="2"/>
      <c r="AO125" s="1"/>
      <c r="AP125" s="1"/>
      <c r="AQ125" s="1"/>
      <c r="AR125" s="1"/>
      <c r="AS125" s="1"/>
      <c r="AT125" s="1"/>
      <c r="AU125" s="1"/>
      <c r="AV125" s="1"/>
      <c r="AW125" s="1"/>
      <c r="AX125" s="1"/>
      <c r="AY125" s="1"/>
    </row>
    <row r="126" spans="1:51" ht="17.25" thickBot="1" x14ac:dyDescent="0.35">
      <c r="A126" s="147"/>
      <c r="B126" s="97">
        <v>43691</v>
      </c>
      <c r="C126" s="103">
        <f>9*17+5</f>
        <v>158</v>
      </c>
      <c r="D126" s="103"/>
      <c r="E126" s="103"/>
      <c r="F126" s="150"/>
      <c r="G126" s="150"/>
      <c r="H126" s="100">
        <f>57+78+150+72+15+150+120+10+111</f>
        <v>763</v>
      </c>
      <c r="I126" s="7">
        <f t="shared" si="64"/>
        <v>3815</v>
      </c>
      <c r="J126" s="100"/>
      <c r="K126" s="7">
        <f t="shared" si="65"/>
        <v>0</v>
      </c>
      <c r="L126" s="100"/>
      <c r="M126" s="7">
        <f t="shared" si="66"/>
        <v>0</v>
      </c>
      <c r="N126" s="100"/>
      <c r="O126" s="7">
        <f t="shared" si="67"/>
        <v>0</v>
      </c>
      <c r="P126" s="100"/>
      <c r="Q126" s="7">
        <f t="shared" si="61"/>
        <v>0</v>
      </c>
      <c r="R126" s="100"/>
      <c r="S126" s="7">
        <f t="shared" si="62"/>
        <v>0</v>
      </c>
      <c r="T126" s="100"/>
      <c r="U126" s="7">
        <f t="shared" si="63"/>
        <v>0</v>
      </c>
      <c r="V126" s="8">
        <f t="shared" si="68"/>
        <v>0.13299170326988774</v>
      </c>
      <c r="W126" s="4">
        <f t="shared" si="95"/>
        <v>24.145569620253166</v>
      </c>
      <c r="X126" s="123">
        <f t="shared" si="54"/>
        <v>24.145569620253166</v>
      </c>
      <c r="Y126" s="123" t="str">
        <f t="shared" si="58"/>
        <v/>
      </c>
      <c r="Z126" s="123" t="str">
        <f t="shared" si="55"/>
        <v/>
      </c>
      <c r="AA126" s="152"/>
      <c r="AB126" s="152"/>
      <c r="AC126" s="180"/>
      <c r="AD126" s="2"/>
      <c r="AE126" s="2"/>
      <c r="AF126" s="2"/>
      <c r="AG126" s="2"/>
      <c r="AH126" s="2"/>
      <c r="AI126" s="2"/>
      <c r="AJ126" s="2"/>
      <c r="AK126" s="2"/>
      <c r="AL126" s="2"/>
      <c r="AM126" s="2"/>
      <c r="AN126" s="2"/>
      <c r="AO126" s="1"/>
      <c r="AP126" s="1"/>
      <c r="AQ126" s="1"/>
      <c r="AR126" s="1"/>
      <c r="AS126" s="1"/>
      <c r="AT126" s="1"/>
      <c r="AU126" s="1"/>
      <c r="AV126" s="1"/>
      <c r="AW126" s="1"/>
      <c r="AX126" s="1"/>
      <c r="AY126" s="1"/>
    </row>
    <row r="127" spans="1:51" ht="17.25" thickBot="1" x14ac:dyDescent="0.35">
      <c r="A127" s="147"/>
      <c r="B127" s="97"/>
      <c r="C127" s="103"/>
      <c r="D127" s="103"/>
      <c r="E127" s="103"/>
      <c r="F127" s="150"/>
      <c r="G127" s="150"/>
      <c r="H127" s="100"/>
      <c r="I127" s="7">
        <f t="shared" si="64"/>
        <v>0</v>
      </c>
      <c r="J127" s="100"/>
      <c r="K127" s="7">
        <f t="shared" si="65"/>
        <v>0</v>
      </c>
      <c r="L127" s="100"/>
      <c r="M127" s="7">
        <f t="shared" si="66"/>
        <v>0</v>
      </c>
      <c r="N127" s="100"/>
      <c r="O127" s="7">
        <f t="shared" si="67"/>
        <v>0</v>
      </c>
      <c r="P127" s="100"/>
      <c r="Q127" s="7">
        <f t="shared" si="61"/>
        <v>0</v>
      </c>
      <c r="R127" s="100"/>
      <c r="S127" s="7">
        <f t="shared" si="62"/>
        <v>0</v>
      </c>
      <c r="T127" s="100"/>
      <c r="U127" s="7">
        <f t="shared" si="63"/>
        <v>0</v>
      </c>
      <c r="V127" s="8">
        <f t="shared" si="68"/>
        <v>0</v>
      </c>
      <c r="W127" s="4" t="str">
        <f t="shared" si="95"/>
        <v/>
      </c>
      <c r="X127" s="123" t="str">
        <f t="shared" si="54"/>
        <v/>
      </c>
      <c r="Y127" s="123" t="str">
        <f t="shared" si="58"/>
        <v/>
      </c>
      <c r="Z127" s="123" t="str">
        <f t="shared" si="55"/>
        <v/>
      </c>
      <c r="AA127" s="152"/>
      <c r="AB127" s="152"/>
      <c r="AC127" s="180"/>
      <c r="AD127" s="2"/>
      <c r="AE127" s="2"/>
      <c r="AF127" s="2"/>
      <c r="AG127" s="2"/>
      <c r="AH127" s="2"/>
      <c r="AI127" s="2"/>
      <c r="AJ127" s="2"/>
      <c r="AK127" s="2"/>
      <c r="AL127" s="2"/>
      <c r="AM127" s="2"/>
      <c r="AN127" s="2"/>
      <c r="AO127" s="1"/>
      <c r="AP127" s="1"/>
      <c r="AQ127" s="1"/>
      <c r="AR127" s="1"/>
      <c r="AS127" s="1"/>
      <c r="AT127" s="1"/>
      <c r="AU127" s="1"/>
      <c r="AV127" s="1"/>
      <c r="AW127" s="1"/>
      <c r="AX127" s="1"/>
      <c r="AY127" s="1"/>
    </row>
    <row r="128" spans="1:51" ht="17.25" thickBot="1" x14ac:dyDescent="0.35">
      <c r="A128" s="147"/>
      <c r="B128" s="97">
        <v>43693</v>
      </c>
      <c r="C128" s="103">
        <v>110.5</v>
      </c>
      <c r="D128" s="103"/>
      <c r="E128" s="103"/>
      <c r="F128" s="150"/>
      <c r="G128" s="150"/>
      <c r="H128" s="100">
        <f>150+54+5+126+24+97</f>
        <v>456</v>
      </c>
      <c r="I128" s="7">
        <f t="shared" si="64"/>
        <v>2280</v>
      </c>
      <c r="J128" s="100"/>
      <c r="K128" s="7">
        <f t="shared" si="65"/>
        <v>0</v>
      </c>
      <c r="L128" s="100"/>
      <c r="M128" s="7">
        <f t="shared" si="66"/>
        <v>0</v>
      </c>
      <c r="N128" s="100"/>
      <c r="O128" s="7">
        <f t="shared" si="67"/>
        <v>0</v>
      </c>
      <c r="P128" s="100"/>
      <c r="Q128" s="7">
        <f t="shared" si="61"/>
        <v>0</v>
      </c>
      <c r="R128" s="100"/>
      <c r="S128" s="7">
        <f t="shared" si="62"/>
        <v>0</v>
      </c>
      <c r="T128" s="100"/>
      <c r="U128" s="7">
        <f t="shared" si="63"/>
        <v>0</v>
      </c>
      <c r="V128" s="8">
        <f t="shared" si="68"/>
        <v>7.9481280066931601E-2</v>
      </c>
      <c r="W128" s="4">
        <f t="shared" si="95"/>
        <v>20.633484162895929</v>
      </c>
      <c r="X128" s="123">
        <f t="shared" si="54"/>
        <v>20.633484162895929</v>
      </c>
      <c r="Y128" s="123" t="str">
        <f t="shared" si="58"/>
        <v/>
      </c>
      <c r="Z128" s="123" t="str">
        <f t="shared" si="55"/>
        <v/>
      </c>
      <c r="AA128" s="152"/>
      <c r="AB128" s="152"/>
      <c r="AC128" s="180"/>
      <c r="AD128" s="2"/>
      <c r="AE128" s="2"/>
      <c r="AF128" s="2"/>
      <c r="AG128" s="2"/>
      <c r="AH128" s="2"/>
      <c r="AI128" s="2"/>
      <c r="AJ128" s="2"/>
      <c r="AK128" s="2"/>
      <c r="AL128" s="2"/>
      <c r="AM128" s="2"/>
      <c r="AN128" s="2"/>
      <c r="AO128" s="1"/>
      <c r="AP128" s="1"/>
      <c r="AQ128" s="1"/>
      <c r="AR128" s="1"/>
      <c r="AS128" s="1"/>
      <c r="AT128" s="1"/>
      <c r="AU128" s="1"/>
      <c r="AV128" s="1"/>
      <c r="AW128" s="1"/>
      <c r="AX128" s="1"/>
      <c r="AY128" s="1"/>
    </row>
    <row r="129" spans="1:51" ht="17.25" thickBot="1" x14ac:dyDescent="0.35">
      <c r="A129" s="148"/>
      <c r="B129" s="98"/>
      <c r="C129" s="104"/>
      <c r="D129" s="104"/>
      <c r="E129" s="104"/>
      <c r="F129" s="151"/>
      <c r="G129" s="151"/>
      <c r="H129" s="101"/>
      <c r="I129" s="39">
        <f t="shared" si="64"/>
        <v>0</v>
      </c>
      <c r="J129" s="101"/>
      <c r="K129" s="39">
        <f t="shared" si="65"/>
        <v>0</v>
      </c>
      <c r="L129" s="101"/>
      <c r="M129" s="39">
        <f t="shared" si="66"/>
        <v>0</v>
      </c>
      <c r="N129" s="101"/>
      <c r="O129" s="39">
        <f t="shared" si="67"/>
        <v>0</v>
      </c>
      <c r="P129" s="101"/>
      <c r="Q129" s="39">
        <f t="shared" si="61"/>
        <v>0</v>
      </c>
      <c r="R129" s="101"/>
      <c r="S129" s="39">
        <f t="shared" si="62"/>
        <v>0</v>
      </c>
      <c r="T129" s="101"/>
      <c r="U129" s="39">
        <f t="shared" si="63"/>
        <v>0</v>
      </c>
      <c r="V129" s="36">
        <f t="shared" si="68"/>
        <v>0</v>
      </c>
      <c r="W129" s="74" t="str">
        <f t="shared" si="95"/>
        <v/>
      </c>
      <c r="X129" s="124" t="str">
        <f t="shared" si="54"/>
        <v/>
      </c>
      <c r="Y129" s="124" t="str">
        <f t="shared" si="58"/>
        <v/>
      </c>
      <c r="Z129" s="124" t="str">
        <f t="shared" si="55"/>
        <v/>
      </c>
      <c r="AA129" s="152"/>
      <c r="AB129" s="152"/>
      <c r="AC129" s="181"/>
      <c r="AD129" s="2"/>
      <c r="AE129" s="2"/>
      <c r="AF129" s="2"/>
      <c r="AG129" s="2"/>
      <c r="AH129" s="2"/>
      <c r="AI129" s="2"/>
      <c r="AJ129" s="2"/>
      <c r="AK129" s="2"/>
      <c r="AL129" s="2"/>
      <c r="AM129" s="2"/>
      <c r="AN129" s="2"/>
      <c r="AO129" s="1"/>
      <c r="AP129" s="1"/>
      <c r="AQ129" s="1"/>
      <c r="AR129" s="1"/>
      <c r="AS129" s="1"/>
      <c r="AT129" s="1"/>
      <c r="AU129" s="1"/>
      <c r="AV129" s="1"/>
      <c r="AW129" s="1"/>
      <c r="AX129" s="1"/>
      <c r="AY129" s="1"/>
    </row>
    <row r="130" spans="1:51" ht="17.25" thickBot="1" x14ac:dyDescent="0.35">
      <c r="A130" s="147">
        <v>34</v>
      </c>
      <c r="B130" s="105">
        <v>43696</v>
      </c>
      <c r="C130" s="102">
        <v>142.25</v>
      </c>
      <c r="D130" s="102"/>
      <c r="E130" s="102"/>
      <c r="F130" s="149">
        <f t="shared" ref="F130" si="101">SUM(M130:M135,O130:O135,Q130:Q135,S130:S135,I130:I135,K130:K135)</f>
        <v>19580</v>
      </c>
      <c r="G130" s="149">
        <f t="shared" ref="G130" si="102">SUM(M130:M135,O130:O135,Q130:Q135,S130:S135,U130:U135,K130:K135,I130:I135)</f>
        <v>19580</v>
      </c>
      <c r="H130" s="99">
        <v>699</v>
      </c>
      <c r="I130" s="7">
        <f t="shared" si="64"/>
        <v>3495</v>
      </c>
      <c r="J130" s="99"/>
      <c r="K130" s="7">
        <f t="shared" si="65"/>
        <v>0</v>
      </c>
      <c r="L130" s="99"/>
      <c r="M130" s="7">
        <f t="shared" si="66"/>
        <v>0</v>
      </c>
      <c r="N130" s="99"/>
      <c r="O130" s="7">
        <f t="shared" si="67"/>
        <v>0</v>
      </c>
      <c r="P130" s="99"/>
      <c r="Q130" s="7">
        <f t="shared" si="61"/>
        <v>0</v>
      </c>
      <c r="R130" s="99"/>
      <c r="S130" s="7">
        <f t="shared" si="62"/>
        <v>0</v>
      </c>
      <c r="T130" s="99"/>
      <c r="U130" s="7">
        <f t="shared" si="63"/>
        <v>0</v>
      </c>
      <c r="V130" s="8">
        <f t="shared" si="68"/>
        <v>0.12183643589207278</v>
      </c>
      <c r="W130" s="75">
        <f t="shared" si="95"/>
        <v>24.569420035149385</v>
      </c>
      <c r="X130" s="122">
        <f t="shared" si="54"/>
        <v>24.569420035149385</v>
      </c>
      <c r="Y130" s="122" t="str">
        <f t="shared" si="58"/>
        <v/>
      </c>
      <c r="Z130" s="122" t="str">
        <f t="shared" si="55"/>
        <v/>
      </c>
      <c r="AA130" s="152">
        <f>AVERAGE(W130:W135)</f>
        <v>24.147855043695163</v>
      </c>
      <c r="AB130" s="152">
        <f t="shared" ref="AB130" si="103">SUM(V130:V135)</f>
        <v>0.68256292268005303</v>
      </c>
      <c r="AC130" s="179">
        <v>0.70034163006344552</v>
      </c>
      <c r="AD130" s="2"/>
      <c r="AE130" s="2"/>
      <c r="AF130" s="2"/>
      <c r="AG130" s="2"/>
      <c r="AH130" s="2"/>
      <c r="AI130" s="2"/>
      <c r="AJ130" s="2"/>
      <c r="AK130" s="2"/>
      <c r="AL130" s="2"/>
      <c r="AM130" s="2"/>
      <c r="AN130" s="2"/>
      <c r="AO130" s="1"/>
      <c r="AP130" s="1"/>
      <c r="AQ130" s="1"/>
      <c r="AR130" s="1"/>
      <c r="AS130" s="1"/>
      <c r="AT130" s="1"/>
      <c r="AU130" s="1"/>
      <c r="AV130" s="1"/>
      <c r="AW130" s="1"/>
      <c r="AX130" s="1"/>
      <c r="AY130" s="1"/>
    </row>
    <row r="131" spans="1:51" ht="17.25" thickBot="1" x14ac:dyDescent="0.35">
      <c r="A131" s="147"/>
      <c r="B131" s="97">
        <v>43697</v>
      </c>
      <c r="C131" s="103">
        <v>117</v>
      </c>
      <c r="D131" s="103"/>
      <c r="E131" s="103"/>
      <c r="F131" s="150"/>
      <c r="G131" s="150"/>
      <c r="H131" s="100">
        <v>563</v>
      </c>
      <c r="I131" s="7">
        <f t="shared" si="64"/>
        <v>2815</v>
      </c>
      <c r="J131" s="100"/>
      <c r="K131" s="7">
        <f t="shared" si="65"/>
        <v>0</v>
      </c>
      <c r="L131" s="100"/>
      <c r="M131" s="7">
        <f t="shared" si="66"/>
        <v>0</v>
      </c>
      <c r="N131" s="100"/>
      <c r="O131" s="7">
        <f t="shared" si="67"/>
        <v>0</v>
      </c>
      <c r="P131" s="100"/>
      <c r="Q131" s="7">
        <f t="shared" si="61"/>
        <v>0</v>
      </c>
      <c r="R131" s="100"/>
      <c r="S131" s="7">
        <f t="shared" si="62"/>
        <v>0</v>
      </c>
      <c r="T131" s="100"/>
      <c r="U131" s="7">
        <f t="shared" si="63"/>
        <v>0</v>
      </c>
      <c r="V131" s="8">
        <f t="shared" si="68"/>
        <v>9.8131492714215993E-2</v>
      </c>
      <c r="W131" s="4">
        <f t="shared" si="95"/>
        <v>24.05982905982906</v>
      </c>
      <c r="X131" s="123">
        <f t="shared" si="54"/>
        <v>24.05982905982906</v>
      </c>
      <c r="Y131" s="123" t="str">
        <f t="shared" si="58"/>
        <v/>
      </c>
      <c r="Z131" s="123" t="str">
        <f t="shared" si="55"/>
        <v/>
      </c>
      <c r="AA131" s="152"/>
      <c r="AB131" s="152"/>
      <c r="AC131" s="180"/>
      <c r="AD131" s="2"/>
      <c r="AE131" s="2"/>
      <c r="AF131" s="2"/>
      <c r="AG131" s="2"/>
      <c r="AH131" s="2"/>
      <c r="AI131" s="2"/>
      <c r="AJ131" s="2"/>
      <c r="AK131" s="2"/>
      <c r="AL131" s="2"/>
      <c r="AM131" s="2"/>
      <c r="AN131" s="2"/>
      <c r="AO131" s="1"/>
      <c r="AP131" s="1"/>
      <c r="AQ131" s="1"/>
      <c r="AR131" s="1"/>
      <c r="AS131" s="1"/>
      <c r="AT131" s="1"/>
      <c r="AU131" s="1"/>
      <c r="AV131" s="1"/>
      <c r="AW131" s="1"/>
      <c r="AX131" s="1"/>
      <c r="AY131" s="1"/>
    </row>
    <row r="132" spans="1:51" ht="17.25" thickBot="1" x14ac:dyDescent="0.35">
      <c r="A132" s="147"/>
      <c r="B132" s="97">
        <v>43698</v>
      </c>
      <c r="C132" s="103">
        <v>133</v>
      </c>
      <c r="D132" s="103"/>
      <c r="E132" s="103"/>
      <c r="F132" s="150"/>
      <c r="G132" s="150"/>
      <c r="H132" s="100">
        <v>648</v>
      </c>
      <c r="I132" s="7">
        <f t="shared" si="64"/>
        <v>3240</v>
      </c>
      <c r="J132" s="100"/>
      <c r="K132" s="7">
        <f t="shared" si="65"/>
        <v>0</v>
      </c>
      <c r="L132" s="100"/>
      <c r="M132" s="7">
        <f t="shared" si="66"/>
        <v>0</v>
      </c>
      <c r="N132" s="100"/>
      <c r="O132" s="7">
        <f t="shared" si="67"/>
        <v>0</v>
      </c>
      <c r="P132" s="100"/>
      <c r="Q132" s="7">
        <f t="shared" si="61"/>
        <v>0</v>
      </c>
      <c r="R132" s="100"/>
      <c r="S132" s="7">
        <f t="shared" si="62"/>
        <v>0</v>
      </c>
      <c r="T132" s="100"/>
      <c r="U132" s="7">
        <f t="shared" si="63"/>
        <v>0</v>
      </c>
      <c r="V132" s="8">
        <f t="shared" si="68"/>
        <v>0.11294708220037648</v>
      </c>
      <c r="W132" s="4">
        <f t="shared" si="95"/>
        <v>24.360902255639097</v>
      </c>
      <c r="X132" s="123">
        <f t="shared" si="54"/>
        <v>24.360902255639097</v>
      </c>
      <c r="Y132" s="123" t="str">
        <f t="shared" si="58"/>
        <v/>
      </c>
      <c r="Z132" s="123" t="str">
        <f t="shared" si="55"/>
        <v/>
      </c>
      <c r="AA132" s="152"/>
      <c r="AB132" s="152"/>
      <c r="AC132" s="180"/>
      <c r="AD132" s="2"/>
      <c r="AE132" s="2"/>
      <c r="AF132" s="2"/>
      <c r="AG132" s="2"/>
      <c r="AH132" s="2"/>
      <c r="AI132" s="2"/>
      <c r="AJ132" s="2"/>
      <c r="AK132" s="2"/>
      <c r="AL132" s="2"/>
      <c r="AM132" s="2"/>
      <c r="AN132" s="2"/>
      <c r="AO132" s="1"/>
      <c r="AP132" s="1"/>
      <c r="AQ132" s="1"/>
      <c r="AR132" s="1"/>
      <c r="AS132" s="1"/>
      <c r="AT132" s="1"/>
      <c r="AU132" s="1"/>
      <c r="AV132" s="1"/>
      <c r="AW132" s="1"/>
      <c r="AX132" s="1"/>
      <c r="AY132" s="1"/>
    </row>
    <row r="133" spans="1:51" ht="17.25" thickBot="1" x14ac:dyDescent="0.35">
      <c r="A133" s="147"/>
      <c r="B133" s="97">
        <v>43699</v>
      </c>
      <c r="C133" s="103">
        <v>183.25</v>
      </c>
      <c r="D133" s="103"/>
      <c r="E133" s="103"/>
      <c r="F133" s="150"/>
      <c r="G133" s="150"/>
      <c r="H133" s="100">
        <v>825</v>
      </c>
      <c r="I133" s="7">
        <f t="shared" si="64"/>
        <v>4125</v>
      </c>
      <c r="J133" s="100"/>
      <c r="K133" s="7">
        <f t="shared" si="65"/>
        <v>0</v>
      </c>
      <c r="L133" s="100"/>
      <c r="M133" s="7">
        <f t="shared" si="66"/>
        <v>0</v>
      </c>
      <c r="N133" s="100"/>
      <c r="O133" s="7">
        <f t="shared" si="67"/>
        <v>0</v>
      </c>
      <c r="P133" s="100"/>
      <c r="Q133" s="7">
        <f t="shared" si="61"/>
        <v>0</v>
      </c>
      <c r="R133" s="100"/>
      <c r="S133" s="7">
        <f t="shared" si="62"/>
        <v>0</v>
      </c>
      <c r="T133" s="100"/>
      <c r="U133" s="7">
        <f t="shared" si="63"/>
        <v>0</v>
      </c>
      <c r="V133" s="8">
        <f t="shared" si="68"/>
        <v>0.143798368542146</v>
      </c>
      <c r="W133" s="4">
        <f t="shared" si="95"/>
        <v>22.510231923601637</v>
      </c>
      <c r="X133" s="123">
        <f t="shared" ref="X133:X196" si="104">IF(C133=0,"",(S133+U133+I133)/C133)</f>
        <v>22.510231923601637</v>
      </c>
      <c r="Y133" s="123" t="str">
        <f t="shared" si="58"/>
        <v/>
      </c>
      <c r="Z133" s="123" t="str">
        <f t="shared" ref="Z133:Z196" si="105">IF(E133=0,"",Q133/E133)</f>
        <v/>
      </c>
      <c r="AA133" s="152"/>
      <c r="AB133" s="152"/>
      <c r="AC133" s="180"/>
      <c r="AD133" s="2"/>
      <c r="AE133" s="2"/>
      <c r="AF133" s="2"/>
      <c r="AG133" s="2"/>
      <c r="AH133" s="2"/>
      <c r="AI133" s="2"/>
      <c r="AJ133" s="2"/>
      <c r="AK133" s="2"/>
      <c r="AL133" s="2"/>
      <c r="AM133" s="2"/>
      <c r="AN133" s="2"/>
      <c r="AO133" s="1"/>
      <c r="AP133" s="1"/>
      <c r="AQ133" s="1"/>
      <c r="AR133" s="1"/>
      <c r="AS133" s="1"/>
      <c r="AT133" s="1"/>
      <c r="AU133" s="1"/>
      <c r="AV133" s="1"/>
      <c r="AW133" s="1"/>
      <c r="AX133" s="1"/>
      <c r="AY133" s="1"/>
    </row>
    <row r="134" spans="1:51" ht="17.25" thickBot="1" x14ac:dyDescent="0.35">
      <c r="A134" s="147"/>
      <c r="B134" s="97">
        <v>43700</v>
      </c>
      <c r="C134" s="103">
        <v>166</v>
      </c>
      <c r="D134" s="103"/>
      <c r="E134" s="103"/>
      <c r="F134" s="150"/>
      <c r="G134" s="150"/>
      <c r="H134" s="100">
        <v>803</v>
      </c>
      <c r="I134" s="7">
        <f t="shared" si="64"/>
        <v>4015</v>
      </c>
      <c r="J134" s="100"/>
      <c r="K134" s="7">
        <f t="shared" si="65"/>
        <v>0</v>
      </c>
      <c r="L134" s="100"/>
      <c r="M134" s="7">
        <f t="shared" si="66"/>
        <v>0</v>
      </c>
      <c r="N134" s="100"/>
      <c r="O134" s="7">
        <f t="shared" si="67"/>
        <v>0</v>
      </c>
      <c r="P134" s="100"/>
      <c r="Q134" s="7">
        <f t="shared" si="61"/>
        <v>0</v>
      </c>
      <c r="R134" s="100"/>
      <c r="S134" s="7">
        <f t="shared" si="62"/>
        <v>0</v>
      </c>
      <c r="T134" s="100"/>
      <c r="U134" s="7">
        <f t="shared" si="63"/>
        <v>0</v>
      </c>
      <c r="V134" s="8">
        <f t="shared" si="68"/>
        <v>0.1399637453810221</v>
      </c>
      <c r="W134" s="4">
        <f t="shared" si="95"/>
        <v>24.186746987951807</v>
      </c>
      <c r="X134" s="123">
        <f t="shared" si="104"/>
        <v>24.186746987951807</v>
      </c>
      <c r="Y134" s="123" t="str">
        <f t="shared" ref="Y134:Y197" si="106">IF(D134=0,"",(K134+M134+O134)/D134)</f>
        <v/>
      </c>
      <c r="Z134" s="123" t="str">
        <f t="shared" si="105"/>
        <v/>
      </c>
      <c r="AA134" s="152"/>
      <c r="AB134" s="152"/>
      <c r="AC134" s="180"/>
      <c r="AD134" s="2"/>
      <c r="AE134" s="2"/>
      <c r="AF134" s="2"/>
      <c r="AG134" s="2"/>
      <c r="AH134" s="2"/>
      <c r="AI134" s="2"/>
      <c r="AJ134" s="2"/>
      <c r="AK134" s="2"/>
      <c r="AL134" s="2"/>
      <c r="AM134" s="2"/>
      <c r="AN134" s="2"/>
      <c r="AO134" s="1"/>
      <c r="AP134" s="1"/>
      <c r="AQ134" s="1"/>
      <c r="AR134" s="1"/>
      <c r="AS134" s="1"/>
      <c r="AT134" s="1"/>
      <c r="AU134" s="1"/>
      <c r="AV134" s="1"/>
      <c r="AW134" s="1"/>
      <c r="AX134" s="1"/>
      <c r="AY134" s="1"/>
    </row>
    <row r="135" spans="1:51" ht="17.25" thickBot="1" x14ac:dyDescent="0.35">
      <c r="A135" s="147"/>
      <c r="B135" s="98">
        <v>43701</v>
      </c>
      <c r="C135" s="104">
        <v>75</v>
      </c>
      <c r="D135" s="104"/>
      <c r="E135" s="104"/>
      <c r="F135" s="151"/>
      <c r="G135" s="151"/>
      <c r="H135" s="101">
        <v>378</v>
      </c>
      <c r="I135" s="7">
        <f t="shared" si="64"/>
        <v>1890</v>
      </c>
      <c r="J135" s="101"/>
      <c r="K135" s="7">
        <f t="shared" si="65"/>
        <v>0</v>
      </c>
      <c r="L135" s="101"/>
      <c r="M135" s="7">
        <f t="shared" si="66"/>
        <v>0</v>
      </c>
      <c r="N135" s="101"/>
      <c r="O135" s="7">
        <f t="shared" si="67"/>
        <v>0</v>
      </c>
      <c r="P135" s="101"/>
      <c r="Q135" s="7">
        <f t="shared" si="61"/>
        <v>0</v>
      </c>
      <c r="R135" s="101"/>
      <c r="S135" s="7">
        <f t="shared" si="62"/>
        <v>0</v>
      </c>
      <c r="T135" s="101"/>
      <c r="U135" s="7">
        <f t="shared" si="63"/>
        <v>0</v>
      </c>
      <c r="V135" s="8">
        <f t="shared" si="68"/>
        <v>6.5885797950219621E-2</v>
      </c>
      <c r="W135" s="74">
        <f t="shared" si="95"/>
        <v>25.2</v>
      </c>
      <c r="X135" s="124">
        <f t="shared" si="104"/>
        <v>25.2</v>
      </c>
      <c r="Y135" s="124" t="str">
        <f t="shared" si="106"/>
        <v/>
      </c>
      <c r="Z135" s="124" t="str">
        <f t="shared" si="105"/>
        <v/>
      </c>
      <c r="AA135" s="152"/>
      <c r="AB135" s="152"/>
      <c r="AC135" s="181"/>
      <c r="AD135" s="2"/>
      <c r="AE135" s="2"/>
      <c r="AF135" s="2"/>
      <c r="AG135" s="2"/>
      <c r="AH135" s="2"/>
      <c r="AI135" s="2"/>
      <c r="AJ135" s="2"/>
      <c r="AK135" s="2"/>
      <c r="AL135" s="2"/>
      <c r="AM135" s="2"/>
      <c r="AN135" s="2"/>
      <c r="AO135" s="1"/>
      <c r="AP135" s="1"/>
      <c r="AQ135" s="1"/>
      <c r="AR135" s="1"/>
      <c r="AS135" s="1"/>
      <c r="AT135" s="1"/>
      <c r="AU135" s="1"/>
      <c r="AV135" s="1"/>
      <c r="AW135" s="1"/>
      <c r="AX135" s="1"/>
      <c r="AY135" s="1"/>
    </row>
    <row r="136" spans="1:51" ht="17.25" thickBot="1" x14ac:dyDescent="0.35">
      <c r="A136" s="146">
        <v>35</v>
      </c>
      <c r="B136" s="105">
        <v>43703</v>
      </c>
      <c r="C136" s="102">
        <v>127.5</v>
      </c>
      <c r="D136" s="102"/>
      <c r="E136" s="102"/>
      <c r="F136" s="149">
        <f t="shared" ref="F136" si="107">SUM(M136:M141,O136:O141,Q136:Q141,S136:S141,I136:I141,K136:K141)</f>
        <v>26400</v>
      </c>
      <c r="G136" s="149">
        <f t="shared" ref="G136" si="108">SUM(M136:M141,O136:O141,Q136:Q141,S136:S141,U136:U141,K136:K141,I136:I141)</f>
        <v>26400</v>
      </c>
      <c r="H136" s="99">
        <v>883</v>
      </c>
      <c r="I136" s="40">
        <f t="shared" si="64"/>
        <v>4415</v>
      </c>
      <c r="J136" s="99"/>
      <c r="K136" s="40">
        <f t="shared" si="65"/>
        <v>0</v>
      </c>
      <c r="L136" s="99"/>
      <c r="M136" s="40">
        <f t="shared" si="66"/>
        <v>0</v>
      </c>
      <c r="N136" s="99"/>
      <c r="O136" s="40">
        <f t="shared" si="67"/>
        <v>0</v>
      </c>
      <c r="P136" s="99"/>
      <c r="Q136" s="40">
        <f t="shared" si="61"/>
        <v>0</v>
      </c>
      <c r="R136" s="99"/>
      <c r="S136" s="40">
        <f t="shared" si="62"/>
        <v>0</v>
      </c>
      <c r="T136" s="99"/>
      <c r="U136" s="40">
        <f t="shared" si="63"/>
        <v>0</v>
      </c>
      <c r="V136" s="34">
        <f t="shared" si="68"/>
        <v>0.1539078296032908</v>
      </c>
      <c r="W136" s="75">
        <f t="shared" si="95"/>
        <v>34.627450980392155</v>
      </c>
      <c r="X136" s="122">
        <f t="shared" si="104"/>
        <v>34.627450980392155</v>
      </c>
      <c r="Y136" s="122" t="str">
        <f t="shared" si="106"/>
        <v/>
      </c>
      <c r="Z136" s="122" t="str">
        <f t="shared" si="105"/>
        <v/>
      </c>
      <c r="AA136" s="152">
        <f t="shared" ref="AA136" si="109">AVERAGE(W136:W141)</f>
        <v>38.0524664661312</v>
      </c>
      <c r="AB136" s="152">
        <f t="shared" ref="AB136" si="110">SUM(V136:V141)</f>
        <v>0.92030955866973441</v>
      </c>
      <c r="AC136" s="179">
        <v>0.56734992679355789</v>
      </c>
      <c r="AD136" s="2"/>
      <c r="AE136" s="2"/>
      <c r="AF136" s="2"/>
      <c r="AG136" s="2"/>
      <c r="AH136" s="2"/>
      <c r="AI136" s="2"/>
      <c r="AJ136" s="2"/>
      <c r="AK136" s="2"/>
      <c r="AL136" s="2"/>
      <c r="AM136" s="2"/>
      <c r="AN136" s="2"/>
      <c r="AO136" s="1"/>
      <c r="AP136" s="1"/>
      <c r="AQ136" s="1"/>
      <c r="AR136" s="1"/>
      <c r="AS136" s="1"/>
      <c r="AT136" s="1"/>
      <c r="AU136" s="1"/>
      <c r="AV136" s="1"/>
      <c r="AW136" s="1"/>
      <c r="AX136" s="1"/>
      <c r="AY136" s="1"/>
    </row>
    <row r="137" spans="1:51" ht="17.25" thickBot="1" x14ac:dyDescent="0.35">
      <c r="A137" s="147"/>
      <c r="B137" s="97">
        <v>43704</v>
      </c>
      <c r="C137" s="103">
        <v>141</v>
      </c>
      <c r="D137" s="103"/>
      <c r="E137" s="103"/>
      <c r="F137" s="150"/>
      <c r="G137" s="150"/>
      <c r="H137" s="100">
        <v>1066</v>
      </c>
      <c r="I137" s="7">
        <f t="shared" si="64"/>
        <v>5330</v>
      </c>
      <c r="J137" s="100"/>
      <c r="K137" s="7">
        <f t="shared" si="65"/>
        <v>0</v>
      </c>
      <c r="L137" s="100"/>
      <c r="M137" s="7">
        <f t="shared" si="66"/>
        <v>0</v>
      </c>
      <c r="N137" s="100"/>
      <c r="O137" s="7">
        <f t="shared" si="67"/>
        <v>0</v>
      </c>
      <c r="P137" s="100"/>
      <c r="Q137" s="7">
        <f t="shared" si="61"/>
        <v>0</v>
      </c>
      <c r="R137" s="100"/>
      <c r="S137" s="7">
        <f t="shared" si="62"/>
        <v>0</v>
      </c>
      <c r="T137" s="100"/>
      <c r="U137" s="7">
        <f t="shared" si="63"/>
        <v>0</v>
      </c>
      <c r="V137" s="8">
        <f t="shared" si="68"/>
        <v>0.18580492226173045</v>
      </c>
      <c r="W137" s="4">
        <f t="shared" si="95"/>
        <v>37.801418439716315</v>
      </c>
      <c r="X137" s="123">
        <f t="shared" si="104"/>
        <v>37.801418439716315</v>
      </c>
      <c r="Y137" s="123" t="str">
        <f t="shared" si="106"/>
        <v/>
      </c>
      <c r="Z137" s="123" t="str">
        <f t="shared" si="105"/>
        <v/>
      </c>
      <c r="AA137" s="152"/>
      <c r="AB137" s="152"/>
      <c r="AC137" s="180"/>
      <c r="AD137" s="2"/>
      <c r="AE137" s="2"/>
      <c r="AF137" s="2"/>
      <c r="AG137" s="2"/>
      <c r="AH137" s="2"/>
      <c r="AI137" s="2"/>
      <c r="AJ137" s="2"/>
      <c r="AK137" s="2"/>
      <c r="AL137" s="2"/>
      <c r="AM137" s="2"/>
      <c r="AN137" s="2"/>
      <c r="AO137" s="1"/>
      <c r="AP137" s="1"/>
      <c r="AQ137" s="1"/>
      <c r="AR137" s="1"/>
      <c r="AS137" s="1"/>
      <c r="AT137" s="1"/>
      <c r="AU137" s="1"/>
      <c r="AV137" s="1"/>
      <c r="AW137" s="1"/>
      <c r="AX137" s="1"/>
      <c r="AY137" s="1"/>
    </row>
    <row r="138" spans="1:51" ht="17.25" thickBot="1" x14ac:dyDescent="0.35">
      <c r="A138" s="147"/>
      <c r="B138" s="97">
        <v>43705</v>
      </c>
      <c r="C138" s="103">
        <v>142.5</v>
      </c>
      <c r="D138" s="103"/>
      <c r="E138" s="103"/>
      <c r="F138" s="150"/>
      <c r="G138" s="150"/>
      <c r="H138" s="100">
        <v>1063</v>
      </c>
      <c r="I138" s="7">
        <f t="shared" si="64"/>
        <v>5315</v>
      </c>
      <c r="J138" s="100"/>
      <c r="K138" s="7">
        <f t="shared" si="65"/>
        <v>0</v>
      </c>
      <c r="L138" s="100"/>
      <c r="M138" s="7">
        <f t="shared" si="66"/>
        <v>0</v>
      </c>
      <c r="N138" s="100"/>
      <c r="O138" s="7">
        <f t="shared" si="67"/>
        <v>0</v>
      </c>
      <c r="P138" s="100"/>
      <c r="Q138" s="7">
        <f t="shared" ref="Q138:Q201" si="111">P138*P$3</f>
        <v>0</v>
      </c>
      <c r="R138" s="100"/>
      <c r="S138" s="7">
        <f t="shared" ref="S138:S201" si="112">R138*R$3</f>
        <v>0</v>
      </c>
      <c r="T138" s="100"/>
      <c r="U138" s="7">
        <f t="shared" ref="U138:U201" si="113">T138*T$3</f>
        <v>0</v>
      </c>
      <c r="V138" s="8">
        <f t="shared" si="68"/>
        <v>0.1852820191033954</v>
      </c>
      <c r="W138" s="4">
        <f t="shared" si="95"/>
        <v>37.298245614035089</v>
      </c>
      <c r="X138" s="123">
        <f t="shared" si="104"/>
        <v>37.298245614035089</v>
      </c>
      <c r="Y138" s="123" t="str">
        <f t="shared" si="106"/>
        <v/>
      </c>
      <c r="Z138" s="123" t="str">
        <f t="shared" si="105"/>
        <v/>
      </c>
      <c r="AA138" s="152"/>
      <c r="AB138" s="152"/>
      <c r="AC138" s="180"/>
      <c r="AD138" s="2"/>
      <c r="AE138" s="2"/>
      <c r="AF138" s="2"/>
      <c r="AG138" s="2"/>
      <c r="AH138" s="2"/>
      <c r="AI138" s="2"/>
      <c r="AJ138" s="2"/>
      <c r="AK138" s="2"/>
      <c r="AL138" s="2"/>
      <c r="AM138" s="2"/>
      <c r="AN138" s="2"/>
      <c r="AO138" s="1"/>
      <c r="AP138" s="1"/>
      <c r="AQ138" s="1"/>
      <c r="AR138" s="1"/>
      <c r="AS138" s="1"/>
      <c r="AT138" s="1"/>
      <c r="AU138" s="1"/>
      <c r="AV138" s="1"/>
      <c r="AW138" s="1"/>
      <c r="AX138" s="1"/>
      <c r="AY138" s="1"/>
    </row>
    <row r="139" spans="1:51" ht="17.25" thickBot="1" x14ac:dyDescent="0.35">
      <c r="A139" s="147"/>
      <c r="B139" s="97">
        <v>43706</v>
      </c>
      <c r="C139" s="103">
        <v>133.5</v>
      </c>
      <c r="D139" s="103"/>
      <c r="E139" s="103"/>
      <c r="F139" s="150"/>
      <c r="G139" s="150"/>
      <c r="H139" s="100">
        <v>989</v>
      </c>
      <c r="I139" s="7">
        <f t="shared" ref="I139:I202" si="114">H139*H$3</f>
        <v>4945</v>
      </c>
      <c r="J139" s="100"/>
      <c r="K139" s="7">
        <f t="shared" ref="K139:K202" si="115">J139*J$3</f>
        <v>0</v>
      </c>
      <c r="L139" s="100"/>
      <c r="M139" s="7">
        <f t="shared" ref="M139:M202" si="116">L139*L$3</f>
        <v>0</v>
      </c>
      <c r="N139" s="100"/>
      <c r="O139" s="7">
        <f t="shared" ref="O139:O202" si="117">N139*N$3</f>
        <v>0</v>
      </c>
      <c r="P139" s="100"/>
      <c r="Q139" s="7">
        <f t="shared" si="111"/>
        <v>0</v>
      </c>
      <c r="R139" s="100"/>
      <c r="S139" s="7">
        <f t="shared" si="112"/>
        <v>0</v>
      </c>
      <c r="T139" s="100"/>
      <c r="U139" s="7">
        <f t="shared" si="113"/>
        <v>0</v>
      </c>
      <c r="V139" s="8">
        <f t="shared" ref="V139:V202" si="118">(M139+O139+Q139+S139+I139+K139)/H$1</f>
        <v>0.17238374119779684</v>
      </c>
      <c r="W139" s="4">
        <f t="shared" si="95"/>
        <v>37.041198501872657</v>
      </c>
      <c r="X139" s="123">
        <f t="shared" si="104"/>
        <v>37.041198501872657</v>
      </c>
      <c r="Y139" s="123" t="str">
        <f t="shared" si="106"/>
        <v/>
      </c>
      <c r="Z139" s="123" t="str">
        <f t="shared" si="105"/>
        <v/>
      </c>
      <c r="AA139" s="152"/>
      <c r="AB139" s="152"/>
      <c r="AC139" s="180"/>
      <c r="AD139" s="2"/>
      <c r="AE139" s="2"/>
      <c r="AF139" s="2"/>
      <c r="AG139" s="2"/>
      <c r="AH139" s="2"/>
      <c r="AI139" s="2"/>
      <c r="AJ139" s="2"/>
      <c r="AK139" s="2"/>
      <c r="AL139" s="2"/>
      <c r="AM139" s="2"/>
      <c r="AN139" s="2"/>
      <c r="AO139" s="1"/>
      <c r="AP139" s="1"/>
      <c r="AQ139" s="1"/>
      <c r="AR139" s="1"/>
      <c r="AS139" s="1"/>
      <c r="AT139" s="1"/>
      <c r="AU139" s="1"/>
      <c r="AV139" s="1"/>
      <c r="AW139" s="1"/>
      <c r="AX139" s="1"/>
      <c r="AY139" s="1"/>
    </row>
    <row r="140" spans="1:51" ht="17.25" thickBot="1" x14ac:dyDescent="0.35">
      <c r="A140" s="147"/>
      <c r="B140" s="97">
        <v>43707</v>
      </c>
      <c r="C140" s="103">
        <v>110.25</v>
      </c>
      <c r="D140" s="103"/>
      <c r="E140" s="103"/>
      <c r="F140" s="150"/>
      <c r="G140" s="150"/>
      <c r="H140" s="100">
        <v>921</v>
      </c>
      <c r="I140" s="7">
        <f t="shared" si="114"/>
        <v>4605</v>
      </c>
      <c r="J140" s="100"/>
      <c r="K140" s="7">
        <f t="shared" si="115"/>
        <v>0</v>
      </c>
      <c r="L140" s="100"/>
      <c r="M140" s="7">
        <f t="shared" si="116"/>
        <v>0</v>
      </c>
      <c r="N140" s="100"/>
      <c r="O140" s="7">
        <f t="shared" si="117"/>
        <v>0</v>
      </c>
      <c r="P140" s="100"/>
      <c r="Q140" s="7">
        <f t="shared" si="111"/>
        <v>0</v>
      </c>
      <c r="R140" s="100"/>
      <c r="S140" s="7">
        <f t="shared" si="112"/>
        <v>0</v>
      </c>
      <c r="T140" s="100"/>
      <c r="U140" s="7">
        <f t="shared" si="113"/>
        <v>0</v>
      </c>
      <c r="V140" s="8">
        <f t="shared" si="118"/>
        <v>0.16053126960886843</v>
      </c>
      <c r="W140" s="4">
        <f t="shared" si="95"/>
        <v>41.7687074829932</v>
      </c>
      <c r="X140" s="123">
        <f t="shared" si="104"/>
        <v>41.7687074829932</v>
      </c>
      <c r="Y140" s="123" t="str">
        <f t="shared" si="106"/>
        <v/>
      </c>
      <c r="Z140" s="123" t="str">
        <f t="shared" si="105"/>
        <v/>
      </c>
      <c r="AA140" s="152"/>
      <c r="AB140" s="152"/>
      <c r="AC140" s="180"/>
      <c r="AD140" s="2"/>
      <c r="AE140" s="2"/>
      <c r="AF140" s="2"/>
      <c r="AG140" s="2"/>
      <c r="AH140" s="2"/>
      <c r="AI140" s="2"/>
      <c r="AJ140" s="2"/>
      <c r="AK140" s="2"/>
      <c r="AL140" s="2"/>
      <c r="AM140" s="2"/>
      <c r="AN140" s="2"/>
      <c r="AO140" s="1"/>
      <c r="AP140" s="1"/>
      <c r="AQ140" s="1"/>
      <c r="AR140" s="1"/>
      <c r="AS140" s="1"/>
      <c r="AT140" s="1"/>
      <c r="AU140" s="1"/>
      <c r="AV140" s="1"/>
      <c r="AW140" s="1"/>
      <c r="AX140" s="1"/>
      <c r="AY140" s="1"/>
    </row>
    <row r="141" spans="1:51" ht="17.25" thickBot="1" x14ac:dyDescent="0.35">
      <c r="A141" s="148"/>
      <c r="B141" s="98">
        <v>43708</v>
      </c>
      <c r="C141" s="104">
        <v>45</v>
      </c>
      <c r="D141" s="104"/>
      <c r="E141" s="104"/>
      <c r="F141" s="151"/>
      <c r="G141" s="151"/>
      <c r="H141" s="101">
        <v>358</v>
      </c>
      <c r="I141" s="39">
        <f t="shared" si="114"/>
        <v>1790</v>
      </c>
      <c r="J141" s="101"/>
      <c r="K141" s="39">
        <f t="shared" si="115"/>
        <v>0</v>
      </c>
      <c r="L141" s="101"/>
      <c r="M141" s="39">
        <f t="shared" si="116"/>
        <v>0</v>
      </c>
      <c r="N141" s="101"/>
      <c r="O141" s="39">
        <f t="shared" si="117"/>
        <v>0</v>
      </c>
      <c r="P141" s="101"/>
      <c r="Q141" s="39">
        <f t="shared" si="111"/>
        <v>0</v>
      </c>
      <c r="R141" s="101"/>
      <c r="S141" s="39">
        <f t="shared" si="112"/>
        <v>0</v>
      </c>
      <c r="T141" s="101"/>
      <c r="U141" s="39">
        <f t="shared" si="113"/>
        <v>0</v>
      </c>
      <c r="V141" s="36">
        <f t="shared" si="118"/>
        <v>6.2399776894652446E-2</v>
      </c>
      <c r="W141" s="74">
        <f t="shared" si="95"/>
        <v>39.777777777777779</v>
      </c>
      <c r="X141" s="124">
        <f t="shared" si="104"/>
        <v>39.777777777777779</v>
      </c>
      <c r="Y141" s="124" t="str">
        <f t="shared" si="106"/>
        <v/>
      </c>
      <c r="Z141" s="124" t="str">
        <f t="shared" si="105"/>
        <v/>
      </c>
      <c r="AA141" s="152"/>
      <c r="AB141" s="152"/>
      <c r="AC141" s="181"/>
      <c r="AD141" s="2"/>
      <c r="AE141" s="2"/>
      <c r="AF141" s="2"/>
      <c r="AG141" s="2"/>
      <c r="AH141" s="2"/>
      <c r="AI141" s="2"/>
      <c r="AJ141" s="2"/>
      <c r="AK141" s="2"/>
      <c r="AL141" s="2"/>
      <c r="AM141" s="2"/>
      <c r="AN141" s="2"/>
      <c r="AO141" s="1"/>
      <c r="AP141" s="1"/>
      <c r="AQ141" s="1"/>
      <c r="AR141" s="1"/>
      <c r="AS141" s="1"/>
      <c r="AT141" s="1"/>
      <c r="AU141" s="1"/>
      <c r="AV141" s="1"/>
      <c r="AW141" s="1"/>
      <c r="AX141" s="1"/>
      <c r="AY141" s="1"/>
    </row>
    <row r="142" spans="1:51" ht="17.25" thickBot="1" x14ac:dyDescent="0.35">
      <c r="A142" s="147">
        <v>36</v>
      </c>
      <c r="B142" s="105">
        <v>43710</v>
      </c>
      <c r="C142" s="102">
        <v>119</v>
      </c>
      <c r="D142" s="102"/>
      <c r="E142" s="102"/>
      <c r="F142" s="149">
        <f t="shared" ref="F142" si="119">SUM(M142:M147,O142:O147,Q142:Q147,S142:S147,I142:I147,K142:K147)</f>
        <v>23065</v>
      </c>
      <c r="G142" s="149">
        <f t="shared" ref="G142" si="120">SUM(M142:M147,O142:O147,Q142:Q147,S142:S147,U142:U147,K142:K147,I142:I147)</f>
        <v>23065</v>
      </c>
      <c r="H142" s="99">
        <v>937</v>
      </c>
      <c r="I142" s="7">
        <f t="shared" si="114"/>
        <v>4685</v>
      </c>
      <c r="J142" s="99"/>
      <c r="K142" s="7">
        <f t="shared" si="115"/>
        <v>0</v>
      </c>
      <c r="L142" s="99"/>
      <c r="M142" s="7">
        <f t="shared" si="116"/>
        <v>0</v>
      </c>
      <c r="N142" s="99"/>
      <c r="O142" s="7">
        <f t="shared" si="117"/>
        <v>0</v>
      </c>
      <c r="P142" s="99"/>
      <c r="Q142" s="7">
        <f t="shared" si="111"/>
        <v>0</v>
      </c>
      <c r="R142" s="99"/>
      <c r="S142" s="7">
        <f t="shared" si="112"/>
        <v>0</v>
      </c>
      <c r="T142" s="99"/>
      <c r="U142" s="7">
        <f t="shared" si="113"/>
        <v>0</v>
      </c>
      <c r="V142" s="8">
        <f t="shared" si="118"/>
        <v>0.16332008645332219</v>
      </c>
      <c r="W142" s="75">
        <f t="shared" si="95"/>
        <v>39.369747899159663</v>
      </c>
      <c r="X142" s="122">
        <f t="shared" si="104"/>
        <v>39.369747899159663</v>
      </c>
      <c r="Y142" s="122" t="str">
        <f t="shared" si="106"/>
        <v/>
      </c>
      <c r="Z142" s="122" t="str">
        <f t="shared" si="105"/>
        <v/>
      </c>
      <c r="AA142" s="152">
        <f>AVERAGE(W142:W147)</f>
        <v>38.967110775934302</v>
      </c>
      <c r="AB142" s="152">
        <f t="shared" ref="AB142" si="121">SUM(V142:V147)</f>
        <v>0.80405075646656909</v>
      </c>
      <c r="AC142" s="179">
        <v>0.5331869204489994</v>
      </c>
      <c r="AD142" s="2"/>
      <c r="AE142" s="2"/>
      <c r="AF142" s="2"/>
      <c r="AG142" s="2"/>
      <c r="AH142" s="2"/>
      <c r="AI142" s="2"/>
      <c r="AJ142" s="2"/>
      <c r="AK142" s="2"/>
      <c r="AL142" s="2"/>
      <c r="AM142" s="2"/>
      <c r="AN142" s="2"/>
      <c r="AO142" s="1"/>
      <c r="AP142" s="1"/>
      <c r="AQ142" s="1"/>
      <c r="AR142" s="1"/>
      <c r="AS142" s="1"/>
      <c r="AT142" s="1"/>
      <c r="AU142" s="1"/>
      <c r="AV142" s="1"/>
      <c r="AW142" s="1"/>
      <c r="AX142" s="1"/>
      <c r="AY142" s="1"/>
    </row>
    <row r="143" spans="1:51" ht="17.25" thickBot="1" x14ac:dyDescent="0.35">
      <c r="A143" s="147"/>
      <c r="B143" s="97">
        <v>43711</v>
      </c>
      <c r="C143" s="103">
        <v>113.75</v>
      </c>
      <c r="D143" s="103"/>
      <c r="E143" s="103"/>
      <c r="F143" s="150"/>
      <c r="G143" s="150"/>
      <c r="H143" s="100">
        <v>855</v>
      </c>
      <c r="I143" s="7">
        <f t="shared" si="114"/>
        <v>4275</v>
      </c>
      <c r="J143" s="100"/>
      <c r="K143" s="7">
        <f t="shared" si="115"/>
        <v>0</v>
      </c>
      <c r="L143" s="100"/>
      <c r="M143" s="7">
        <f t="shared" si="116"/>
        <v>0</v>
      </c>
      <c r="N143" s="100"/>
      <c r="O143" s="7">
        <f t="shared" si="117"/>
        <v>0</v>
      </c>
      <c r="P143" s="100"/>
      <c r="Q143" s="7">
        <f t="shared" si="111"/>
        <v>0</v>
      </c>
      <c r="R143" s="100"/>
      <c r="S143" s="7">
        <f t="shared" si="112"/>
        <v>0</v>
      </c>
      <c r="T143" s="100"/>
      <c r="U143" s="7">
        <f t="shared" si="113"/>
        <v>0</v>
      </c>
      <c r="V143" s="8">
        <f t="shared" si="118"/>
        <v>0.14902740012549676</v>
      </c>
      <c r="W143" s="4">
        <f t="shared" si="95"/>
        <v>37.582417582417584</v>
      </c>
      <c r="X143" s="123">
        <f t="shared" si="104"/>
        <v>37.582417582417584</v>
      </c>
      <c r="Y143" s="123" t="str">
        <f t="shared" si="106"/>
        <v/>
      </c>
      <c r="Z143" s="123" t="str">
        <f t="shared" si="105"/>
        <v/>
      </c>
      <c r="AA143" s="152"/>
      <c r="AB143" s="152"/>
      <c r="AC143" s="180"/>
      <c r="AD143" s="2"/>
      <c r="AE143" s="2"/>
      <c r="AF143" s="2"/>
      <c r="AG143" s="2"/>
      <c r="AH143" s="2"/>
      <c r="AI143" s="2"/>
      <c r="AJ143" s="2"/>
      <c r="AK143" s="2"/>
      <c r="AL143" s="2"/>
      <c r="AM143" s="2"/>
      <c r="AN143" s="2"/>
      <c r="AO143" s="1"/>
      <c r="AP143" s="1"/>
      <c r="AQ143" s="1"/>
      <c r="AR143" s="1"/>
      <c r="AS143" s="1"/>
      <c r="AT143" s="1"/>
      <c r="AU143" s="1"/>
      <c r="AV143" s="1"/>
      <c r="AW143" s="1"/>
      <c r="AX143" s="1"/>
      <c r="AY143" s="1"/>
    </row>
    <row r="144" spans="1:51" ht="17.25" thickBot="1" x14ac:dyDescent="0.35">
      <c r="A144" s="147"/>
      <c r="B144" s="97">
        <v>43712</v>
      </c>
      <c r="C144" s="103">
        <v>108</v>
      </c>
      <c r="D144" s="103"/>
      <c r="E144" s="103"/>
      <c r="F144" s="150"/>
      <c r="G144" s="150"/>
      <c r="H144" s="100">
        <v>843</v>
      </c>
      <c r="I144" s="7">
        <f t="shared" si="114"/>
        <v>4215</v>
      </c>
      <c r="J144" s="100"/>
      <c r="K144" s="7">
        <f t="shared" si="115"/>
        <v>0</v>
      </c>
      <c r="L144" s="100"/>
      <c r="M144" s="7">
        <f t="shared" si="116"/>
        <v>0</v>
      </c>
      <c r="N144" s="100"/>
      <c r="O144" s="7">
        <f t="shared" si="117"/>
        <v>0</v>
      </c>
      <c r="P144" s="100"/>
      <c r="Q144" s="7">
        <f t="shared" si="111"/>
        <v>0</v>
      </c>
      <c r="R144" s="100"/>
      <c r="S144" s="7">
        <f t="shared" si="112"/>
        <v>0</v>
      </c>
      <c r="T144" s="100"/>
      <c r="U144" s="7">
        <f t="shared" si="113"/>
        <v>0</v>
      </c>
      <c r="V144" s="8">
        <f t="shared" si="118"/>
        <v>0.14693578749215644</v>
      </c>
      <c r="W144" s="4">
        <f t="shared" si="95"/>
        <v>39.027777777777779</v>
      </c>
      <c r="X144" s="123">
        <f t="shared" si="104"/>
        <v>39.027777777777779</v>
      </c>
      <c r="Y144" s="123" t="str">
        <f t="shared" si="106"/>
        <v/>
      </c>
      <c r="Z144" s="123" t="str">
        <f t="shared" si="105"/>
        <v/>
      </c>
      <c r="AA144" s="152"/>
      <c r="AB144" s="152"/>
      <c r="AC144" s="180"/>
      <c r="AD144" s="2"/>
      <c r="AE144" s="2"/>
      <c r="AF144" s="2"/>
      <c r="AG144" s="2"/>
      <c r="AH144" s="2"/>
      <c r="AI144" s="2"/>
      <c r="AJ144" s="2"/>
      <c r="AK144" s="2"/>
      <c r="AL144" s="2"/>
      <c r="AM144" s="2"/>
      <c r="AN144" s="2"/>
      <c r="AO144" s="1"/>
      <c r="AP144" s="1"/>
      <c r="AQ144" s="1"/>
      <c r="AR144" s="1"/>
      <c r="AS144" s="1"/>
      <c r="AT144" s="1"/>
      <c r="AU144" s="1"/>
      <c r="AV144" s="1"/>
      <c r="AW144" s="1"/>
      <c r="AX144" s="1"/>
      <c r="AY144" s="1"/>
    </row>
    <row r="145" spans="1:51" ht="17.25" thickBot="1" x14ac:dyDescent="0.35">
      <c r="A145" s="147"/>
      <c r="B145" s="97">
        <v>43713</v>
      </c>
      <c r="C145" s="103">
        <v>114.75</v>
      </c>
      <c r="D145" s="103"/>
      <c r="E145" s="103"/>
      <c r="F145" s="150"/>
      <c r="G145" s="150"/>
      <c r="H145" s="100">
        <v>922</v>
      </c>
      <c r="I145" s="7">
        <f t="shared" si="114"/>
        <v>4610</v>
      </c>
      <c r="J145" s="100"/>
      <c r="K145" s="7">
        <f t="shared" si="115"/>
        <v>0</v>
      </c>
      <c r="L145" s="100"/>
      <c r="M145" s="7">
        <f t="shared" si="116"/>
        <v>0</v>
      </c>
      <c r="N145" s="100"/>
      <c r="O145" s="7">
        <f t="shared" si="117"/>
        <v>0</v>
      </c>
      <c r="P145" s="100"/>
      <c r="Q145" s="7">
        <f t="shared" si="111"/>
        <v>0</v>
      </c>
      <c r="R145" s="100"/>
      <c r="S145" s="7">
        <f t="shared" si="112"/>
        <v>0</v>
      </c>
      <c r="T145" s="100"/>
      <c r="U145" s="7">
        <f t="shared" si="113"/>
        <v>0</v>
      </c>
      <c r="V145" s="8">
        <f t="shared" si="118"/>
        <v>0.16070557066164678</v>
      </c>
      <c r="W145" s="4">
        <f t="shared" si="95"/>
        <v>40.174291938997818</v>
      </c>
      <c r="X145" s="123">
        <f t="shared" si="104"/>
        <v>40.174291938997818</v>
      </c>
      <c r="Y145" s="123" t="str">
        <f t="shared" si="106"/>
        <v/>
      </c>
      <c r="Z145" s="123" t="str">
        <f t="shared" si="105"/>
        <v/>
      </c>
      <c r="AA145" s="152"/>
      <c r="AB145" s="152"/>
      <c r="AC145" s="180"/>
      <c r="AD145" s="2"/>
      <c r="AE145" s="2"/>
      <c r="AF145" s="2"/>
      <c r="AG145" s="2"/>
      <c r="AH145" s="2"/>
      <c r="AI145" s="2"/>
      <c r="AJ145" s="2"/>
      <c r="AK145" s="2"/>
      <c r="AL145" s="2"/>
      <c r="AM145" s="2"/>
      <c r="AN145" s="2"/>
      <c r="AO145" s="1"/>
      <c r="AP145" s="1"/>
      <c r="AQ145" s="1"/>
      <c r="AR145" s="1"/>
      <c r="AS145" s="1"/>
      <c r="AT145" s="1"/>
      <c r="AU145" s="1"/>
      <c r="AV145" s="1"/>
      <c r="AW145" s="1"/>
      <c r="AX145" s="1"/>
      <c r="AY145" s="1"/>
    </row>
    <row r="146" spans="1:51" ht="17.25" thickBot="1" x14ac:dyDescent="0.35">
      <c r="A146" s="147"/>
      <c r="B146" s="97">
        <v>43714</v>
      </c>
      <c r="C146" s="103">
        <v>136.5</v>
      </c>
      <c r="D146" s="103"/>
      <c r="E146" s="103"/>
      <c r="F146" s="150"/>
      <c r="G146" s="150"/>
      <c r="H146" s="100">
        <v>1056</v>
      </c>
      <c r="I146" s="7">
        <f t="shared" si="114"/>
        <v>5280</v>
      </c>
      <c r="J146" s="100"/>
      <c r="K146" s="7">
        <f t="shared" si="115"/>
        <v>0</v>
      </c>
      <c r="L146" s="100"/>
      <c r="M146" s="7">
        <f t="shared" si="116"/>
        <v>0</v>
      </c>
      <c r="N146" s="100"/>
      <c r="O146" s="7">
        <f t="shared" si="117"/>
        <v>0</v>
      </c>
      <c r="P146" s="100"/>
      <c r="Q146" s="7">
        <f t="shared" si="111"/>
        <v>0</v>
      </c>
      <c r="R146" s="100"/>
      <c r="S146" s="7">
        <f t="shared" si="112"/>
        <v>0</v>
      </c>
      <c r="T146" s="100"/>
      <c r="U146" s="7">
        <f t="shared" si="113"/>
        <v>0</v>
      </c>
      <c r="V146" s="8">
        <f t="shared" si="118"/>
        <v>0.18406191173394687</v>
      </c>
      <c r="W146" s="4">
        <f t="shared" si="95"/>
        <v>38.681318681318679</v>
      </c>
      <c r="X146" s="123">
        <f t="shared" si="104"/>
        <v>38.681318681318679</v>
      </c>
      <c r="Y146" s="123" t="str">
        <f t="shared" si="106"/>
        <v/>
      </c>
      <c r="Z146" s="123" t="str">
        <f t="shared" si="105"/>
        <v/>
      </c>
      <c r="AA146" s="152"/>
      <c r="AB146" s="152"/>
      <c r="AC146" s="180"/>
      <c r="AD146" s="2"/>
      <c r="AE146" s="2"/>
      <c r="AF146" s="2"/>
      <c r="AG146" s="2"/>
      <c r="AH146" s="2"/>
      <c r="AI146" s="2"/>
      <c r="AJ146" s="2"/>
      <c r="AK146" s="2"/>
      <c r="AL146" s="2"/>
      <c r="AM146" s="2"/>
      <c r="AN146" s="2"/>
      <c r="AO146" s="1"/>
      <c r="AP146" s="1"/>
      <c r="AQ146" s="1"/>
      <c r="AR146" s="1"/>
      <c r="AS146" s="1"/>
      <c r="AT146" s="1"/>
      <c r="AU146" s="1"/>
      <c r="AV146" s="1"/>
      <c r="AW146" s="1"/>
      <c r="AX146" s="1"/>
      <c r="AY146" s="1"/>
    </row>
    <row r="147" spans="1:51" ht="17.25" thickBot="1" x14ac:dyDescent="0.35">
      <c r="A147" s="147"/>
      <c r="B147" s="98"/>
      <c r="C147" s="104"/>
      <c r="D147" s="104"/>
      <c r="E147" s="104"/>
      <c r="F147" s="151"/>
      <c r="G147" s="151"/>
      <c r="H147" s="101"/>
      <c r="I147" s="7">
        <f t="shared" si="114"/>
        <v>0</v>
      </c>
      <c r="J147" s="101"/>
      <c r="K147" s="7">
        <f t="shared" si="115"/>
        <v>0</v>
      </c>
      <c r="L147" s="101"/>
      <c r="M147" s="7">
        <f t="shared" si="116"/>
        <v>0</v>
      </c>
      <c r="N147" s="101"/>
      <c r="O147" s="7">
        <f t="shared" si="117"/>
        <v>0</v>
      </c>
      <c r="P147" s="101"/>
      <c r="Q147" s="7">
        <f t="shared" si="111"/>
        <v>0</v>
      </c>
      <c r="R147" s="101"/>
      <c r="S147" s="7">
        <f t="shared" si="112"/>
        <v>0</v>
      </c>
      <c r="T147" s="101"/>
      <c r="U147" s="7">
        <f t="shared" si="113"/>
        <v>0</v>
      </c>
      <c r="V147" s="8">
        <f t="shared" si="118"/>
        <v>0</v>
      </c>
      <c r="W147" s="74" t="str">
        <f t="shared" si="95"/>
        <v/>
      </c>
      <c r="X147" s="124" t="str">
        <f t="shared" si="104"/>
        <v/>
      </c>
      <c r="Y147" s="124" t="str">
        <f t="shared" si="106"/>
        <v/>
      </c>
      <c r="Z147" s="124" t="str">
        <f t="shared" si="105"/>
        <v/>
      </c>
      <c r="AA147" s="152"/>
      <c r="AB147" s="152"/>
      <c r="AC147" s="181"/>
      <c r="AD147" s="2"/>
      <c r="AE147" s="2"/>
      <c r="AF147" s="2"/>
      <c r="AG147" s="2"/>
      <c r="AH147" s="2"/>
      <c r="AI147" s="2"/>
      <c r="AJ147" s="2"/>
      <c r="AK147" s="2"/>
      <c r="AL147" s="2"/>
      <c r="AM147" s="2"/>
      <c r="AN147" s="2"/>
      <c r="AO147" s="1"/>
      <c r="AP147" s="1"/>
      <c r="AQ147" s="1"/>
      <c r="AR147" s="1"/>
      <c r="AS147" s="1"/>
      <c r="AT147" s="1"/>
      <c r="AU147" s="1"/>
      <c r="AV147" s="1"/>
      <c r="AW147" s="1"/>
      <c r="AX147" s="1"/>
      <c r="AY147" s="1"/>
    </row>
    <row r="148" spans="1:51" ht="17.25" thickBot="1" x14ac:dyDescent="0.35">
      <c r="A148" s="146">
        <v>37</v>
      </c>
      <c r="B148" s="105">
        <v>43717</v>
      </c>
      <c r="C148" s="102">
        <v>117</v>
      </c>
      <c r="D148" s="102"/>
      <c r="E148" s="102"/>
      <c r="F148" s="149">
        <f t="shared" ref="F148" si="122">SUM(M148:M153,O148:O153,Q148:Q153,S148:S153,I148:I153,K148:K153)</f>
        <v>24130</v>
      </c>
      <c r="G148" s="149">
        <f t="shared" ref="G148" si="123">SUM(M148:M153,O148:O153,Q148:Q153,S148:S153,U148:U153,K148:K153,I148:I153)</f>
        <v>24130</v>
      </c>
      <c r="H148" s="99">
        <v>907</v>
      </c>
      <c r="I148" s="40">
        <f t="shared" si="114"/>
        <v>4535</v>
      </c>
      <c r="J148" s="99"/>
      <c r="K148" s="40">
        <f t="shared" si="115"/>
        <v>0</v>
      </c>
      <c r="L148" s="99"/>
      <c r="M148" s="40">
        <f t="shared" si="116"/>
        <v>0</v>
      </c>
      <c r="N148" s="99"/>
      <c r="O148" s="40">
        <f t="shared" si="117"/>
        <v>0</v>
      </c>
      <c r="P148" s="99"/>
      <c r="Q148" s="40">
        <f t="shared" si="111"/>
        <v>0</v>
      </c>
      <c r="R148" s="99"/>
      <c r="S148" s="40">
        <f t="shared" si="112"/>
        <v>0</v>
      </c>
      <c r="T148" s="99"/>
      <c r="U148" s="40">
        <f t="shared" si="113"/>
        <v>0</v>
      </c>
      <c r="V148" s="34">
        <f t="shared" si="118"/>
        <v>0.15809105486997141</v>
      </c>
      <c r="W148" s="75">
        <f t="shared" si="95"/>
        <v>38.760683760683762</v>
      </c>
      <c r="X148" s="122">
        <f t="shared" si="104"/>
        <v>38.760683760683762</v>
      </c>
      <c r="Y148" s="122" t="str">
        <f t="shared" si="106"/>
        <v/>
      </c>
      <c r="Z148" s="122" t="str">
        <f t="shared" si="105"/>
        <v/>
      </c>
      <c r="AA148" s="152">
        <f t="shared" ref="AA148" si="124">AVERAGE(W148:W153)</f>
        <v>37.887733785588004</v>
      </c>
      <c r="AB148" s="152">
        <f t="shared" ref="AB148" si="125">SUM(V148:V153)</f>
        <v>0.8411768807083595</v>
      </c>
      <c r="AC148" s="179">
        <v>0.56386390573799061</v>
      </c>
      <c r="AD148" s="2"/>
      <c r="AE148" s="2"/>
      <c r="AF148" s="2"/>
      <c r="AG148" s="2"/>
      <c r="AH148" s="2"/>
      <c r="AI148" s="2"/>
      <c r="AJ148" s="2"/>
      <c r="AK148" s="2"/>
      <c r="AL148" s="2"/>
      <c r="AM148" s="2"/>
      <c r="AN148" s="2"/>
      <c r="AO148" s="1"/>
      <c r="AP148" s="1"/>
      <c r="AQ148" s="1"/>
      <c r="AR148" s="1"/>
      <c r="AS148" s="1"/>
      <c r="AT148" s="1"/>
      <c r="AU148" s="1"/>
      <c r="AV148" s="1"/>
      <c r="AW148" s="1"/>
      <c r="AX148" s="1"/>
      <c r="AY148" s="1"/>
    </row>
    <row r="149" spans="1:51" ht="17.25" thickBot="1" x14ac:dyDescent="0.35">
      <c r="A149" s="147"/>
      <c r="B149" s="97">
        <v>43718</v>
      </c>
      <c r="C149" s="103">
        <v>131</v>
      </c>
      <c r="D149" s="103"/>
      <c r="E149" s="103"/>
      <c r="F149" s="150"/>
      <c r="G149" s="150"/>
      <c r="H149" s="100">
        <v>998</v>
      </c>
      <c r="I149" s="7">
        <f t="shared" si="114"/>
        <v>4990</v>
      </c>
      <c r="J149" s="100"/>
      <c r="K149" s="7">
        <f t="shared" si="115"/>
        <v>0</v>
      </c>
      <c r="L149" s="100"/>
      <c r="M149" s="7">
        <f t="shared" si="116"/>
        <v>0</v>
      </c>
      <c r="N149" s="100"/>
      <c r="O149" s="7">
        <f t="shared" si="117"/>
        <v>0</v>
      </c>
      <c r="P149" s="100"/>
      <c r="Q149" s="7">
        <f t="shared" si="111"/>
        <v>0</v>
      </c>
      <c r="R149" s="100"/>
      <c r="S149" s="7">
        <f t="shared" si="112"/>
        <v>0</v>
      </c>
      <c r="T149" s="100"/>
      <c r="U149" s="7">
        <f t="shared" si="113"/>
        <v>0</v>
      </c>
      <c r="V149" s="8">
        <f t="shared" si="118"/>
        <v>0.17395245067280207</v>
      </c>
      <c r="W149" s="4">
        <f t="shared" si="95"/>
        <v>38.091603053435115</v>
      </c>
      <c r="X149" s="123">
        <f t="shared" si="104"/>
        <v>38.091603053435115</v>
      </c>
      <c r="Y149" s="123" t="str">
        <f t="shared" si="106"/>
        <v/>
      </c>
      <c r="Z149" s="123" t="str">
        <f t="shared" si="105"/>
        <v/>
      </c>
      <c r="AA149" s="152"/>
      <c r="AB149" s="152"/>
      <c r="AC149" s="180"/>
      <c r="AD149" s="2"/>
      <c r="AE149" s="2"/>
      <c r="AF149" s="2"/>
      <c r="AG149" s="2"/>
      <c r="AH149" s="2"/>
      <c r="AI149" s="2"/>
      <c r="AJ149" s="2"/>
      <c r="AK149" s="2"/>
      <c r="AL149" s="2"/>
      <c r="AM149" s="2"/>
      <c r="AN149" s="2"/>
      <c r="AO149" s="1"/>
      <c r="AP149" s="1"/>
      <c r="AQ149" s="1"/>
      <c r="AR149" s="1"/>
      <c r="AS149" s="1"/>
      <c r="AT149" s="1"/>
      <c r="AU149" s="1"/>
      <c r="AV149" s="1"/>
      <c r="AW149" s="1"/>
      <c r="AX149" s="1"/>
      <c r="AY149" s="1"/>
    </row>
    <row r="150" spans="1:51" ht="17.25" thickBot="1" x14ac:dyDescent="0.35">
      <c r="A150" s="147"/>
      <c r="B150" s="97">
        <v>43719</v>
      </c>
      <c r="C150" s="103">
        <v>123</v>
      </c>
      <c r="D150" s="103"/>
      <c r="E150" s="103"/>
      <c r="F150" s="150"/>
      <c r="G150" s="150"/>
      <c r="H150" s="100">
        <v>939</v>
      </c>
      <c r="I150" s="7">
        <f t="shared" si="114"/>
        <v>4695</v>
      </c>
      <c r="J150" s="100"/>
      <c r="K150" s="7">
        <f t="shared" si="115"/>
        <v>0</v>
      </c>
      <c r="L150" s="100"/>
      <c r="M150" s="7">
        <f t="shared" si="116"/>
        <v>0</v>
      </c>
      <c r="N150" s="100"/>
      <c r="O150" s="7">
        <f t="shared" si="117"/>
        <v>0</v>
      </c>
      <c r="P150" s="100"/>
      <c r="Q150" s="7">
        <f t="shared" si="111"/>
        <v>0</v>
      </c>
      <c r="R150" s="100"/>
      <c r="S150" s="7">
        <f t="shared" si="112"/>
        <v>0</v>
      </c>
      <c r="T150" s="100"/>
      <c r="U150" s="7">
        <f t="shared" si="113"/>
        <v>0</v>
      </c>
      <c r="V150" s="8">
        <f t="shared" si="118"/>
        <v>0.16366868855887889</v>
      </c>
      <c r="W150" s="4">
        <f t="shared" si="95"/>
        <v>38.170731707317074</v>
      </c>
      <c r="X150" s="123">
        <f t="shared" si="104"/>
        <v>38.170731707317074</v>
      </c>
      <c r="Y150" s="123" t="str">
        <f t="shared" si="106"/>
        <v/>
      </c>
      <c r="Z150" s="123" t="str">
        <f t="shared" si="105"/>
        <v/>
      </c>
      <c r="AA150" s="152"/>
      <c r="AB150" s="152"/>
      <c r="AC150" s="180"/>
      <c r="AD150" s="2"/>
      <c r="AE150" s="2"/>
      <c r="AF150" s="2"/>
      <c r="AG150" s="2"/>
      <c r="AH150" s="2"/>
      <c r="AI150" s="2"/>
      <c r="AJ150" s="2"/>
      <c r="AK150" s="2"/>
      <c r="AL150" s="2"/>
      <c r="AM150" s="2"/>
      <c r="AN150" s="2"/>
      <c r="AO150" s="1"/>
      <c r="AP150" s="1"/>
      <c r="AQ150" s="1"/>
      <c r="AR150" s="1"/>
      <c r="AS150" s="1"/>
      <c r="AT150" s="1"/>
      <c r="AU150" s="1"/>
      <c r="AV150" s="1"/>
      <c r="AW150" s="1"/>
      <c r="AX150" s="1"/>
      <c r="AY150" s="1"/>
    </row>
    <row r="151" spans="1:51" ht="17.25" thickBot="1" x14ac:dyDescent="0.35">
      <c r="A151" s="147"/>
      <c r="B151" s="97">
        <v>43720</v>
      </c>
      <c r="C151" s="103">
        <v>123</v>
      </c>
      <c r="D151" s="103"/>
      <c r="E151" s="103"/>
      <c r="F151" s="150"/>
      <c r="G151" s="150"/>
      <c r="H151" s="100">
        <v>944</v>
      </c>
      <c r="I151" s="7">
        <f t="shared" si="114"/>
        <v>4720</v>
      </c>
      <c r="J151" s="100"/>
      <c r="K151" s="7">
        <f t="shared" si="115"/>
        <v>0</v>
      </c>
      <c r="L151" s="100"/>
      <c r="M151" s="7">
        <f t="shared" si="116"/>
        <v>0</v>
      </c>
      <c r="N151" s="100"/>
      <c r="O151" s="7">
        <f t="shared" si="117"/>
        <v>0</v>
      </c>
      <c r="P151" s="100"/>
      <c r="Q151" s="7">
        <f t="shared" si="111"/>
        <v>0</v>
      </c>
      <c r="R151" s="100"/>
      <c r="S151" s="7">
        <f t="shared" si="112"/>
        <v>0</v>
      </c>
      <c r="T151" s="100"/>
      <c r="U151" s="7">
        <f t="shared" si="113"/>
        <v>0</v>
      </c>
      <c r="V151" s="8">
        <f t="shared" si="118"/>
        <v>0.16454019382277069</v>
      </c>
      <c r="W151" s="4">
        <f t="shared" si="95"/>
        <v>38.373983739837399</v>
      </c>
      <c r="X151" s="123">
        <f t="shared" si="104"/>
        <v>38.373983739837399</v>
      </c>
      <c r="Y151" s="123" t="str">
        <f t="shared" si="106"/>
        <v/>
      </c>
      <c r="Z151" s="123" t="str">
        <f t="shared" si="105"/>
        <v/>
      </c>
      <c r="AA151" s="152"/>
      <c r="AB151" s="152"/>
      <c r="AC151" s="180"/>
      <c r="AD151" s="2"/>
      <c r="AE151" s="2"/>
      <c r="AF151" s="2"/>
      <c r="AG151" s="2"/>
      <c r="AH151" s="2"/>
      <c r="AI151" s="2"/>
      <c r="AJ151" s="2"/>
      <c r="AK151" s="2"/>
      <c r="AL151" s="2"/>
      <c r="AM151" s="2"/>
      <c r="AN151" s="2"/>
      <c r="AO151" s="1"/>
      <c r="AP151" s="1"/>
      <c r="AQ151" s="1"/>
      <c r="AR151" s="1"/>
      <c r="AS151" s="1"/>
      <c r="AT151" s="1"/>
      <c r="AU151" s="1"/>
      <c r="AV151" s="1"/>
      <c r="AW151" s="1"/>
      <c r="AX151" s="1"/>
      <c r="AY151" s="1"/>
    </row>
    <row r="152" spans="1:51" ht="17.25" thickBot="1" x14ac:dyDescent="0.35">
      <c r="A152" s="147"/>
      <c r="B152" s="97">
        <v>43721</v>
      </c>
      <c r="C152" s="103">
        <v>144</v>
      </c>
      <c r="D152" s="103"/>
      <c r="E152" s="103"/>
      <c r="F152" s="150"/>
      <c r="G152" s="150"/>
      <c r="H152" s="100">
        <v>1038</v>
      </c>
      <c r="I152" s="7">
        <f t="shared" si="114"/>
        <v>5190</v>
      </c>
      <c r="J152" s="100"/>
      <c r="K152" s="7">
        <f t="shared" si="115"/>
        <v>0</v>
      </c>
      <c r="L152" s="100"/>
      <c r="M152" s="7">
        <f t="shared" si="116"/>
        <v>0</v>
      </c>
      <c r="N152" s="100"/>
      <c r="O152" s="7">
        <f t="shared" si="117"/>
        <v>0</v>
      </c>
      <c r="P152" s="100"/>
      <c r="Q152" s="7">
        <f t="shared" si="111"/>
        <v>0</v>
      </c>
      <c r="R152" s="100"/>
      <c r="S152" s="7">
        <f t="shared" si="112"/>
        <v>0</v>
      </c>
      <c r="T152" s="100"/>
      <c r="U152" s="7">
        <f t="shared" si="113"/>
        <v>0</v>
      </c>
      <c r="V152" s="8">
        <f t="shared" si="118"/>
        <v>0.18092449278393641</v>
      </c>
      <c r="W152" s="4">
        <f t="shared" si="95"/>
        <v>36.041666666666664</v>
      </c>
      <c r="X152" s="123">
        <f t="shared" si="104"/>
        <v>36.041666666666664</v>
      </c>
      <c r="Y152" s="123" t="str">
        <f t="shared" si="106"/>
        <v/>
      </c>
      <c r="Z152" s="123" t="str">
        <f t="shared" si="105"/>
        <v/>
      </c>
      <c r="AA152" s="152"/>
      <c r="AB152" s="152"/>
      <c r="AC152" s="180"/>
      <c r="AD152" s="2"/>
      <c r="AE152" s="2"/>
      <c r="AF152" s="2"/>
      <c r="AG152" s="2"/>
      <c r="AH152" s="2"/>
      <c r="AI152" s="2"/>
      <c r="AJ152" s="2"/>
      <c r="AK152" s="2"/>
      <c r="AL152" s="2"/>
      <c r="AM152" s="2"/>
      <c r="AN152" s="2"/>
      <c r="AO152" s="1"/>
      <c r="AP152" s="1"/>
      <c r="AQ152" s="1"/>
      <c r="AR152" s="1"/>
      <c r="AS152" s="1"/>
      <c r="AT152" s="1"/>
      <c r="AU152" s="1"/>
      <c r="AV152" s="1"/>
      <c r="AW152" s="1"/>
      <c r="AX152" s="1"/>
      <c r="AY152" s="1"/>
    </row>
    <row r="153" spans="1:51" ht="17.25" thickBot="1" x14ac:dyDescent="0.35">
      <c r="A153" s="148"/>
      <c r="B153" s="98"/>
      <c r="C153" s="104"/>
      <c r="D153" s="104"/>
      <c r="E153" s="104"/>
      <c r="F153" s="151"/>
      <c r="G153" s="151"/>
      <c r="H153" s="101"/>
      <c r="I153" s="39">
        <f t="shared" si="114"/>
        <v>0</v>
      </c>
      <c r="J153" s="101"/>
      <c r="K153" s="39">
        <f t="shared" si="115"/>
        <v>0</v>
      </c>
      <c r="L153" s="101"/>
      <c r="M153" s="39">
        <f t="shared" si="116"/>
        <v>0</v>
      </c>
      <c r="N153" s="101"/>
      <c r="O153" s="39">
        <f t="shared" si="117"/>
        <v>0</v>
      </c>
      <c r="P153" s="101"/>
      <c r="Q153" s="39">
        <f t="shared" si="111"/>
        <v>0</v>
      </c>
      <c r="R153" s="101"/>
      <c r="S153" s="39">
        <f t="shared" si="112"/>
        <v>0</v>
      </c>
      <c r="T153" s="101"/>
      <c r="U153" s="39">
        <f t="shared" si="113"/>
        <v>0</v>
      </c>
      <c r="V153" s="36">
        <f t="shared" si="118"/>
        <v>0</v>
      </c>
      <c r="W153" s="74" t="str">
        <f t="shared" si="95"/>
        <v/>
      </c>
      <c r="X153" s="124" t="str">
        <f t="shared" si="104"/>
        <v/>
      </c>
      <c r="Y153" s="124" t="str">
        <f t="shared" si="106"/>
        <v/>
      </c>
      <c r="Z153" s="124" t="str">
        <f t="shared" si="105"/>
        <v/>
      </c>
      <c r="AA153" s="152"/>
      <c r="AB153" s="152"/>
      <c r="AC153" s="181"/>
      <c r="AD153" s="2"/>
      <c r="AE153" s="2"/>
      <c r="AF153" s="2"/>
      <c r="AG153" s="2"/>
      <c r="AH153" s="2"/>
      <c r="AI153" s="2"/>
      <c r="AJ153" s="2"/>
      <c r="AK153" s="2"/>
      <c r="AL153" s="2"/>
      <c r="AM153" s="2"/>
      <c r="AN153" s="2"/>
      <c r="AO153" s="1"/>
      <c r="AP153" s="1"/>
      <c r="AQ153" s="1"/>
      <c r="AR153" s="1"/>
      <c r="AS153" s="1"/>
      <c r="AT153" s="1"/>
      <c r="AU153" s="1"/>
      <c r="AV153" s="1"/>
      <c r="AW153" s="1"/>
      <c r="AX153" s="1"/>
      <c r="AY153" s="1"/>
    </row>
    <row r="154" spans="1:51" ht="17.25" thickBot="1" x14ac:dyDescent="0.35">
      <c r="A154" s="147">
        <v>38</v>
      </c>
      <c r="B154" s="105">
        <v>43724</v>
      </c>
      <c r="C154" s="102">
        <v>102</v>
      </c>
      <c r="D154" s="102"/>
      <c r="E154" s="102"/>
      <c r="F154" s="149">
        <f t="shared" ref="F154" si="126">SUM(M154:M159,O154:O159,Q154:Q159,S154:S159,I154:I159,K154:K159)</f>
        <v>20975</v>
      </c>
      <c r="G154" s="149">
        <f t="shared" ref="G154" si="127">SUM(M154:M159,O154:O159,Q154:Q159,S154:S159,U154:U159,K154:K159,I154:I159)</f>
        <v>20975</v>
      </c>
      <c r="H154" s="99">
        <v>729</v>
      </c>
      <c r="I154" s="7">
        <f t="shared" si="114"/>
        <v>3645</v>
      </c>
      <c r="J154" s="99"/>
      <c r="K154" s="7">
        <f t="shared" si="115"/>
        <v>0</v>
      </c>
      <c r="L154" s="99"/>
      <c r="M154" s="7">
        <f t="shared" si="116"/>
        <v>0</v>
      </c>
      <c r="N154" s="99"/>
      <c r="O154" s="7">
        <f t="shared" si="117"/>
        <v>0</v>
      </c>
      <c r="P154" s="99"/>
      <c r="Q154" s="7">
        <f t="shared" si="111"/>
        <v>0</v>
      </c>
      <c r="R154" s="99"/>
      <c r="S154" s="7">
        <f t="shared" si="112"/>
        <v>0</v>
      </c>
      <c r="T154" s="99"/>
      <c r="U154" s="7">
        <f t="shared" si="113"/>
        <v>0</v>
      </c>
      <c r="V154" s="8">
        <f t="shared" si="118"/>
        <v>0.12706546747542355</v>
      </c>
      <c r="W154" s="75">
        <f t="shared" si="95"/>
        <v>35.735294117647058</v>
      </c>
      <c r="X154" s="122">
        <f t="shared" si="104"/>
        <v>35.735294117647058</v>
      </c>
      <c r="Y154" s="122" t="str">
        <f t="shared" si="106"/>
        <v/>
      </c>
      <c r="Z154" s="122" t="str">
        <f t="shared" si="105"/>
        <v/>
      </c>
      <c r="AA154" s="152">
        <f t="shared" ref="AA154" si="128">AVERAGE(W154:W159)</f>
        <v>34.840689878787948</v>
      </c>
      <c r="AB154" s="152">
        <f t="shared" ref="AB154" si="129">SUM(V154:V159)</f>
        <v>0.731192916405215</v>
      </c>
      <c r="AC154" s="179">
        <v>0.54556229519626298</v>
      </c>
      <c r="AD154" s="2"/>
      <c r="AE154" s="2"/>
      <c r="AF154" s="2"/>
      <c r="AG154" s="2"/>
      <c r="AH154" s="2"/>
      <c r="AI154" s="2"/>
      <c r="AJ154" s="2"/>
      <c r="AK154" s="2"/>
      <c r="AL154" s="2"/>
      <c r="AM154" s="2"/>
      <c r="AN154" s="2"/>
      <c r="AO154" s="1"/>
      <c r="AP154" s="1"/>
      <c r="AQ154" s="1"/>
      <c r="AR154" s="1"/>
      <c r="AS154" s="1"/>
      <c r="AT154" s="1"/>
      <c r="AU154" s="1"/>
      <c r="AV154" s="1"/>
      <c r="AW154" s="1"/>
      <c r="AX154" s="1"/>
      <c r="AY154" s="1"/>
    </row>
    <row r="155" spans="1:51" ht="17.25" thickBot="1" x14ac:dyDescent="0.35">
      <c r="A155" s="147"/>
      <c r="B155" s="97">
        <v>43725</v>
      </c>
      <c r="C155" s="103">
        <v>115</v>
      </c>
      <c r="D155" s="103"/>
      <c r="E155" s="103"/>
      <c r="F155" s="150"/>
      <c r="G155" s="150"/>
      <c r="H155" s="100">
        <v>785</v>
      </c>
      <c r="I155" s="7">
        <f t="shared" si="114"/>
        <v>3925</v>
      </c>
      <c r="J155" s="100"/>
      <c r="K155" s="7">
        <f t="shared" si="115"/>
        <v>0</v>
      </c>
      <c r="L155" s="100"/>
      <c r="M155" s="7">
        <f t="shared" si="116"/>
        <v>0</v>
      </c>
      <c r="N155" s="100"/>
      <c r="O155" s="7">
        <f t="shared" si="117"/>
        <v>0</v>
      </c>
      <c r="P155" s="100"/>
      <c r="Q155" s="7">
        <f t="shared" si="111"/>
        <v>0</v>
      </c>
      <c r="R155" s="100"/>
      <c r="S155" s="7">
        <f t="shared" si="112"/>
        <v>0</v>
      </c>
      <c r="T155" s="100"/>
      <c r="U155" s="7">
        <f t="shared" si="113"/>
        <v>0</v>
      </c>
      <c r="V155" s="8">
        <f t="shared" si="118"/>
        <v>0.13682632643101164</v>
      </c>
      <c r="W155" s="4">
        <f t="shared" si="95"/>
        <v>34.130434782608695</v>
      </c>
      <c r="X155" s="123">
        <f t="shared" si="104"/>
        <v>34.130434782608695</v>
      </c>
      <c r="Y155" s="123" t="str">
        <f t="shared" si="106"/>
        <v/>
      </c>
      <c r="Z155" s="123" t="str">
        <f t="shared" si="105"/>
        <v/>
      </c>
      <c r="AA155" s="152"/>
      <c r="AB155" s="152"/>
      <c r="AC155" s="180"/>
      <c r="AD155" s="2"/>
      <c r="AE155" s="2"/>
      <c r="AF155" s="2"/>
      <c r="AG155" s="2"/>
      <c r="AH155" s="2"/>
      <c r="AI155" s="2"/>
      <c r="AJ155" s="2"/>
      <c r="AK155" s="2"/>
      <c r="AL155" s="2"/>
      <c r="AM155" s="2"/>
      <c r="AN155" s="2"/>
      <c r="AO155" s="1"/>
      <c r="AP155" s="1"/>
      <c r="AQ155" s="1"/>
      <c r="AR155" s="1"/>
      <c r="AS155" s="1"/>
      <c r="AT155" s="1"/>
      <c r="AU155" s="1"/>
      <c r="AV155" s="1"/>
      <c r="AW155" s="1"/>
      <c r="AX155" s="1"/>
      <c r="AY155" s="1"/>
    </row>
    <row r="156" spans="1:51" ht="17.25" thickBot="1" x14ac:dyDescent="0.35">
      <c r="A156" s="147"/>
      <c r="B156" s="97">
        <v>43726</v>
      </c>
      <c r="C156" s="103">
        <v>115</v>
      </c>
      <c r="D156" s="103"/>
      <c r="E156" s="103"/>
      <c r="F156" s="150"/>
      <c r="G156" s="150"/>
      <c r="H156" s="100">
        <v>794</v>
      </c>
      <c r="I156" s="7">
        <f t="shared" si="114"/>
        <v>3970</v>
      </c>
      <c r="J156" s="100"/>
      <c r="K156" s="7">
        <f t="shared" si="115"/>
        <v>0</v>
      </c>
      <c r="L156" s="100"/>
      <c r="M156" s="7">
        <f t="shared" si="116"/>
        <v>0</v>
      </c>
      <c r="N156" s="100"/>
      <c r="O156" s="7">
        <f t="shared" si="117"/>
        <v>0</v>
      </c>
      <c r="P156" s="100"/>
      <c r="Q156" s="7">
        <f t="shared" si="111"/>
        <v>0</v>
      </c>
      <c r="R156" s="100"/>
      <c r="S156" s="7">
        <f t="shared" si="112"/>
        <v>0</v>
      </c>
      <c r="T156" s="100"/>
      <c r="U156" s="7">
        <f t="shared" si="113"/>
        <v>0</v>
      </c>
      <c r="V156" s="8">
        <f t="shared" si="118"/>
        <v>0.13839503590601687</v>
      </c>
      <c r="W156" s="4">
        <f t="shared" si="95"/>
        <v>34.521739130434781</v>
      </c>
      <c r="X156" s="123">
        <f t="shared" si="104"/>
        <v>34.521739130434781</v>
      </c>
      <c r="Y156" s="123" t="str">
        <f t="shared" si="106"/>
        <v/>
      </c>
      <c r="Z156" s="123" t="str">
        <f t="shared" si="105"/>
        <v/>
      </c>
      <c r="AA156" s="152"/>
      <c r="AB156" s="152"/>
      <c r="AC156" s="180"/>
      <c r="AD156" s="2"/>
      <c r="AE156" s="2"/>
      <c r="AF156" s="2"/>
      <c r="AG156" s="2"/>
      <c r="AH156" s="2"/>
      <c r="AI156" s="2"/>
      <c r="AJ156" s="2"/>
      <c r="AK156" s="2"/>
      <c r="AL156" s="2"/>
      <c r="AM156" s="2"/>
      <c r="AN156" s="2"/>
      <c r="AO156" s="1"/>
      <c r="AP156" s="1"/>
      <c r="AQ156" s="1"/>
      <c r="AR156" s="1"/>
      <c r="AS156" s="1"/>
      <c r="AT156" s="1"/>
      <c r="AU156" s="1"/>
      <c r="AV156" s="1"/>
      <c r="AW156" s="1"/>
      <c r="AX156" s="1"/>
      <c r="AY156" s="1"/>
    </row>
    <row r="157" spans="1:51" ht="17.25" thickBot="1" x14ac:dyDescent="0.35">
      <c r="A157" s="147"/>
      <c r="B157" s="97">
        <v>43727</v>
      </c>
      <c r="C157" s="103">
        <v>98</v>
      </c>
      <c r="D157" s="103"/>
      <c r="E157" s="103"/>
      <c r="F157" s="150"/>
      <c r="G157" s="150"/>
      <c r="H157" s="100">
        <v>658</v>
      </c>
      <c r="I157" s="7">
        <f t="shared" si="114"/>
        <v>3290</v>
      </c>
      <c r="J157" s="100"/>
      <c r="K157" s="7">
        <f t="shared" si="115"/>
        <v>0</v>
      </c>
      <c r="L157" s="100"/>
      <c r="M157" s="7">
        <f t="shared" si="116"/>
        <v>0</v>
      </c>
      <c r="N157" s="100"/>
      <c r="O157" s="7">
        <f t="shared" si="117"/>
        <v>0</v>
      </c>
      <c r="P157" s="100"/>
      <c r="Q157" s="7">
        <f t="shared" si="111"/>
        <v>0</v>
      </c>
      <c r="R157" s="100"/>
      <c r="S157" s="7">
        <f t="shared" si="112"/>
        <v>0</v>
      </c>
      <c r="T157" s="100"/>
      <c r="U157" s="7">
        <f t="shared" si="113"/>
        <v>0</v>
      </c>
      <c r="V157" s="8">
        <f t="shared" si="118"/>
        <v>0.11469009272816008</v>
      </c>
      <c r="W157" s="4">
        <f t="shared" si="95"/>
        <v>33.571428571428569</v>
      </c>
      <c r="X157" s="123">
        <f t="shared" si="104"/>
        <v>33.571428571428569</v>
      </c>
      <c r="Y157" s="123" t="str">
        <f t="shared" si="106"/>
        <v/>
      </c>
      <c r="Z157" s="123" t="str">
        <f t="shared" si="105"/>
        <v/>
      </c>
      <c r="AA157" s="152"/>
      <c r="AB157" s="152"/>
      <c r="AC157" s="180"/>
      <c r="AD157" s="2"/>
      <c r="AE157" s="2"/>
      <c r="AF157" s="2"/>
      <c r="AG157" s="2"/>
      <c r="AH157" s="2"/>
      <c r="AI157" s="2"/>
      <c r="AJ157" s="2"/>
      <c r="AK157" s="2"/>
      <c r="AL157" s="2"/>
      <c r="AM157" s="2"/>
      <c r="AN157" s="2"/>
      <c r="AO157" s="1"/>
      <c r="AP157" s="1"/>
      <c r="AQ157" s="1"/>
      <c r="AR157" s="1"/>
      <c r="AS157" s="1"/>
      <c r="AT157" s="1"/>
      <c r="AU157" s="1"/>
      <c r="AV157" s="1"/>
      <c r="AW157" s="1"/>
      <c r="AX157" s="1"/>
      <c r="AY157" s="1"/>
    </row>
    <row r="158" spans="1:51" ht="17.25" thickBot="1" x14ac:dyDescent="0.35">
      <c r="A158" s="147"/>
      <c r="B158" s="97">
        <v>43728</v>
      </c>
      <c r="C158" s="103">
        <v>123</v>
      </c>
      <c r="D158" s="103"/>
      <c r="E158" s="103"/>
      <c r="F158" s="150"/>
      <c r="G158" s="150"/>
      <c r="H158" s="100">
        <v>879</v>
      </c>
      <c r="I158" s="7">
        <f t="shared" si="114"/>
        <v>4395</v>
      </c>
      <c r="J158" s="100"/>
      <c r="K158" s="7">
        <f t="shared" si="115"/>
        <v>0</v>
      </c>
      <c r="L158" s="100"/>
      <c r="M158" s="7">
        <f t="shared" si="116"/>
        <v>0</v>
      </c>
      <c r="N158" s="100"/>
      <c r="O158" s="7">
        <f t="shared" si="117"/>
        <v>0</v>
      </c>
      <c r="P158" s="100"/>
      <c r="Q158" s="7">
        <f t="shared" si="111"/>
        <v>0</v>
      </c>
      <c r="R158" s="100"/>
      <c r="S158" s="7">
        <f t="shared" si="112"/>
        <v>0</v>
      </c>
      <c r="T158" s="100"/>
      <c r="U158" s="7">
        <f t="shared" si="113"/>
        <v>0</v>
      </c>
      <c r="V158" s="8">
        <f t="shared" si="118"/>
        <v>0.15321062539217736</v>
      </c>
      <c r="W158" s="4">
        <f t="shared" si="95"/>
        <v>35.731707317073173</v>
      </c>
      <c r="X158" s="123">
        <f t="shared" si="104"/>
        <v>35.731707317073173</v>
      </c>
      <c r="Y158" s="123" t="str">
        <f t="shared" si="106"/>
        <v/>
      </c>
      <c r="Z158" s="123" t="str">
        <f t="shared" si="105"/>
        <v/>
      </c>
      <c r="AA158" s="152"/>
      <c r="AB158" s="152"/>
      <c r="AC158" s="180"/>
      <c r="AD158" s="2"/>
      <c r="AE158" s="2"/>
      <c r="AF158" s="2"/>
      <c r="AG158" s="2"/>
      <c r="AH158" s="2"/>
      <c r="AI158" s="2"/>
      <c r="AJ158" s="2"/>
      <c r="AK158" s="2"/>
      <c r="AL158" s="2"/>
      <c r="AM158" s="2"/>
      <c r="AN158" s="2"/>
      <c r="AO158" s="1"/>
      <c r="AP158" s="1"/>
      <c r="AQ158" s="1"/>
      <c r="AR158" s="1"/>
      <c r="AS158" s="1"/>
      <c r="AT158" s="1"/>
      <c r="AU158" s="1"/>
      <c r="AV158" s="1"/>
      <c r="AW158" s="1"/>
      <c r="AX158" s="1"/>
      <c r="AY158" s="1"/>
    </row>
    <row r="159" spans="1:51" ht="17.25" thickBot="1" x14ac:dyDescent="0.35">
      <c r="A159" s="147"/>
      <c r="B159" s="98">
        <v>43729</v>
      </c>
      <c r="C159" s="104">
        <v>49.5</v>
      </c>
      <c r="D159" s="104"/>
      <c r="E159" s="104"/>
      <c r="F159" s="151"/>
      <c r="G159" s="151"/>
      <c r="H159" s="101">
        <v>350</v>
      </c>
      <c r="I159" s="7">
        <f t="shared" si="114"/>
        <v>1750</v>
      </c>
      <c r="J159" s="101"/>
      <c r="K159" s="7">
        <f t="shared" si="115"/>
        <v>0</v>
      </c>
      <c r="L159" s="101"/>
      <c r="M159" s="7">
        <f t="shared" si="116"/>
        <v>0</v>
      </c>
      <c r="N159" s="101"/>
      <c r="O159" s="7">
        <f t="shared" si="117"/>
        <v>0</v>
      </c>
      <c r="P159" s="101"/>
      <c r="Q159" s="7">
        <f t="shared" si="111"/>
        <v>0</v>
      </c>
      <c r="R159" s="101"/>
      <c r="S159" s="7">
        <f t="shared" si="112"/>
        <v>0</v>
      </c>
      <c r="T159" s="101"/>
      <c r="U159" s="7">
        <f t="shared" si="113"/>
        <v>0</v>
      </c>
      <c r="V159" s="8">
        <f t="shared" si="118"/>
        <v>6.1005368472425575E-2</v>
      </c>
      <c r="W159" s="74">
        <f t="shared" si="95"/>
        <v>35.353535353535356</v>
      </c>
      <c r="X159" s="124">
        <f t="shared" si="104"/>
        <v>35.353535353535356</v>
      </c>
      <c r="Y159" s="124" t="str">
        <f t="shared" si="106"/>
        <v/>
      </c>
      <c r="Z159" s="124" t="str">
        <f t="shared" si="105"/>
        <v/>
      </c>
      <c r="AA159" s="152"/>
      <c r="AB159" s="152"/>
      <c r="AC159" s="181"/>
      <c r="AD159" s="2"/>
      <c r="AE159" s="2"/>
      <c r="AF159" s="2"/>
      <c r="AG159" s="2"/>
      <c r="AH159" s="2"/>
      <c r="AI159" s="2"/>
      <c r="AJ159" s="2"/>
      <c r="AK159" s="2"/>
      <c r="AL159" s="2"/>
      <c r="AM159" s="2"/>
      <c r="AN159" s="2"/>
      <c r="AO159" s="1"/>
      <c r="AP159" s="1"/>
      <c r="AQ159" s="1"/>
      <c r="AR159" s="1"/>
      <c r="AS159" s="1"/>
      <c r="AT159" s="1"/>
      <c r="AU159" s="1"/>
      <c r="AV159" s="1"/>
      <c r="AW159" s="1"/>
      <c r="AX159" s="1"/>
      <c r="AY159" s="1"/>
    </row>
    <row r="160" spans="1:51" ht="17.25" thickBot="1" x14ac:dyDescent="0.35">
      <c r="A160" s="146">
        <v>39</v>
      </c>
      <c r="B160" s="105">
        <v>43731</v>
      </c>
      <c r="C160" s="102">
        <v>110.25</v>
      </c>
      <c r="D160" s="102"/>
      <c r="E160" s="102"/>
      <c r="F160" s="149">
        <f t="shared" ref="F160" si="130">SUM(M160:M165,O160:O165,Q160:Q165,S160:S165,I160:I165,K160:K165)</f>
        <v>22345</v>
      </c>
      <c r="G160" s="149">
        <f t="shared" ref="G160" si="131">SUM(M160:M165,O160:O165,Q160:Q165,S160:S165,U160:U165,K160:K165,I160:I165)</f>
        <v>22345</v>
      </c>
      <c r="H160" s="99">
        <v>855</v>
      </c>
      <c r="I160" s="40">
        <f t="shared" si="114"/>
        <v>4275</v>
      </c>
      <c r="J160" s="99"/>
      <c r="K160" s="40">
        <f t="shared" si="115"/>
        <v>0</v>
      </c>
      <c r="L160" s="99"/>
      <c r="M160" s="40">
        <f t="shared" si="116"/>
        <v>0</v>
      </c>
      <c r="N160" s="99"/>
      <c r="O160" s="40">
        <f t="shared" si="117"/>
        <v>0</v>
      </c>
      <c r="P160" s="99"/>
      <c r="Q160" s="40">
        <f t="shared" si="111"/>
        <v>0</v>
      </c>
      <c r="R160" s="99"/>
      <c r="S160" s="40">
        <f t="shared" si="112"/>
        <v>0</v>
      </c>
      <c r="T160" s="99"/>
      <c r="U160" s="40">
        <f t="shared" si="113"/>
        <v>0</v>
      </c>
      <c r="V160" s="34">
        <f t="shared" si="118"/>
        <v>0.14902740012549676</v>
      </c>
      <c r="W160" s="75">
        <f t="shared" si="95"/>
        <v>38.775510204081634</v>
      </c>
      <c r="X160" s="122">
        <f t="shared" si="104"/>
        <v>38.775510204081634</v>
      </c>
      <c r="Y160" s="122" t="str">
        <f t="shared" si="106"/>
        <v/>
      </c>
      <c r="Z160" s="122" t="str">
        <f t="shared" si="105"/>
        <v/>
      </c>
      <c r="AA160" s="152">
        <f>AVERAGE(W160:W165)</f>
        <v>39.715490533000761</v>
      </c>
      <c r="AB160" s="152">
        <f t="shared" ref="AB160" si="132">SUM(V160:V165)</f>
        <v>0.7789514048664854</v>
      </c>
      <c r="AC160" s="179">
        <v>0.51453670780171512</v>
      </c>
      <c r="AD160" s="2"/>
      <c r="AE160" s="2"/>
      <c r="AF160" s="2"/>
      <c r="AG160" s="2"/>
      <c r="AH160" s="2"/>
      <c r="AI160" s="2"/>
      <c r="AJ160" s="2"/>
      <c r="AK160" s="2"/>
      <c r="AL160" s="2"/>
      <c r="AM160" s="2"/>
      <c r="AN160" s="2"/>
      <c r="AO160" s="1"/>
      <c r="AP160" s="1"/>
      <c r="AQ160" s="1"/>
      <c r="AR160" s="1"/>
      <c r="AS160" s="1"/>
      <c r="AT160" s="1"/>
      <c r="AU160" s="1"/>
      <c r="AV160" s="1"/>
      <c r="AW160" s="1"/>
      <c r="AX160" s="1"/>
      <c r="AY160" s="1"/>
    </row>
    <row r="161" spans="1:51" ht="17.25" thickBot="1" x14ac:dyDescent="0.35">
      <c r="A161" s="147"/>
      <c r="B161" s="97">
        <v>43732</v>
      </c>
      <c r="C161" s="103">
        <v>112</v>
      </c>
      <c r="D161" s="103"/>
      <c r="E161" s="103"/>
      <c r="F161" s="150"/>
      <c r="G161" s="150"/>
      <c r="H161" s="100">
        <v>857</v>
      </c>
      <c r="I161" s="7">
        <f t="shared" si="114"/>
        <v>4285</v>
      </c>
      <c r="J161" s="100"/>
      <c r="K161" s="7">
        <f t="shared" si="115"/>
        <v>0</v>
      </c>
      <c r="L161" s="100"/>
      <c r="M161" s="7">
        <f t="shared" si="116"/>
        <v>0</v>
      </c>
      <c r="N161" s="100"/>
      <c r="O161" s="7">
        <f t="shared" si="117"/>
        <v>0</v>
      </c>
      <c r="P161" s="100"/>
      <c r="Q161" s="7">
        <f t="shared" si="111"/>
        <v>0</v>
      </c>
      <c r="R161" s="100"/>
      <c r="S161" s="7">
        <f t="shared" si="112"/>
        <v>0</v>
      </c>
      <c r="T161" s="100"/>
      <c r="U161" s="7">
        <f t="shared" si="113"/>
        <v>0</v>
      </c>
      <c r="V161" s="8">
        <f t="shared" si="118"/>
        <v>0.14937600223105346</v>
      </c>
      <c r="W161" s="4">
        <f t="shared" si="95"/>
        <v>38.258928571428569</v>
      </c>
      <c r="X161" s="123">
        <f t="shared" si="104"/>
        <v>38.258928571428569</v>
      </c>
      <c r="Y161" s="123" t="str">
        <f t="shared" si="106"/>
        <v/>
      </c>
      <c r="Z161" s="123" t="str">
        <f t="shared" si="105"/>
        <v/>
      </c>
      <c r="AA161" s="152"/>
      <c r="AB161" s="152"/>
      <c r="AC161" s="180"/>
      <c r="AD161" s="2"/>
      <c r="AE161" s="2"/>
      <c r="AF161" s="2"/>
      <c r="AG161" s="2"/>
      <c r="AH161" s="2"/>
      <c r="AI161" s="2"/>
      <c r="AJ161" s="2"/>
      <c r="AK161" s="2"/>
      <c r="AL161" s="2"/>
      <c r="AM161" s="2"/>
      <c r="AN161" s="2"/>
      <c r="AO161" s="1"/>
      <c r="AP161" s="1"/>
      <c r="AQ161" s="1"/>
      <c r="AR161" s="1"/>
      <c r="AS161" s="1"/>
      <c r="AT161" s="1"/>
      <c r="AU161" s="1"/>
      <c r="AV161" s="1"/>
      <c r="AW161" s="1"/>
      <c r="AX161" s="1"/>
      <c r="AY161" s="1"/>
    </row>
    <row r="162" spans="1:51" ht="17.25" thickBot="1" x14ac:dyDescent="0.35">
      <c r="A162" s="147"/>
      <c r="B162" s="97">
        <v>43733</v>
      </c>
      <c r="C162" s="103">
        <v>119</v>
      </c>
      <c r="D162" s="103"/>
      <c r="E162" s="103"/>
      <c r="F162" s="150"/>
      <c r="G162" s="150"/>
      <c r="H162" s="100">
        <v>963</v>
      </c>
      <c r="I162" s="7">
        <f t="shared" si="114"/>
        <v>4815</v>
      </c>
      <c r="J162" s="100"/>
      <c r="K162" s="7">
        <f t="shared" si="115"/>
        <v>0</v>
      </c>
      <c r="L162" s="100"/>
      <c r="M162" s="7">
        <f t="shared" si="116"/>
        <v>0</v>
      </c>
      <c r="N162" s="100"/>
      <c r="O162" s="7">
        <f t="shared" si="117"/>
        <v>0</v>
      </c>
      <c r="P162" s="100"/>
      <c r="Q162" s="7">
        <f t="shared" si="111"/>
        <v>0</v>
      </c>
      <c r="R162" s="100"/>
      <c r="S162" s="7">
        <f t="shared" si="112"/>
        <v>0</v>
      </c>
      <c r="T162" s="100"/>
      <c r="U162" s="7">
        <f t="shared" si="113"/>
        <v>0</v>
      </c>
      <c r="V162" s="8">
        <f t="shared" si="118"/>
        <v>0.1678519138255595</v>
      </c>
      <c r="W162" s="4">
        <f t="shared" si="95"/>
        <v>40.462184873949582</v>
      </c>
      <c r="X162" s="123">
        <f t="shared" si="104"/>
        <v>40.462184873949582</v>
      </c>
      <c r="Y162" s="123" t="str">
        <f t="shared" si="106"/>
        <v/>
      </c>
      <c r="Z162" s="123" t="str">
        <f t="shared" si="105"/>
        <v/>
      </c>
      <c r="AA162" s="152"/>
      <c r="AB162" s="152"/>
      <c r="AC162" s="180"/>
      <c r="AD162" s="2"/>
      <c r="AE162" s="2"/>
      <c r="AF162" s="2"/>
      <c r="AG162" s="2"/>
      <c r="AH162" s="2"/>
      <c r="AI162" s="2"/>
      <c r="AJ162" s="2"/>
      <c r="AK162" s="2"/>
      <c r="AL162" s="2"/>
      <c r="AM162" s="2"/>
      <c r="AN162" s="2"/>
      <c r="AO162" s="1"/>
      <c r="AP162" s="1"/>
      <c r="AQ162" s="1"/>
      <c r="AR162" s="1"/>
      <c r="AS162" s="1"/>
      <c r="AT162" s="1"/>
      <c r="AU162" s="1"/>
      <c r="AV162" s="1"/>
      <c r="AW162" s="1"/>
      <c r="AX162" s="1"/>
      <c r="AY162" s="1"/>
    </row>
    <row r="163" spans="1:51" ht="17.25" thickBot="1" x14ac:dyDescent="0.35">
      <c r="A163" s="147"/>
      <c r="B163" s="97">
        <v>43734</v>
      </c>
      <c r="C163" s="103">
        <v>96.5</v>
      </c>
      <c r="D163" s="103"/>
      <c r="E163" s="103"/>
      <c r="F163" s="150"/>
      <c r="G163" s="150"/>
      <c r="H163" s="100">
        <v>789</v>
      </c>
      <c r="I163" s="7">
        <f t="shared" si="114"/>
        <v>3945</v>
      </c>
      <c r="J163" s="100"/>
      <c r="K163" s="7">
        <f t="shared" si="115"/>
        <v>0</v>
      </c>
      <c r="L163" s="100"/>
      <c r="M163" s="7">
        <f t="shared" si="116"/>
        <v>0</v>
      </c>
      <c r="N163" s="100"/>
      <c r="O163" s="7">
        <f t="shared" si="117"/>
        <v>0</v>
      </c>
      <c r="P163" s="100"/>
      <c r="Q163" s="7">
        <f t="shared" si="111"/>
        <v>0</v>
      </c>
      <c r="R163" s="100"/>
      <c r="S163" s="7">
        <f t="shared" si="112"/>
        <v>0</v>
      </c>
      <c r="T163" s="100"/>
      <c r="U163" s="7">
        <f t="shared" si="113"/>
        <v>0</v>
      </c>
      <c r="V163" s="8">
        <f t="shared" si="118"/>
        <v>0.13752353064212508</v>
      </c>
      <c r="W163" s="4">
        <f t="shared" si="95"/>
        <v>40.880829015544045</v>
      </c>
      <c r="X163" s="123">
        <f t="shared" si="104"/>
        <v>40.880829015544045</v>
      </c>
      <c r="Y163" s="123" t="str">
        <f t="shared" si="106"/>
        <v/>
      </c>
      <c r="Z163" s="123" t="str">
        <f t="shared" si="105"/>
        <v/>
      </c>
      <c r="AA163" s="152"/>
      <c r="AB163" s="152"/>
      <c r="AC163" s="180"/>
      <c r="AD163" s="2"/>
      <c r="AE163" s="2"/>
      <c r="AF163" s="2"/>
      <c r="AG163" s="2"/>
      <c r="AH163" s="2"/>
      <c r="AI163" s="2"/>
      <c r="AJ163" s="2"/>
      <c r="AK163" s="2"/>
      <c r="AL163" s="2"/>
      <c r="AM163" s="2"/>
      <c r="AN163" s="2"/>
      <c r="AO163" s="1"/>
      <c r="AP163" s="1"/>
      <c r="AQ163" s="1"/>
      <c r="AR163" s="1"/>
      <c r="AS163" s="1"/>
      <c r="AT163" s="1"/>
      <c r="AU163" s="1"/>
      <c r="AV163" s="1"/>
      <c r="AW163" s="1"/>
      <c r="AX163" s="1"/>
      <c r="AY163" s="1"/>
    </row>
    <row r="164" spans="1:51" ht="17.25" thickBot="1" x14ac:dyDescent="0.35">
      <c r="A164" s="147"/>
      <c r="B164" s="97">
        <v>43735</v>
      </c>
      <c r="C164" s="103">
        <v>125</v>
      </c>
      <c r="D164" s="103"/>
      <c r="E164" s="103"/>
      <c r="F164" s="150"/>
      <c r="G164" s="150"/>
      <c r="H164" s="100">
        <v>1005</v>
      </c>
      <c r="I164" s="7">
        <f t="shared" si="114"/>
        <v>5025</v>
      </c>
      <c r="J164" s="100"/>
      <c r="K164" s="7">
        <f t="shared" si="115"/>
        <v>0</v>
      </c>
      <c r="L164" s="100"/>
      <c r="M164" s="7">
        <f t="shared" si="116"/>
        <v>0</v>
      </c>
      <c r="N164" s="100"/>
      <c r="O164" s="7">
        <f t="shared" si="117"/>
        <v>0</v>
      </c>
      <c r="P164" s="100"/>
      <c r="Q164" s="7">
        <f t="shared" si="111"/>
        <v>0</v>
      </c>
      <c r="R164" s="100"/>
      <c r="S164" s="7">
        <f t="shared" si="112"/>
        <v>0</v>
      </c>
      <c r="T164" s="100"/>
      <c r="U164" s="7">
        <f t="shared" si="113"/>
        <v>0</v>
      </c>
      <c r="V164" s="8">
        <f t="shared" si="118"/>
        <v>0.17517255804225057</v>
      </c>
      <c r="W164" s="4">
        <f t="shared" si="95"/>
        <v>40.200000000000003</v>
      </c>
      <c r="X164" s="123">
        <f t="shared" si="104"/>
        <v>40.200000000000003</v>
      </c>
      <c r="Y164" s="123" t="str">
        <f t="shared" si="106"/>
        <v/>
      </c>
      <c r="Z164" s="123" t="str">
        <f t="shared" si="105"/>
        <v/>
      </c>
      <c r="AA164" s="152"/>
      <c r="AB164" s="152"/>
      <c r="AC164" s="180"/>
      <c r="AD164" s="2"/>
      <c r="AE164" s="2"/>
      <c r="AF164" s="2"/>
      <c r="AG164" s="2"/>
      <c r="AH164" s="2"/>
      <c r="AI164" s="2"/>
      <c r="AJ164" s="2"/>
      <c r="AK164" s="2"/>
      <c r="AL164" s="2"/>
      <c r="AM164" s="2"/>
      <c r="AN164" s="2"/>
      <c r="AO164" s="1"/>
      <c r="AP164" s="1"/>
      <c r="AQ164" s="1"/>
      <c r="AR164" s="1"/>
      <c r="AS164" s="1"/>
      <c r="AT164" s="1"/>
      <c r="AU164" s="1"/>
      <c r="AV164" s="1"/>
      <c r="AW164" s="1"/>
      <c r="AX164" s="1"/>
      <c r="AY164" s="1"/>
    </row>
    <row r="165" spans="1:51" ht="17.25" thickBot="1" x14ac:dyDescent="0.35">
      <c r="A165" s="148"/>
      <c r="B165" s="98"/>
      <c r="C165" s="104"/>
      <c r="D165" s="104"/>
      <c r="E165" s="104"/>
      <c r="F165" s="151"/>
      <c r="G165" s="151"/>
      <c r="H165" s="101"/>
      <c r="I165" s="39">
        <f t="shared" si="114"/>
        <v>0</v>
      </c>
      <c r="J165" s="101"/>
      <c r="K165" s="39">
        <f t="shared" si="115"/>
        <v>0</v>
      </c>
      <c r="L165" s="101"/>
      <c r="M165" s="39">
        <f t="shared" si="116"/>
        <v>0</v>
      </c>
      <c r="N165" s="101"/>
      <c r="O165" s="39">
        <f t="shared" si="117"/>
        <v>0</v>
      </c>
      <c r="P165" s="101"/>
      <c r="Q165" s="39">
        <f t="shared" si="111"/>
        <v>0</v>
      </c>
      <c r="R165" s="101"/>
      <c r="S165" s="39">
        <f t="shared" si="112"/>
        <v>0</v>
      </c>
      <c r="T165" s="101"/>
      <c r="U165" s="39">
        <f t="shared" si="113"/>
        <v>0</v>
      </c>
      <c r="V165" s="36">
        <f t="shared" si="118"/>
        <v>0</v>
      </c>
      <c r="W165" s="74" t="str">
        <f t="shared" si="95"/>
        <v/>
      </c>
      <c r="X165" s="124" t="str">
        <f t="shared" si="104"/>
        <v/>
      </c>
      <c r="Y165" s="124" t="str">
        <f t="shared" si="106"/>
        <v/>
      </c>
      <c r="Z165" s="124" t="str">
        <f t="shared" si="105"/>
        <v/>
      </c>
      <c r="AA165" s="152"/>
      <c r="AB165" s="152"/>
      <c r="AC165" s="181"/>
      <c r="AD165" s="2"/>
      <c r="AE165" s="2"/>
      <c r="AF165" s="2"/>
      <c r="AG165" s="2"/>
      <c r="AH165" s="2"/>
      <c r="AI165" s="2"/>
      <c r="AJ165" s="2"/>
      <c r="AK165" s="2"/>
      <c r="AL165" s="2"/>
      <c r="AM165" s="2"/>
      <c r="AN165" s="2"/>
      <c r="AO165" s="1"/>
      <c r="AP165" s="1"/>
      <c r="AQ165" s="1"/>
      <c r="AR165" s="1"/>
      <c r="AS165" s="1"/>
      <c r="AT165" s="1"/>
      <c r="AU165" s="1"/>
      <c r="AV165" s="1"/>
      <c r="AW165" s="1"/>
      <c r="AX165" s="1"/>
      <c r="AY165" s="1"/>
    </row>
    <row r="166" spans="1:51" ht="17.25" thickBot="1" x14ac:dyDescent="0.35">
      <c r="A166" s="147">
        <v>40</v>
      </c>
      <c r="B166" s="105">
        <v>43738</v>
      </c>
      <c r="C166" s="102">
        <v>110.5</v>
      </c>
      <c r="D166" s="102"/>
      <c r="E166" s="102"/>
      <c r="F166" s="149">
        <f t="shared" ref="F166" si="133">SUM(M166:M171,O166:O171,Q166:Q171,S166:S171,I166:I171,K166:K171)</f>
        <v>14080</v>
      </c>
      <c r="G166" s="149">
        <f t="shared" ref="G166" si="134">SUM(M166:M171,O166:O171,Q166:Q171,S166:S171,U166:U171,K166:K171,I166:I171)</f>
        <v>14080</v>
      </c>
      <c r="H166" s="99">
        <v>835</v>
      </c>
      <c r="I166" s="7">
        <f t="shared" si="114"/>
        <v>4175</v>
      </c>
      <c r="J166" s="99"/>
      <c r="K166" s="7">
        <f t="shared" si="115"/>
        <v>0</v>
      </c>
      <c r="L166" s="99"/>
      <c r="M166" s="7">
        <f t="shared" si="116"/>
        <v>0</v>
      </c>
      <c r="N166" s="99"/>
      <c r="O166" s="7">
        <f t="shared" si="117"/>
        <v>0</v>
      </c>
      <c r="P166" s="99"/>
      <c r="Q166" s="7">
        <f t="shared" si="111"/>
        <v>0</v>
      </c>
      <c r="R166" s="99"/>
      <c r="S166" s="7">
        <f t="shared" si="112"/>
        <v>0</v>
      </c>
      <c r="T166" s="99"/>
      <c r="U166" s="7">
        <f t="shared" si="113"/>
        <v>0</v>
      </c>
      <c r="V166" s="8">
        <f t="shared" si="118"/>
        <v>0.14554137906992959</v>
      </c>
      <c r="W166" s="75">
        <f t="shared" si="95"/>
        <v>37.782805429864254</v>
      </c>
      <c r="X166" s="122">
        <f t="shared" si="104"/>
        <v>37.782805429864254</v>
      </c>
      <c r="Y166" s="122" t="str">
        <f t="shared" si="106"/>
        <v/>
      </c>
      <c r="Z166" s="122" t="str">
        <f t="shared" si="105"/>
        <v/>
      </c>
      <c r="AA166" s="152">
        <f t="shared" ref="AA166" si="135">AVERAGE(W166:W171)</f>
        <v>34.921146731551843</v>
      </c>
      <c r="AB166" s="152">
        <f t="shared" ref="AB166" si="136">SUM(V166:V171)</f>
        <v>0.49083176462385836</v>
      </c>
      <c r="AC166" s="179">
        <v>0.38224220874294085</v>
      </c>
      <c r="AD166" s="2"/>
      <c r="AE166" s="2"/>
      <c r="AF166" s="2"/>
      <c r="AG166" s="2"/>
      <c r="AH166" s="2"/>
      <c r="AI166" s="2"/>
      <c r="AJ166" s="2"/>
      <c r="AK166" s="2"/>
      <c r="AL166" s="2"/>
      <c r="AM166" s="2"/>
      <c r="AN166" s="2"/>
      <c r="AO166" s="1"/>
      <c r="AP166" s="1"/>
      <c r="AQ166" s="1"/>
      <c r="AR166" s="1"/>
      <c r="AS166" s="1"/>
      <c r="AT166" s="1"/>
      <c r="AU166" s="1"/>
      <c r="AV166" s="1"/>
      <c r="AW166" s="1"/>
      <c r="AX166" s="1"/>
      <c r="AY166" s="1"/>
    </row>
    <row r="167" spans="1:51" ht="17.25" thickBot="1" x14ac:dyDescent="0.35">
      <c r="A167" s="147"/>
      <c r="B167" s="97">
        <v>43739</v>
      </c>
      <c r="C167" s="103">
        <v>106</v>
      </c>
      <c r="D167" s="103"/>
      <c r="E167" s="103"/>
      <c r="F167" s="150"/>
      <c r="G167" s="150"/>
      <c r="H167" s="100">
        <v>741</v>
      </c>
      <c r="I167" s="7">
        <f t="shared" si="114"/>
        <v>3705</v>
      </c>
      <c r="J167" s="100"/>
      <c r="K167" s="7">
        <f t="shared" si="115"/>
        <v>0</v>
      </c>
      <c r="L167" s="100"/>
      <c r="M167" s="7">
        <f t="shared" si="116"/>
        <v>0</v>
      </c>
      <c r="N167" s="100"/>
      <c r="O167" s="7">
        <f t="shared" si="117"/>
        <v>0</v>
      </c>
      <c r="P167" s="100"/>
      <c r="Q167" s="7">
        <f t="shared" si="111"/>
        <v>0</v>
      </c>
      <c r="R167" s="100"/>
      <c r="S167" s="7">
        <f t="shared" si="112"/>
        <v>0</v>
      </c>
      <c r="T167" s="100"/>
      <c r="U167" s="7">
        <f t="shared" si="113"/>
        <v>0</v>
      </c>
      <c r="V167" s="8">
        <f t="shared" si="118"/>
        <v>0.12915708010876387</v>
      </c>
      <c r="W167" s="4">
        <f t="shared" si="95"/>
        <v>34.952830188679243</v>
      </c>
      <c r="X167" s="123">
        <f t="shared" si="104"/>
        <v>34.952830188679243</v>
      </c>
      <c r="Y167" s="123" t="str">
        <f t="shared" si="106"/>
        <v/>
      </c>
      <c r="Z167" s="123" t="str">
        <f t="shared" si="105"/>
        <v/>
      </c>
      <c r="AA167" s="152"/>
      <c r="AB167" s="152"/>
      <c r="AC167" s="180"/>
      <c r="AD167" s="2"/>
      <c r="AE167" s="2"/>
      <c r="AF167" s="2"/>
      <c r="AG167" s="2"/>
      <c r="AH167" s="2"/>
      <c r="AI167" s="2"/>
      <c r="AJ167" s="2"/>
      <c r="AK167" s="2"/>
      <c r="AL167" s="2"/>
      <c r="AM167" s="2"/>
      <c r="AN167" s="2"/>
      <c r="AO167" s="1"/>
      <c r="AP167" s="1"/>
      <c r="AQ167" s="1"/>
      <c r="AR167" s="1"/>
      <c r="AS167" s="1"/>
      <c r="AT167" s="1"/>
      <c r="AU167" s="1"/>
      <c r="AV167" s="1"/>
      <c r="AW167" s="1"/>
      <c r="AX167" s="1"/>
      <c r="AY167" s="1"/>
    </row>
    <row r="168" spans="1:51" ht="17.25" thickBot="1" x14ac:dyDescent="0.35">
      <c r="A168" s="147"/>
      <c r="B168" s="97">
        <v>43740</v>
      </c>
      <c r="C168" s="103">
        <v>85</v>
      </c>
      <c r="D168" s="103"/>
      <c r="E168" s="103"/>
      <c r="F168" s="150"/>
      <c r="G168" s="150"/>
      <c r="H168" s="100">
        <v>557</v>
      </c>
      <c r="I168" s="7">
        <f t="shared" si="114"/>
        <v>2785</v>
      </c>
      <c r="J168" s="100"/>
      <c r="K168" s="7">
        <f t="shared" si="115"/>
        <v>0</v>
      </c>
      <c r="L168" s="100"/>
      <c r="M168" s="7">
        <f t="shared" si="116"/>
        <v>0</v>
      </c>
      <c r="N168" s="100"/>
      <c r="O168" s="7">
        <f t="shared" si="117"/>
        <v>0</v>
      </c>
      <c r="P168" s="100"/>
      <c r="Q168" s="7">
        <f t="shared" si="111"/>
        <v>0</v>
      </c>
      <c r="R168" s="100"/>
      <c r="S168" s="7">
        <f t="shared" si="112"/>
        <v>0</v>
      </c>
      <c r="T168" s="100"/>
      <c r="U168" s="7">
        <f t="shared" si="113"/>
        <v>0</v>
      </c>
      <c r="V168" s="8">
        <f t="shared" si="118"/>
        <v>9.7085686397545848E-2</v>
      </c>
      <c r="W168" s="4">
        <f t="shared" si="95"/>
        <v>32.764705882352942</v>
      </c>
      <c r="X168" s="123">
        <f t="shared" si="104"/>
        <v>32.764705882352942</v>
      </c>
      <c r="Y168" s="123" t="str">
        <f t="shared" si="106"/>
        <v/>
      </c>
      <c r="Z168" s="123" t="str">
        <f t="shared" si="105"/>
        <v/>
      </c>
      <c r="AA168" s="152"/>
      <c r="AB168" s="152"/>
      <c r="AC168" s="180"/>
      <c r="AD168" s="2"/>
      <c r="AE168" s="2"/>
      <c r="AF168" s="2"/>
      <c r="AG168" s="2"/>
      <c r="AH168" s="2"/>
      <c r="AI168" s="2"/>
      <c r="AJ168" s="2"/>
      <c r="AK168" s="2"/>
      <c r="AL168" s="2"/>
      <c r="AM168" s="2"/>
      <c r="AN168" s="2"/>
      <c r="AO168" s="1"/>
      <c r="AP168" s="1"/>
      <c r="AQ168" s="1"/>
      <c r="AR168" s="1"/>
      <c r="AS168" s="1"/>
      <c r="AT168" s="1"/>
      <c r="AU168" s="1"/>
      <c r="AV168" s="1"/>
      <c r="AW168" s="1"/>
      <c r="AX168" s="1"/>
      <c r="AY168" s="1"/>
    </row>
    <row r="169" spans="1:51" ht="17.25" thickBot="1" x14ac:dyDescent="0.35">
      <c r="A169" s="147"/>
      <c r="B169" s="97">
        <v>43741</v>
      </c>
      <c r="C169" s="103">
        <v>51</v>
      </c>
      <c r="D169" s="103"/>
      <c r="E169" s="103"/>
      <c r="F169" s="150"/>
      <c r="G169" s="150"/>
      <c r="H169" s="100">
        <v>333</v>
      </c>
      <c r="I169" s="7">
        <f t="shared" si="114"/>
        <v>1665</v>
      </c>
      <c r="J169" s="100"/>
      <c r="K169" s="7">
        <f t="shared" si="115"/>
        <v>0</v>
      </c>
      <c r="L169" s="100"/>
      <c r="M169" s="7">
        <f t="shared" si="116"/>
        <v>0</v>
      </c>
      <c r="N169" s="100"/>
      <c r="O169" s="7">
        <f t="shared" si="117"/>
        <v>0</v>
      </c>
      <c r="P169" s="100"/>
      <c r="Q169" s="7">
        <f t="shared" si="111"/>
        <v>0</v>
      </c>
      <c r="R169" s="100"/>
      <c r="S169" s="7">
        <f t="shared" si="112"/>
        <v>0</v>
      </c>
      <c r="T169" s="100"/>
      <c r="U169" s="7">
        <f t="shared" si="113"/>
        <v>0</v>
      </c>
      <c r="V169" s="8">
        <f t="shared" si="118"/>
        <v>5.8042250575193473E-2</v>
      </c>
      <c r="W169" s="4">
        <f t="shared" si="95"/>
        <v>32.647058823529413</v>
      </c>
      <c r="X169" s="123">
        <f t="shared" si="104"/>
        <v>32.647058823529413</v>
      </c>
      <c r="Y169" s="123" t="str">
        <f t="shared" si="106"/>
        <v/>
      </c>
      <c r="Z169" s="123" t="str">
        <f t="shared" si="105"/>
        <v/>
      </c>
      <c r="AA169" s="152"/>
      <c r="AB169" s="152"/>
      <c r="AC169" s="180"/>
      <c r="AD169" s="2"/>
      <c r="AE169" s="2"/>
      <c r="AF169" s="2"/>
      <c r="AG169" s="2"/>
      <c r="AH169" s="2"/>
      <c r="AI169" s="2"/>
      <c r="AJ169" s="2"/>
      <c r="AK169" s="2"/>
      <c r="AL169" s="2"/>
      <c r="AM169" s="2"/>
      <c r="AN169" s="2"/>
      <c r="AO169" s="1"/>
      <c r="AP169" s="1"/>
      <c r="AQ169" s="1"/>
      <c r="AR169" s="1"/>
      <c r="AS169" s="1"/>
      <c r="AT169" s="1"/>
      <c r="AU169" s="1"/>
      <c r="AV169" s="1"/>
      <c r="AW169" s="1"/>
      <c r="AX169" s="1"/>
      <c r="AY169" s="1"/>
    </row>
    <row r="170" spans="1:51" ht="17.25" thickBot="1" x14ac:dyDescent="0.35">
      <c r="A170" s="147"/>
      <c r="B170" s="97">
        <v>43742</v>
      </c>
      <c r="C170" s="103">
        <v>48</v>
      </c>
      <c r="D170" s="103"/>
      <c r="E170" s="103"/>
      <c r="F170" s="150"/>
      <c r="G170" s="150"/>
      <c r="H170" s="100">
        <v>350</v>
      </c>
      <c r="I170" s="7">
        <f t="shared" si="114"/>
        <v>1750</v>
      </c>
      <c r="J170" s="100"/>
      <c r="K170" s="7">
        <f t="shared" si="115"/>
        <v>0</v>
      </c>
      <c r="L170" s="100"/>
      <c r="M170" s="7">
        <f t="shared" si="116"/>
        <v>0</v>
      </c>
      <c r="N170" s="100"/>
      <c r="O170" s="7">
        <f t="shared" si="117"/>
        <v>0</v>
      </c>
      <c r="P170" s="100"/>
      <c r="Q170" s="7">
        <f t="shared" si="111"/>
        <v>0</v>
      </c>
      <c r="R170" s="100"/>
      <c r="S170" s="7">
        <f t="shared" si="112"/>
        <v>0</v>
      </c>
      <c r="T170" s="100"/>
      <c r="U170" s="7">
        <f t="shared" si="113"/>
        <v>0</v>
      </c>
      <c r="V170" s="8">
        <f t="shared" si="118"/>
        <v>6.1005368472425575E-2</v>
      </c>
      <c r="W170" s="4">
        <f t="shared" si="95"/>
        <v>36.458333333333336</v>
      </c>
      <c r="X170" s="123">
        <f t="shared" si="104"/>
        <v>36.458333333333336</v>
      </c>
      <c r="Y170" s="123" t="str">
        <f t="shared" si="106"/>
        <v/>
      </c>
      <c r="Z170" s="123" t="str">
        <f t="shared" si="105"/>
        <v/>
      </c>
      <c r="AA170" s="152"/>
      <c r="AB170" s="152"/>
      <c r="AC170" s="180"/>
      <c r="AD170" s="2"/>
      <c r="AE170" s="2"/>
      <c r="AF170" s="2"/>
      <c r="AG170" s="2"/>
      <c r="AH170" s="2"/>
      <c r="AI170" s="2"/>
      <c r="AJ170" s="2"/>
      <c r="AK170" s="2"/>
      <c r="AL170" s="2"/>
      <c r="AM170" s="2"/>
      <c r="AN170" s="2"/>
      <c r="AO170" s="1"/>
      <c r="AP170" s="1"/>
      <c r="AQ170" s="1"/>
      <c r="AR170" s="1"/>
      <c r="AS170" s="1"/>
      <c r="AT170" s="1"/>
      <c r="AU170" s="1"/>
      <c r="AV170" s="1"/>
      <c r="AW170" s="1"/>
      <c r="AX170" s="1"/>
      <c r="AY170" s="1"/>
    </row>
    <row r="171" spans="1:51" ht="17.25" thickBot="1" x14ac:dyDescent="0.35">
      <c r="A171" s="147"/>
      <c r="B171" s="98"/>
      <c r="C171" s="104"/>
      <c r="D171" s="104"/>
      <c r="E171" s="104"/>
      <c r="F171" s="151"/>
      <c r="G171" s="151"/>
      <c r="H171" s="101"/>
      <c r="I171" s="7">
        <f t="shared" si="114"/>
        <v>0</v>
      </c>
      <c r="J171" s="101"/>
      <c r="K171" s="7">
        <f t="shared" si="115"/>
        <v>0</v>
      </c>
      <c r="L171" s="101"/>
      <c r="M171" s="7">
        <f t="shared" si="116"/>
        <v>0</v>
      </c>
      <c r="N171" s="101"/>
      <c r="O171" s="7">
        <f t="shared" si="117"/>
        <v>0</v>
      </c>
      <c r="P171" s="101"/>
      <c r="Q171" s="7">
        <f t="shared" si="111"/>
        <v>0</v>
      </c>
      <c r="R171" s="101"/>
      <c r="S171" s="7">
        <f t="shared" si="112"/>
        <v>0</v>
      </c>
      <c r="T171" s="101"/>
      <c r="U171" s="7">
        <f t="shared" si="113"/>
        <v>0</v>
      </c>
      <c r="V171" s="8">
        <f t="shared" si="118"/>
        <v>0</v>
      </c>
      <c r="W171" s="74" t="str">
        <f t="shared" si="95"/>
        <v/>
      </c>
      <c r="X171" s="124" t="str">
        <f t="shared" si="104"/>
        <v/>
      </c>
      <c r="Y171" s="124" t="str">
        <f t="shared" si="106"/>
        <v/>
      </c>
      <c r="Z171" s="124" t="str">
        <f t="shared" si="105"/>
        <v/>
      </c>
      <c r="AA171" s="152"/>
      <c r="AB171" s="152"/>
      <c r="AC171" s="181"/>
      <c r="AD171" s="2"/>
      <c r="AE171" s="2"/>
      <c r="AF171" s="2"/>
      <c r="AG171" s="2"/>
      <c r="AH171" s="2"/>
      <c r="AI171" s="2"/>
      <c r="AJ171" s="2"/>
      <c r="AK171" s="2"/>
      <c r="AL171" s="2"/>
      <c r="AM171" s="2"/>
      <c r="AN171" s="2"/>
      <c r="AO171" s="1"/>
      <c r="AP171" s="1"/>
      <c r="AQ171" s="1"/>
      <c r="AR171" s="1"/>
      <c r="AS171" s="1"/>
      <c r="AT171" s="1"/>
      <c r="AU171" s="1"/>
      <c r="AV171" s="1"/>
      <c r="AW171" s="1"/>
      <c r="AX171" s="1"/>
      <c r="AY171" s="1"/>
    </row>
    <row r="172" spans="1:51" ht="17.25" thickBot="1" x14ac:dyDescent="0.35">
      <c r="A172" s="146">
        <v>41</v>
      </c>
      <c r="B172" s="105">
        <v>43745</v>
      </c>
      <c r="C172" s="102">
        <v>90</v>
      </c>
      <c r="D172" s="102"/>
      <c r="E172" s="102"/>
      <c r="F172" s="149">
        <f t="shared" ref="F172" si="137">SUM(M172:M177,O172:O177,Q172:Q177,S172:S177,I172:I177,K172:K177)</f>
        <v>21565</v>
      </c>
      <c r="G172" s="149">
        <f t="shared" ref="G172" si="138">SUM(M172:M177,O172:O177,Q172:Q177,S172:S177,U172:U177,K172:K177,I172:I177)</f>
        <v>21565</v>
      </c>
      <c r="H172" s="99">
        <v>829</v>
      </c>
      <c r="I172" s="40">
        <f t="shared" si="114"/>
        <v>4145</v>
      </c>
      <c r="J172" s="99"/>
      <c r="K172" s="40">
        <f t="shared" si="115"/>
        <v>0</v>
      </c>
      <c r="L172" s="99"/>
      <c r="M172" s="40">
        <f t="shared" si="116"/>
        <v>0</v>
      </c>
      <c r="N172" s="99"/>
      <c r="O172" s="40">
        <f t="shared" si="117"/>
        <v>0</v>
      </c>
      <c r="P172" s="99"/>
      <c r="Q172" s="40">
        <f t="shared" si="111"/>
        <v>0</v>
      </c>
      <c r="R172" s="99"/>
      <c r="S172" s="40">
        <f t="shared" si="112"/>
        <v>0</v>
      </c>
      <c r="T172" s="99"/>
      <c r="U172" s="40">
        <f t="shared" si="113"/>
        <v>0</v>
      </c>
      <c r="V172" s="34">
        <f t="shared" si="118"/>
        <v>0.14449557275325942</v>
      </c>
      <c r="W172" s="75">
        <f t="shared" si="95"/>
        <v>46.055555555555557</v>
      </c>
      <c r="X172" s="122">
        <f t="shared" si="104"/>
        <v>46.055555555555557</v>
      </c>
      <c r="Y172" s="122" t="str">
        <f t="shared" si="106"/>
        <v/>
      </c>
      <c r="Z172" s="122" t="str">
        <f t="shared" si="105"/>
        <v/>
      </c>
      <c r="AA172" s="152">
        <f>AVERAGE(W172:W177)</f>
        <v>43.538467908902689</v>
      </c>
      <c r="AB172" s="152">
        <f t="shared" ref="AB172" si="139">SUM(V172:V177)</f>
        <v>0.75176044063306136</v>
      </c>
      <c r="AC172" s="179">
        <v>0.43732134142090218</v>
      </c>
      <c r="AD172" s="2"/>
      <c r="AE172" s="2"/>
      <c r="AF172" s="2"/>
      <c r="AG172" s="2"/>
      <c r="AH172" s="2"/>
      <c r="AI172" s="2"/>
      <c r="AJ172" s="2"/>
      <c r="AK172" s="2"/>
      <c r="AL172" s="2"/>
      <c r="AM172" s="2"/>
      <c r="AN172" s="2"/>
      <c r="AO172" s="1"/>
      <c r="AP172" s="1"/>
      <c r="AQ172" s="1"/>
      <c r="AR172" s="1"/>
      <c r="AS172" s="1"/>
      <c r="AT172" s="1"/>
      <c r="AU172" s="1"/>
      <c r="AV172" s="1"/>
      <c r="AW172" s="1"/>
      <c r="AX172" s="1"/>
      <c r="AY172" s="1"/>
    </row>
    <row r="173" spans="1:51" ht="17.25" thickBot="1" x14ac:dyDescent="0.35">
      <c r="A173" s="147"/>
      <c r="B173" s="97">
        <v>43746</v>
      </c>
      <c r="C173" s="103">
        <v>94.5</v>
      </c>
      <c r="D173" s="103"/>
      <c r="E173" s="103"/>
      <c r="F173" s="150"/>
      <c r="G173" s="150"/>
      <c r="H173" s="100">
        <v>776</v>
      </c>
      <c r="I173" s="7">
        <f t="shared" si="114"/>
        <v>3880</v>
      </c>
      <c r="J173" s="100"/>
      <c r="K173" s="7">
        <f t="shared" si="115"/>
        <v>0</v>
      </c>
      <c r="L173" s="100"/>
      <c r="M173" s="7">
        <f t="shared" si="116"/>
        <v>0</v>
      </c>
      <c r="N173" s="100"/>
      <c r="O173" s="7">
        <f t="shared" si="117"/>
        <v>0</v>
      </c>
      <c r="P173" s="100"/>
      <c r="Q173" s="7">
        <f t="shared" si="111"/>
        <v>0</v>
      </c>
      <c r="R173" s="100"/>
      <c r="S173" s="7">
        <f t="shared" si="112"/>
        <v>0</v>
      </c>
      <c r="T173" s="100"/>
      <c r="U173" s="7">
        <f t="shared" si="113"/>
        <v>0</v>
      </c>
      <c r="V173" s="8">
        <f t="shared" si="118"/>
        <v>0.13525761695600641</v>
      </c>
      <c r="W173" s="4">
        <f t="shared" si="95"/>
        <v>41.058201058201057</v>
      </c>
      <c r="X173" s="123">
        <f t="shared" si="104"/>
        <v>41.058201058201057</v>
      </c>
      <c r="Y173" s="123" t="str">
        <f t="shared" si="106"/>
        <v/>
      </c>
      <c r="Z173" s="123" t="str">
        <f t="shared" si="105"/>
        <v/>
      </c>
      <c r="AA173" s="152"/>
      <c r="AB173" s="152"/>
      <c r="AC173" s="180"/>
      <c r="AD173" s="2"/>
      <c r="AE173" s="2"/>
      <c r="AF173" s="2"/>
      <c r="AG173" s="2"/>
      <c r="AH173" s="2"/>
      <c r="AI173" s="2"/>
      <c r="AJ173" s="2"/>
      <c r="AK173" s="2"/>
      <c r="AL173" s="2"/>
      <c r="AM173" s="2"/>
      <c r="AN173" s="2"/>
      <c r="AO173" s="1"/>
      <c r="AP173" s="1"/>
      <c r="AQ173" s="1"/>
      <c r="AR173" s="1"/>
      <c r="AS173" s="1"/>
      <c r="AT173" s="1"/>
      <c r="AU173" s="1"/>
      <c r="AV173" s="1"/>
      <c r="AW173" s="1"/>
      <c r="AX173" s="1"/>
      <c r="AY173" s="1"/>
    </row>
    <row r="174" spans="1:51" ht="17.25" thickBot="1" x14ac:dyDescent="0.35">
      <c r="A174" s="147"/>
      <c r="B174" s="97">
        <v>43747</v>
      </c>
      <c r="C174" s="103">
        <v>103.5</v>
      </c>
      <c r="D174" s="103"/>
      <c r="E174" s="103"/>
      <c r="F174" s="150"/>
      <c r="G174" s="150"/>
      <c r="H174" s="100">
        <v>902</v>
      </c>
      <c r="I174" s="7">
        <f t="shared" si="114"/>
        <v>4510</v>
      </c>
      <c r="J174" s="100"/>
      <c r="K174" s="7">
        <f t="shared" si="115"/>
        <v>0</v>
      </c>
      <c r="L174" s="100"/>
      <c r="M174" s="7">
        <f t="shared" si="116"/>
        <v>0</v>
      </c>
      <c r="N174" s="100"/>
      <c r="O174" s="7">
        <f t="shared" si="117"/>
        <v>0</v>
      </c>
      <c r="P174" s="100"/>
      <c r="Q174" s="7">
        <f t="shared" si="111"/>
        <v>0</v>
      </c>
      <c r="R174" s="100"/>
      <c r="S174" s="7">
        <f t="shared" si="112"/>
        <v>0</v>
      </c>
      <c r="T174" s="100"/>
      <c r="U174" s="7">
        <f t="shared" si="113"/>
        <v>0</v>
      </c>
      <c r="V174" s="8">
        <f t="shared" si="118"/>
        <v>0.15721954960607962</v>
      </c>
      <c r="W174" s="4">
        <f t="shared" si="95"/>
        <v>43.574879227053138</v>
      </c>
      <c r="X174" s="123">
        <f t="shared" si="104"/>
        <v>43.574879227053138</v>
      </c>
      <c r="Y174" s="123" t="str">
        <f t="shared" si="106"/>
        <v/>
      </c>
      <c r="Z174" s="123" t="str">
        <f t="shared" si="105"/>
        <v/>
      </c>
      <c r="AA174" s="152"/>
      <c r="AB174" s="152"/>
      <c r="AC174" s="180"/>
      <c r="AD174" s="2"/>
      <c r="AE174" s="2"/>
      <c r="AF174" s="2"/>
      <c r="AG174" s="2"/>
      <c r="AH174" s="2"/>
      <c r="AI174" s="2"/>
      <c r="AJ174" s="2"/>
      <c r="AK174" s="2"/>
      <c r="AL174" s="2"/>
      <c r="AM174" s="2"/>
      <c r="AN174" s="2"/>
      <c r="AO174" s="1"/>
      <c r="AP174" s="1"/>
      <c r="AQ174" s="1"/>
      <c r="AR174" s="1"/>
      <c r="AS174" s="1"/>
      <c r="AT174" s="1"/>
      <c r="AU174" s="1"/>
      <c r="AV174" s="1"/>
      <c r="AW174" s="1"/>
      <c r="AX174" s="1"/>
      <c r="AY174" s="1"/>
    </row>
    <row r="175" spans="1:51" ht="17.25" thickBot="1" x14ac:dyDescent="0.35">
      <c r="A175" s="147"/>
      <c r="B175" s="97">
        <v>43748</v>
      </c>
      <c r="C175" s="103">
        <v>100</v>
      </c>
      <c r="D175" s="103"/>
      <c r="E175" s="103"/>
      <c r="F175" s="150"/>
      <c r="G175" s="150"/>
      <c r="H175" s="100">
        <v>916</v>
      </c>
      <c r="I175" s="7">
        <f t="shared" si="114"/>
        <v>4580</v>
      </c>
      <c r="J175" s="100"/>
      <c r="K175" s="7">
        <f t="shared" si="115"/>
        <v>0</v>
      </c>
      <c r="L175" s="100"/>
      <c r="M175" s="7">
        <f t="shared" si="116"/>
        <v>0</v>
      </c>
      <c r="N175" s="100"/>
      <c r="O175" s="7">
        <f t="shared" si="117"/>
        <v>0</v>
      </c>
      <c r="P175" s="100"/>
      <c r="Q175" s="7">
        <f t="shared" si="111"/>
        <v>0</v>
      </c>
      <c r="R175" s="100"/>
      <c r="S175" s="7">
        <f t="shared" si="112"/>
        <v>0</v>
      </c>
      <c r="T175" s="100"/>
      <c r="U175" s="7">
        <f t="shared" si="113"/>
        <v>0</v>
      </c>
      <c r="V175" s="8">
        <f t="shared" si="118"/>
        <v>0.15965976434497664</v>
      </c>
      <c r="W175" s="4">
        <f t="shared" si="95"/>
        <v>45.8</v>
      </c>
      <c r="X175" s="123">
        <f t="shared" si="104"/>
        <v>45.8</v>
      </c>
      <c r="Y175" s="123" t="str">
        <f t="shared" si="106"/>
        <v/>
      </c>
      <c r="Z175" s="123" t="str">
        <f t="shared" si="105"/>
        <v/>
      </c>
      <c r="AA175" s="152"/>
      <c r="AB175" s="152"/>
      <c r="AC175" s="180"/>
      <c r="AD175" s="2"/>
      <c r="AE175" s="2"/>
      <c r="AF175" s="2"/>
      <c r="AG175" s="2"/>
      <c r="AH175" s="2"/>
      <c r="AI175" s="2"/>
      <c r="AJ175" s="2"/>
      <c r="AK175" s="2"/>
      <c r="AL175" s="2"/>
      <c r="AM175" s="2"/>
      <c r="AN175" s="2"/>
      <c r="AO175" s="1"/>
      <c r="AP175" s="1"/>
      <c r="AQ175" s="1"/>
      <c r="AR175" s="1"/>
      <c r="AS175" s="1"/>
      <c r="AT175" s="1"/>
      <c r="AU175" s="1"/>
      <c r="AV175" s="1"/>
      <c r="AW175" s="1"/>
      <c r="AX175" s="1"/>
      <c r="AY175" s="1"/>
    </row>
    <row r="176" spans="1:51" ht="17.25" thickBot="1" x14ac:dyDescent="0.35">
      <c r="A176" s="147"/>
      <c r="B176" s="97">
        <v>43749</v>
      </c>
      <c r="C176" s="103">
        <v>108</v>
      </c>
      <c r="D176" s="103"/>
      <c r="E176" s="103"/>
      <c r="F176" s="150"/>
      <c r="G176" s="150"/>
      <c r="H176" s="100">
        <v>890</v>
      </c>
      <c r="I176" s="7">
        <f t="shared" si="114"/>
        <v>4450</v>
      </c>
      <c r="J176" s="100"/>
      <c r="K176" s="7">
        <f t="shared" si="115"/>
        <v>0</v>
      </c>
      <c r="L176" s="100"/>
      <c r="M176" s="7">
        <f t="shared" si="116"/>
        <v>0</v>
      </c>
      <c r="N176" s="100"/>
      <c r="O176" s="7">
        <f t="shared" si="117"/>
        <v>0</v>
      </c>
      <c r="P176" s="100"/>
      <c r="Q176" s="7">
        <f t="shared" si="111"/>
        <v>0</v>
      </c>
      <c r="R176" s="100"/>
      <c r="S176" s="7">
        <f t="shared" si="112"/>
        <v>0</v>
      </c>
      <c r="T176" s="100"/>
      <c r="U176" s="7">
        <f t="shared" si="113"/>
        <v>0</v>
      </c>
      <c r="V176" s="8">
        <f t="shared" si="118"/>
        <v>0.15512793697273933</v>
      </c>
      <c r="W176" s="4">
        <f t="shared" si="95"/>
        <v>41.203703703703702</v>
      </c>
      <c r="X176" s="123">
        <f t="shared" si="104"/>
        <v>41.203703703703702</v>
      </c>
      <c r="Y176" s="123" t="str">
        <f t="shared" si="106"/>
        <v/>
      </c>
      <c r="Z176" s="123" t="str">
        <f t="shared" si="105"/>
        <v/>
      </c>
      <c r="AA176" s="152"/>
      <c r="AB176" s="152"/>
      <c r="AC176" s="180"/>
      <c r="AD176" s="2"/>
      <c r="AE176" s="2"/>
      <c r="AF176" s="2"/>
      <c r="AG176" s="2"/>
      <c r="AH176" s="2"/>
      <c r="AI176" s="2"/>
      <c r="AJ176" s="2"/>
      <c r="AK176" s="2"/>
      <c r="AL176" s="2"/>
      <c r="AM176" s="2"/>
      <c r="AN176" s="2"/>
      <c r="AO176" s="1"/>
      <c r="AP176" s="1"/>
      <c r="AQ176" s="1"/>
      <c r="AR176" s="1"/>
      <c r="AS176" s="1"/>
      <c r="AT176" s="1"/>
      <c r="AU176" s="1"/>
      <c r="AV176" s="1"/>
      <c r="AW176" s="1"/>
      <c r="AX176" s="1"/>
      <c r="AY176" s="1"/>
    </row>
    <row r="177" spans="1:51" ht="17.25" thickBot="1" x14ac:dyDescent="0.35">
      <c r="A177" s="148"/>
      <c r="B177" s="98"/>
      <c r="C177" s="104"/>
      <c r="D177" s="104"/>
      <c r="E177" s="104"/>
      <c r="F177" s="151"/>
      <c r="G177" s="151"/>
      <c r="H177" s="101"/>
      <c r="I177" s="39">
        <f t="shared" si="114"/>
        <v>0</v>
      </c>
      <c r="J177" s="101"/>
      <c r="K177" s="39">
        <f t="shared" si="115"/>
        <v>0</v>
      </c>
      <c r="L177" s="101"/>
      <c r="M177" s="39">
        <f t="shared" si="116"/>
        <v>0</v>
      </c>
      <c r="N177" s="101"/>
      <c r="O177" s="39">
        <f t="shared" si="117"/>
        <v>0</v>
      </c>
      <c r="P177" s="101"/>
      <c r="Q177" s="39">
        <f t="shared" si="111"/>
        <v>0</v>
      </c>
      <c r="R177" s="101"/>
      <c r="S177" s="39">
        <f t="shared" si="112"/>
        <v>0</v>
      </c>
      <c r="T177" s="101"/>
      <c r="U177" s="39">
        <f t="shared" si="113"/>
        <v>0</v>
      </c>
      <c r="V177" s="36">
        <f t="shared" si="118"/>
        <v>0</v>
      </c>
      <c r="W177" s="74" t="str">
        <f t="shared" si="95"/>
        <v/>
      </c>
      <c r="X177" s="124" t="str">
        <f t="shared" si="104"/>
        <v/>
      </c>
      <c r="Y177" s="124" t="str">
        <f t="shared" si="106"/>
        <v/>
      </c>
      <c r="Z177" s="124" t="str">
        <f t="shared" si="105"/>
        <v/>
      </c>
      <c r="AA177" s="152"/>
      <c r="AB177" s="152"/>
      <c r="AC177" s="181"/>
      <c r="AD177" s="2"/>
      <c r="AE177" s="2"/>
      <c r="AF177" s="2"/>
      <c r="AG177" s="2"/>
      <c r="AH177" s="2"/>
      <c r="AI177" s="2"/>
      <c r="AJ177" s="2"/>
      <c r="AK177" s="2"/>
      <c r="AL177" s="2"/>
      <c r="AM177" s="2"/>
      <c r="AN177" s="2"/>
      <c r="AO177" s="1"/>
      <c r="AP177" s="1"/>
      <c r="AQ177" s="1"/>
      <c r="AR177" s="1"/>
      <c r="AS177" s="1"/>
      <c r="AT177" s="1"/>
      <c r="AU177" s="1"/>
      <c r="AV177" s="1"/>
      <c r="AW177" s="1"/>
      <c r="AX177" s="1"/>
      <c r="AY177" s="1"/>
    </row>
    <row r="178" spans="1:51" ht="17.25" thickBot="1" x14ac:dyDescent="0.35">
      <c r="A178" s="147">
        <v>42</v>
      </c>
      <c r="B178" s="105">
        <v>43752</v>
      </c>
      <c r="C178" s="102">
        <v>94</v>
      </c>
      <c r="D178" s="102"/>
      <c r="E178" s="102"/>
      <c r="F178" s="149">
        <f t="shared" ref="F178" si="140">SUM(M178:M183,O178:O183,Q178:Q183,S178:S183,I178:I183,K178:K183)</f>
        <v>12650</v>
      </c>
      <c r="G178" s="149">
        <f t="shared" ref="G178" si="141">SUM(M178:M183,O178:O183,Q178:Q183,S178:S183,U178:U183,K178:K183,I178:I183)</f>
        <v>12650</v>
      </c>
      <c r="H178" s="99">
        <v>682</v>
      </c>
      <c r="I178" s="7">
        <f t="shared" si="114"/>
        <v>3410</v>
      </c>
      <c r="J178" s="99"/>
      <c r="K178" s="7">
        <f t="shared" si="115"/>
        <v>0</v>
      </c>
      <c r="L178" s="99"/>
      <c r="M178" s="7">
        <f t="shared" si="116"/>
        <v>0</v>
      </c>
      <c r="N178" s="99"/>
      <c r="O178" s="7">
        <f t="shared" si="117"/>
        <v>0</v>
      </c>
      <c r="P178" s="99"/>
      <c r="Q178" s="7">
        <f t="shared" si="111"/>
        <v>0</v>
      </c>
      <c r="R178" s="99"/>
      <c r="S178" s="7">
        <f t="shared" si="112"/>
        <v>0</v>
      </c>
      <c r="T178" s="99"/>
      <c r="U178" s="7">
        <f t="shared" si="113"/>
        <v>0</v>
      </c>
      <c r="V178" s="8">
        <f t="shared" si="118"/>
        <v>0.11887331799484069</v>
      </c>
      <c r="W178" s="75">
        <f t="shared" si="95"/>
        <v>36.276595744680854</v>
      </c>
      <c r="X178" s="122">
        <f t="shared" si="104"/>
        <v>36.276595744680854</v>
      </c>
      <c r="Y178" s="122" t="str">
        <f t="shared" si="106"/>
        <v/>
      </c>
      <c r="Z178" s="122" t="str">
        <f t="shared" si="105"/>
        <v/>
      </c>
      <c r="AA178" s="152">
        <f t="shared" ref="AA178" si="142">AVERAGE(W178:W183)</f>
        <v>38.598654037839154</v>
      </c>
      <c r="AB178" s="152">
        <f t="shared" ref="AB178" si="143">SUM(V178:V183)</f>
        <v>0.44098166352924767</v>
      </c>
      <c r="AC178" s="179">
        <v>0.59105486997141454</v>
      </c>
      <c r="AD178" s="2"/>
      <c r="AE178" s="2"/>
      <c r="AF178" s="2"/>
      <c r="AG178" s="2"/>
      <c r="AH178" s="2"/>
      <c r="AI178" s="2"/>
      <c r="AJ178" s="2"/>
      <c r="AK178" s="2"/>
      <c r="AL178" s="2"/>
      <c r="AM178" s="2"/>
      <c r="AN178" s="2"/>
      <c r="AO178" s="1"/>
      <c r="AP178" s="1"/>
      <c r="AQ178" s="1"/>
      <c r="AR178" s="1"/>
      <c r="AS178" s="1"/>
      <c r="AT178" s="1"/>
      <c r="AU178" s="1"/>
      <c r="AV178" s="1"/>
      <c r="AW178" s="1"/>
      <c r="AX178" s="1"/>
      <c r="AY178" s="1"/>
    </row>
    <row r="179" spans="1:51" ht="17.25" thickBot="1" x14ac:dyDescent="0.35">
      <c r="A179" s="147"/>
      <c r="B179" s="97">
        <v>43753</v>
      </c>
      <c r="C179" s="103">
        <v>84.5</v>
      </c>
      <c r="D179" s="103"/>
      <c r="E179" s="103"/>
      <c r="F179" s="150"/>
      <c r="G179" s="150"/>
      <c r="H179" s="100">
        <v>647</v>
      </c>
      <c r="I179" s="7">
        <f t="shared" si="114"/>
        <v>3235</v>
      </c>
      <c r="J179" s="100"/>
      <c r="K179" s="7">
        <f t="shared" si="115"/>
        <v>0</v>
      </c>
      <c r="L179" s="100"/>
      <c r="M179" s="7">
        <f t="shared" si="116"/>
        <v>0</v>
      </c>
      <c r="N179" s="100"/>
      <c r="O179" s="7">
        <f t="shared" si="117"/>
        <v>0</v>
      </c>
      <c r="P179" s="100"/>
      <c r="Q179" s="7">
        <f t="shared" si="111"/>
        <v>0</v>
      </c>
      <c r="R179" s="100"/>
      <c r="S179" s="7">
        <f t="shared" si="112"/>
        <v>0</v>
      </c>
      <c r="T179" s="100"/>
      <c r="U179" s="7">
        <f t="shared" si="113"/>
        <v>0</v>
      </c>
      <c r="V179" s="8">
        <f t="shared" si="118"/>
        <v>0.11277278114759813</v>
      </c>
      <c r="W179" s="4">
        <f t="shared" si="95"/>
        <v>38.284023668639051</v>
      </c>
      <c r="X179" s="123">
        <f t="shared" si="104"/>
        <v>38.284023668639051</v>
      </c>
      <c r="Y179" s="123" t="str">
        <f t="shared" si="106"/>
        <v/>
      </c>
      <c r="Z179" s="123" t="str">
        <f t="shared" si="105"/>
        <v/>
      </c>
      <c r="AA179" s="152"/>
      <c r="AB179" s="152"/>
      <c r="AC179" s="180"/>
      <c r="AD179" s="2"/>
      <c r="AE179" s="2"/>
      <c r="AF179" s="2"/>
      <c r="AG179" s="2"/>
      <c r="AH179" s="2"/>
      <c r="AI179" s="2"/>
      <c r="AJ179" s="2"/>
      <c r="AK179" s="2"/>
      <c r="AL179" s="2"/>
      <c r="AM179" s="2"/>
      <c r="AN179" s="2"/>
      <c r="AO179" s="1"/>
      <c r="AP179" s="1"/>
      <c r="AQ179" s="1"/>
      <c r="AR179" s="1"/>
      <c r="AS179" s="1"/>
      <c r="AT179" s="1"/>
      <c r="AU179" s="1"/>
      <c r="AV179" s="1"/>
      <c r="AW179" s="1"/>
      <c r="AX179" s="1"/>
      <c r="AY179" s="1"/>
    </row>
    <row r="180" spans="1:51" ht="17.25" thickBot="1" x14ac:dyDescent="0.35">
      <c r="A180" s="147"/>
      <c r="B180" s="97">
        <v>43754</v>
      </c>
      <c r="C180" s="103">
        <v>38</v>
      </c>
      <c r="D180" s="103"/>
      <c r="E180" s="103"/>
      <c r="F180" s="150"/>
      <c r="G180" s="150"/>
      <c r="H180" s="100">
        <v>287</v>
      </c>
      <c r="I180" s="7">
        <f t="shared" si="114"/>
        <v>1435</v>
      </c>
      <c r="J180" s="100"/>
      <c r="K180" s="7">
        <f t="shared" si="115"/>
        <v>0</v>
      </c>
      <c r="L180" s="100"/>
      <c r="M180" s="7">
        <f t="shared" si="116"/>
        <v>0</v>
      </c>
      <c r="N180" s="100"/>
      <c r="O180" s="7">
        <f t="shared" si="117"/>
        <v>0</v>
      </c>
      <c r="P180" s="100"/>
      <c r="Q180" s="7">
        <f t="shared" si="111"/>
        <v>0</v>
      </c>
      <c r="R180" s="100"/>
      <c r="S180" s="7">
        <f t="shared" si="112"/>
        <v>0</v>
      </c>
      <c r="T180" s="100"/>
      <c r="U180" s="7">
        <f t="shared" si="113"/>
        <v>0</v>
      </c>
      <c r="V180" s="8">
        <f t="shared" si="118"/>
        <v>5.0024402147388972E-2</v>
      </c>
      <c r="W180" s="4">
        <f t="shared" si="95"/>
        <v>37.763157894736842</v>
      </c>
      <c r="X180" s="123">
        <f t="shared" si="104"/>
        <v>37.763157894736842</v>
      </c>
      <c r="Y180" s="123" t="str">
        <f t="shared" si="106"/>
        <v/>
      </c>
      <c r="Z180" s="123" t="str">
        <f t="shared" si="105"/>
        <v/>
      </c>
      <c r="AA180" s="152"/>
      <c r="AB180" s="152"/>
      <c r="AC180" s="180"/>
      <c r="AD180" s="2"/>
      <c r="AE180" s="2"/>
      <c r="AF180" s="2"/>
      <c r="AG180" s="2"/>
      <c r="AH180" s="2"/>
      <c r="AI180" s="2"/>
      <c r="AJ180" s="2"/>
      <c r="AK180" s="2"/>
      <c r="AL180" s="2"/>
      <c r="AM180" s="2"/>
      <c r="AN180" s="2"/>
      <c r="AO180" s="1"/>
      <c r="AP180" s="1"/>
      <c r="AQ180" s="1"/>
      <c r="AR180" s="1"/>
      <c r="AS180" s="1"/>
      <c r="AT180" s="1"/>
      <c r="AU180" s="1"/>
      <c r="AV180" s="1"/>
      <c r="AW180" s="1"/>
      <c r="AX180" s="1"/>
      <c r="AY180" s="1"/>
    </row>
    <row r="181" spans="1:51" ht="17.25" thickBot="1" x14ac:dyDescent="0.35">
      <c r="A181" s="147"/>
      <c r="B181" s="97">
        <v>43755</v>
      </c>
      <c r="C181" s="103">
        <v>47</v>
      </c>
      <c r="D181" s="103"/>
      <c r="E181" s="103"/>
      <c r="F181" s="150"/>
      <c r="G181" s="150"/>
      <c r="H181" s="100">
        <v>383</v>
      </c>
      <c r="I181" s="7">
        <f t="shared" si="114"/>
        <v>1915</v>
      </c>
      <c r="J181" s="100"/>
      <c r="K181" s="7">
        <f t="shared" si="115"/>
        <v>0</v>
      </c>
      <c r="L181" s="100"/>
      <c r="M181" s="7">
        <f t="shared" si="116"/>
        <v>0</v>
      </c>
      <c r="N181" s="100"/>
      <c r="O181" s="7">
        <f t="shared" si="117"/>
        <v>0</v>
      </c>
      <c r="P181" s="100"/>
      <c r="Q181" s="7">
        <f t="shared" si="111"/>
        <v>0</v>
      </c>
      <c r="R181" s="100"/>
      <c r="S181" s="7">
        <f t="shared" si="112"/>
        <v>0</v>
      </c>
      <c r="T181" s="100"/>
      <c r="U181" s="7">
        <f t="shared" si="113"/>
        <v>0</v>
      </c>
      <c r="V181" s="8">
        <f t="shared" si="118"/>
        <v>6.6757303214111413E-2</v>
      </c>
      <c r="W181" s="4">
        <f t="shared" si="95"/>
        <v>40.744680851063826</v>
      </c>
      <c r="X181" s="123">
        <f t="shared" si="104"/>
        <v>40.744680851063826</v>
      </c>
      <c r="Y181" s="123" t="str">
        <f t="shared" si="106"/>
        <v/>
      </c>
      <c r="Z181" s="123" t="str">
        <f t="shared" si="105"/>
        <v/>
      </c>
      <c r="AA181" s="152"/>
      <c r="AB181" s="152"/>
      <c r="AC181" s="180"/>
      <c r="AD181" s="2"/>
      <c r="AE181" s="2"/>
      <c r="AF181" s="2"/>
      <c r="AG181" s="2"/>
      <c r="AH181" s="2"/>
      <c r="AI181" s="2"/>
      <c r="AJ181" s="2"/>
      <c r="AK181" s="2"/>
      <c r="AL181" s="2"/>
      <c r="AM181" s="2"/>
      <c r="AN181" s="2"/>
      <c r="AO181" s="1"/>
      <c r="AP181" s="1"/>
      <c r="AQ181" s="1"/>
      <c r="AR181" s="1"/>
      <c r="AS181" s="1"/>
      <c r="AT181" s="1"/>
      <c r="AU181" s="1"/>
      <c r="AV181" s="1"/>
      <c r="AW181" s="1"/>
      <c r="AX181" s="1"/>
      <c r="AY181" s="1"/>
    </row>
    <row r="182" spans="1:51" ht="17.25" thickBot="1" x14ac:dyDescent="0.35">
      <c r="A182" s="147"/>
      <c r="B182" s="97">
        <v>43756</v>
      </c>
      <c r="C182" s="103">
        <v>66.5</v>
      </c>
      <c r="D182" s="103"/>
      <c r="E182" s="103"/>
      <c r="F182" s="150"/>
      <c r="G182" s="150"/>
      <c r="H182" s="100">
        <v>531</v>
      </c>
      <c r="I182" s="7">
        <f t="shared" si="114"/>
        <v>2655</v>
      </c>
      <c r="J182" s="100"/>
      <c r="K182" s="7">
        <f t="shared" si="115"/>
        <v>0</v>
      </c>
      <c r="L182" s="100"/>
      <c r="M182" s="7">
        <f t="shared" si="116"/>
        <v>0</v>
      </c>
      <c r="N182" s="100"/>
      <c r="O182" s="7">
        <f t="shared" si="117"/>
        <v>0</v>
      </c>
      <c r="P182" s="100"/>
      <c r="Q182" s="7">
        <f t="shared" si="111"/>
        <v>0</v>
      </c>
      <c r="R182" s="100"/>
      <c r="S182" s="7">
        <f t="shared" si="112"/>
        <v>0</v>
      </c>
      <c r="T182" s="100"/>
      <c r="U182" s="7">
        <f t="shared" si="113"/>
        <v>0</v>
      </c>
      <c r="V182" s="8">
        <f t="shared" si="118"/>
        <v>9.2553859025308508E-2</v>
      </c>
      <c r="W182" s="4">
        <f t="shared" ref="W182:W231" si="144">IF((E182+D182+C182)=0,"",(M182+O182+Q182+S182+U182+I182+K182)/(C182+D182+E182))</f>
        <v>39.924812030075188</v>
      </c>
      <c r="X182" s="123">
        <f t="shared" si="104"/>
        <v>39.924812030075188</v>
      </c>
      <c r="Y182" s="123" t="str">
        <f t="shared" si="106"/>
        <v/>
      </c>
      <c r="Z182" s="123" t="str">
        <f t="shared" si="105"/>
        <v/>
      </c>
      <c r="AA182" s="152"/>
      <c r="AB182" s="152"/>
      <c r="AC182" s="180"/>
      <c r="AD182" s="2"/>
      <c r="AE182" s="2"/>
      <c r="AF182" s="2"/>
      <c r="AG182" s="2"/>
      <c r="AH182" s="2"/>
      <c r="AI182" s="2"/>
      <c r="AJ182" s="2"/>
      <c r="AK182" s="2"/>
      <c r="AL182" s="2"/>
      <c r="AM182" s="2"/>
      <c r="AN182" s="2"/>
      <c r="AO182" s="1"/>
      <c r="AP182" s="1"/>
      <c r="AQ182" s="1"/>
      <c r="AR182" s="1"/>
      <c r="AS182" s="1"/>
      <c r="AT182" s="1"/>
      <c r="AU182" s="1"/>
      <c r="AV182" s="1"/>
      <c r="AW182" s="1"/>
      <c r="AX182" s="1"/>
      <c r="AY182" s="1"/>
    </row>
    <row r="183" spans="1:51" ht="17.25" thickBot="1" x14ac:dyDescent="0.35">
      <c r="A183" s="147"/>
      <c r="B183" s="98"/>
      <c r="C183" s="104"/>
      <c r="D183" s="104"/>
      <c r="E183" s="104"/>
      <c r="F183" s="151"/>
      <c r="G183" s="151"/>
      <c r="H183" s="101"/>
      <c r="I183" s="7">
        <f t="shared" si="114"/>
        <v>0</v>
      </c>
      <c r="J183" s="101"/>
      <c r="K183" s="7">
        <f t="shared" si="115"/>
        <v>0</v>
      </c>
      <c r="L183" s="101"/>
      <c r="M183" s="7">
        <f t="shared" si="116"/>
        <v>0</v>
      </c>
      <c r="N183" s="101"/>
      <c r="O183" s="7">
        <f t="shared" si="117"/>
        <v>0</v>
      </c>
      <c r="P183" s="101"/>
      <c r="Q183" s="7">
        <f t="shared" si="111"/>
        <v>0</v>
      </c>
      <c r="R183" s="101"/>
      <c r="S183" s="7">
        <f t="shared" si="112"/>
        <v>0</v>
      </c>
      <c r="T183" s="101"/>
      <c r="U183" s="7">
        <f t="shared" si="113"/>
        <v>0</v>
      </c>
      <c r="V183" s="8">
        <f t="shared" si="118"/>
        <v>0</v>
      </c>
      <c r="W183" s="74" t="str">
        <f t="shared" si="144"/>
        <v/>
      </c>
      <c r="X183" s="124" t="str">
        <f t="shared" si="104"/>
        <v/>
      </c>
      <c r="Y183" s="124" t="str">
        <f t="shared" si="106"/>
        <v/>
      </c>
      <c r="Z183" s="124" t="str">
        <f t="shared" si="105"/>
        <v/>
      </c>
      <c r="AA183" s="152"/>
      <c r="AB183" s="152"/>
      <c r="AC183" s="181"/>
      <c r="AD183" s="2"/>
      <c r="AE183" s="2"/>
      <c r="AF183" s="2"/>
      <c r="AG183" s="2"/>
      <c r="AH183" s="2"/>
      <c r="AI183" s="2"/>
      <c r="AJ183" s="2"/>
      <c r="AK183" s="2"/>
      <c r="AL183" s="2"/>
      <c r="AM183" s="2"/>
      <c r="AN183" s="2"/>
      <c r="AO183" s="1"/>
      <c r="AP183" s="1"/>
      <c r="AQ183" s="1"/>
      <c r="AR183" s="1"/>
      <c r="AS183" s="1"/>
      <c r="AT183" s="1"/>
      <c r="AU183" s="1"/>
      <c r="AV183" s="1"/>
      <c r="AW183" s="1"/>
      <c r="AX183" s="1"/>
      <c r="AY183" s="1"/>
    </row>
    <row r="184" spans="1:51" ht="17.25" thickBot="1" x14ac:dyDescent="0.35">
      <c r="A184" s="146">
        <v>43</v>
      </c>
      <c r="B184" s="105">
        <v>43759</v>
      </c>
      <c r="C184" s="102">
        <v>97.5</v>
      </c>
      <c r="D184" s="102"/>
      <c r="E184" s="102"/>
      <c r="F184" s="149">
        <f t="shared" ref="F184" si="145">SUM(M184:M189,O184:O189,Q184:Q189,S184:S189,I184:I189,K184:K189)</f>
        <v>20345</v>
      </c>
      <c r="G184" s="149">
        <f t="shared" ref="G184" si="146">SUM(M184:M189,O184:O189,Q184:Q189,S184:S189,U184:U189,K184:K189,I184:I189)</f>
        <v>20345</v>
      </c>
      <c r="H184" s="99">
        <v>856</v>
      </c>
      <c r="I184" s="40">
        <f t="shared" si="114"/>
        <v>4280</v>
      </c>
      <c r="J184" s="99"/>
      <c r="K184" s="40">
        <f t="shared" si="115"/>
        <v>0</v>
      </c>
      <c r="L184" s="99"/>
      <c r="M184" s="40">
        <f t="shared" si="116"/>
        <v>0</v>
      </c>
      <c r="N184" s="99"/>
      <c r="O184" s="40">
        <f t="shared" si="117"/>
        <v>0</v>
      </c>
      <c r="P184" s="99"/>
      <c r="Q184" s="40">
        <f t="shared" si="111"/>
        <v>0</v>
      </c>
      <c r="R184" s="99"/>
      <c r="S184" s="40">
        <f t="shared" si="112"/>
        <v>0</v>
      </c>
      <c r="T184" s="99"/>
      <c r="U184" s="40">
        <f t="shared" si="113"/>
        <v>0</v>
      </c>
      <c r="V184" s="34">
        <f t="shared" si="118"/>
        <v>0.14920170117827511</v>
      </c>
      <c r="W184" s="75">
        <f t="shared" si="144"/>
        <v>43.897435897435898</v>
      </c>
      <c r="X184" s="122">
        <f t="shared" si="104"/>
        <v>43.897435897435898</v>
      </c>
      <c r="Y184" s="122" t="str">
        <f t="shared" si="106"/>
        <v/>
      </c>
      <c r="Z184" s="122" t="str">
        <f t="shared" si="105"/>
        <v/>
      </c>
      <c r="AA184" s="152">
        <f t="shared" ref="AA184" si="147">AVERAGE(W184:W189)</f>
        <v>43.711584235430593</v>
      </c>
      <c r="AB184" s="152">
        <f t="shared" ref="AB184" si="148">SUM(V184:V189)</f>
        <v>0.70923098375514193</v>
      </c>
      <c r="AC184" s="179">
        <v>0.38537962769295125</v>
      </c>
      <c r="AD184" s="2"/>
      <c r="AE184" s="2"/>
      <c r="AF184" s="2"/>
      <c r="AG184" s="2"/>
      <c r="AH184" s="2"/>
      <c r="AI184" s="2"/>
      <c r="AJ184" s="2"/>
      <c r="AK184" s="2"/>
      <c r="AL184" s="2"/>
      <c r="AM184" s="2"/>
      <c r="AN184" s="2"/>
      <c r="AO184" s="1"/>
      <c r="AP184" s="1"/>
      <c r="AQ184" s="1"/>
      <c r="AR184" s="1"/>
      <c r="AS184" s="1"/>
      <c r="AT184" s="1"/>
      <c r="AU184" s="1"/>
      <c r="AV184" s="1"/>
      <c r="AW184" s="1"/>
      <c r="AX184" s="1"/>
      <c r="AY184" s="1"/>
    </row>
    <row r="185" spans="1:51" ht="17.25" thickBot="1" x14ac:dyDescent="0.35">
      <c r="A185" s="147"/>
      <c r="B185" s="97">
        <v>43760</v>
      </c>
      <c r="C185" s="103">
        <v>79</v>
      </c>
      <c r="D185" s="103"/>
      <c r="E185" s="103"/>
      <c r="F185" s="150"/>
      <c r="G185" s="150"/>
      <c r="H185" s="100">
        <v>711</v>
      </c>
      <c r="I185" s="7">
        <f t="shared" si="114"/>
        <v>3555</v>
      </c>
      <c r="J185" s="100"/>
      <c r="K185" s="7">
        <f t="shared" si="115"/>
        <v>0</v>
      </c>
      <c r="L185" s="100"/>
      <c r="M185" s="7">
        <f t="shared" si="116"/>
        <v>0</v>
      </c>
      <c r="N185" s="100"/>
      <c r="O185" s="7">
        <f t="shared" si="117"/>
        <v>0</v>
      </c>
      <c r="P185" s="100"/>
      <c r="Q185" s="7">
        <f t="shared" si="111"/>
        <v>0</v>
      </c>
      <c r="R185" s="100"/>
      <c r="S185" s="7">
        <f t="shared" si="112"/>
        <v>0</v>
      </c>
      <c r="T185" s="100"/>
      <c r="U185" s="7">
        <f t="shared" si="113"/>
        <v>0</v>
      </c>
      <c r="V185" s="8">
        <f t="shared" si="118"/>
        <v>0.12392804852541309</v>
      </c>
      <c r="W185" s="4">
        <f t="shared" si="144"/>
        <v>45</v>
      </c>
      <c r="X185" s="123">
        <f t="shared" si="104"/>
        <v>45</v>
      </c>
      <c r="Y185" s="123" t="str">
        <f t="shared" si="106"/>
        <v/>
      </c>
      <c r="Z185" s="123" t="str">
        <f t="shared" si="105"/>
        <v/>
      </c>
      <c r="AA185" s="152"/>
      <c r="AB185" s="152"/>
      <c r="AC185" s="180"/>
      <c r="AD185" s="2"/>
      <c r="AE185" s="2"/>
      <c r="AF185" s="2"/>
      <c r="AG185" s="2"/>
      <c r="AH185" s="2"/>
      <c r="AI185" s="2"/>
      <c r="AJ185" s="2"/>
      <c r="AK185" s="2"/>
      <c r="AL185" s="2"/>
      <c r="AM185" s="2"/>
      <c r="AN185" s="2"/>
      <c r="AO185" s="1"/>
      <c r="AP185" s="1"/>
      <c r="AQ185" s="1"/>
      <c r="AR185" s="1"/>
      <c r="AS185" s="1"/>
      <c r="AT185" s="1"/>
      <c r="AU185" s="1"/>
      <c r="AV185" s="1"/>
      <c r="AW185" s="1"/>
      <c r="AX185" s="1"/>
      <c r="AY185" s="1"/>
    </row>
    <row r="186" spans="1:51" ht="17.25" thickBot="1" x14ac:dyDescent="0.35">
      <c r="A186" s="147"/>
      <c r="B186" s="97">
        <v>43761</v>
      </c>
      <c r="C186" s="103">
        <v>84</v>
      </c>
      <c r="D186" s="103"/>
      <c r="E186" s="103"/>
      <c r="F186" s="150"/>
      <c r="G186" s="150"/>
      <c r="H186" s="100">
        <v>752</v>
      </c>
      <c r="I186" s="7">
        <f t="shared" si="114"/>
        <v>3760</v>
      </c>
      <c r="J186" s="100"/>
      <c r="K186" s="7">
        <f t="shared" si="115"/>
        <v>0</v>
      </c>
      <c r="L186" s="100"/>
      <c r="M186" s="7">
        <f t="shared" si="116"/>
        <v>0</v>
      </c>
      <c r="N186" s="100"/>
      <c r="O186" s="7">
        <f t="shared" si="117"/>
        <v>0</v>
      </c>
      <c r="P186" s="100"/>
      <c r="Q186" s="7">
        <f t="shared" si="111"/>
        <v>0</v>
      </c>
      <c r="R186" s="100"/>
      <c r="S186" s="7">
        <f t="shared" si="112"/>
        <v>0</v>
      </c>
      <c r="T186" s="100"/>
      <c r="U186" s="7">
        <f t="shared" si="113"/>
        <v>0</v>
      </c>
      <c r="V186" s="8">
        <f t="shared" si="118"/>
        <v>0.1310743916893258</v>
      </c>
      <c r="W186" s="4">
        <f t="shared" si="144"/>
        <v>44.761904761904759</v>
      </c>
      <c r="X186" s="123">
        <f t="shared" si="104"/>
        <v>44.761904761904759</v>
      </c>
      <c r="Y186" s="123" t="str">
        <f t="shared" si="106"/>
        <v/>
      </c>
      <c r="Z186" s="123" t="str">
        <f t="shared" si="105"/>
        <v/>
      </c>
      <c r="AA186" s="152"/>
      <c r="AB186" s="152"/>
      <c r="AC186" s="180"/>
      <c r="AD186" s="2"/>
      <c r="AE186" s="2"/>
      <c r="AF186" s="2"/>
      <c r="AG186" s="2"/>
      <c r="AH186" s="2"/>
      <c r="AI186" s="2"/>
      <c r="AJ186" s="2"/>
      <c r="AK186" s="2"/>
      <c r="AL186" s="2"/>
      <c r="AM186" s="2"/>
      <c r="AN186" s="2"/>
      <c r="AO186" s="1"/>
      <c r="AP186" s="1"/>
      <c r="AQ186" s="1"/>
      <c r="AR186" s="1"/>
      <c r="AS186" s="1"/>
      <c r="AT186" s="1"/>
      <c r="AU186" s="1"/>
      <c r="AV186" s="1"/>
      <c r="AW186" s="1"/>
      <c r="AX186" s="1"/>
      <c r="AY186" s="1"/>
    </row>
    <row r="187" spans="1:51" ht="17.25" thickBot="1" x14ac:dyDescent="0.35">
      <c r="A187" s="147"/>
      <c r="B187" s="97">
        <v>43762</v>
      </c>
      <c r="C187" s="103">
        <v>76</v>
      </c>
      <c r="D187" s="103"/>
      <c r="E187" s="103"/>
      <c r="F187" s="150"/>
      <c r="G187" s="150"/>
      <c r="H187" s="100">
        <v>674</v>
      </c>
      <c r="I187" s="7">
        <f t="shared" si="114"/>
        <v>3370</v>
      </c>
      <c r="J187" s="100"/>
      <c r="K187" s="7">
        <f t="shared" si="115"/>
        <v>0</v>
      </c>
      <c r="L187" s="100"/>
      <c r="M187" s="7">
        <f t="shared" si="116"/>
        <v>0</v>
      </c>
      <c r="N187" s="100"/>
      <c r="O187" s="7">
        <f t="shared" si="117"/>
        <v>0</v>
      </c>
      <c r="P187" s="100"/>
      <c r="Q187" s="7">
        <f t="shared" si="111"/>
        <v>0</v>
      </c>
      <c r="R187" s="100"/>
      <c r="S187" s="7">
        <f t="shared" si="112"/>
        <v>0</v>
      </c>
      <c r="T187" s="100"/>
      <c r="U187" s="7">
        <f t="shared" si="113"/>
        <v>0</v>
      </c>
      <c r="V187" s="8">
        <f t="shared" si="118"/>
        <v>0.11747890957261382</v>
      </c>
      <c r="W187" s="4">
        <f t="shared" si="144"/>
        <v>44.342105263157897</v>
      </c>
      <c r="X187" s="123">
        <f t="shared" si="104"/>
        <v>44.342105263157897</v>
      </c>
      <c r="Y187" s="123" t="str">
        <f t="shared" si="106"/>
        <v/>
      </c>
      <c r="Z187" s="123" t="str">
        <f t="shared" si="105"/>
        <v/>
      </c>
      <c r="AA187" s="152"/>
      <c r="AB187" s="152"/>
      <c r="AC187" s="180"/>
      <c r="AD187" s="2"/>
      <c r="AE187" s="2"/>
      <c r="AF187" s="2"/>
      <c r="AG187" s="2"/>
      <c r="AH187" s="2"/>
      <c r="AI187" s="2"/>
      <c r="AJ187" s="2"/>
      <c r="AK187" s="2"/>
      <c r="AL187" s="2"/>
      <c r="AM187" s="2"/>
      <c r="AN187" s="2"/>
      <c r="AO187" s="1"/>
      <c r="AP187" s="1"/>
      <c r="AQ187" s="1"/>
      <c r="AR187" s="1"/>
      <c r="AS187" s="1"/>
      <c r="AT187" s="1"/>
      <c r="AU187" s="1"/>
      <c r="AV187" s="1"/>
      <c r="AW187" s="1"/>
      <c r="AX187" s="1"/>
      <c r="AY187" s="1"/>
    </row>
    <row r="188" spans="1:51" ht="17.25" thickBot="1" x14ac:dyDescent="0.35">
      <c r="A188" s="147"/>
      <c r="B188" s="97">
        <v>43763</v>
      </c>
      <c r="C188" s="103">
        <v>88.25</v>
      </c>
      <c r="D188" s="103"/>
      <c r="E188" s="103"/>
      <c r="F188" s="150"/>
      <c r="G188" s="150"/>
      <c r="H188" s="100">
        <v>735</v>
      </c>
      <c r="I188" s="7">
        <f t="shared" si="114"/>
        <v>3675</v>
      </c>
      <c r="J188" s="100"/>
      <c r="K188" s="7">
        <f t="shared" si="115"/>
        <v>0</v>
      </c>
      <c r="L188" s="100"/>
      <c r="M188" s="7">
        <f t="shared" si="116"/>
        <v>0</v>
      </c>
      <c r="N188" s="100"/>
      <c r="O188" s="7">
        <f t="shared" si="117"/>
        <v>0</v>
      </c>
      <c r="P188" s="100"/>
      <c r="Q188" s="7">
        <f t="shared" si="111"/>
        <v>0</v>
      </c>
      <c r="R188" s="100"/>
      <c r="S188" s="7">
        <f t="shared" si="112"/>
        <v>0</v>
      </c>
      <c r="T188" s="100"/>
      <c r="U188" s="7">
        <f t="shared" si="113"/>
        <v>0</v>
      </c>
      <c r="V188" s="8">
        <f t="shared" si="118"/>
        <v>0.12811127379209369</v>
      </c>
      <c r="W188" s="4">
        <f t="shared" si="144"/>
        <v>41.643059490084987</v>
      </c>
      <c r="X188" s="123">
        <f t="shared" si="104"/>
        <v>41.643059490084987</v>
      </c>
      <c r="Y188" s="123" t="str">
        <f t="shared" si="106"/>
        <v/>
      </c>
      <c r="Z188" s="123" t="str">
        <f t="shared" si="105"/>
        <v/>
      </c>
      <c r="AA188" s="152"/>
      <c r="AB188" s="152"/>
      <c r="AC188" s="180"/>
      <c r="AD188" s="2"/>
      <c r="AE188" s="2"/>
      <c r="AF188" s="2"/>
      <c r="AG188" s="2"/>
      <c r="AH188" s="2"/>
      <c r="AI188" s="2"/>
      <c r="AJ188" s="2"/>
      <c r="AK188" s="2"/>
      <c r="AL188" s="2"/>
      <c r="AM188" s="2"/>
      <c r="AN188" s="2"/>
      <c r="AO188" s="1"/>
      <c r="AP188" s="1"/>
      <c r="AQ188" s="1"/>
      <c r="AR188" s="1"/>
      <c r="AS188" s="1"/>
      <c r="AT188" s="1"/>
      <c r="AU188" s="1"/>
      <c r="AV188" s="1"/>
      <c r="AW188" s="1"/>
      <c r="AX188" s="1"/>
      <c r="AY188" s="1"/>
    </row>
    <row r="189" spans="1:51" ht="17.25" thickBot="1" x14ac:dyDescent="0.35">
      <c r="A189" s="148"/>
      <c r="B189" s="98">
        <v>43764</v>
      </c>
      <c r="C189" s="104">
        <v>40</v>
      </c>
      <c r="D189" s="104"/>
      <c r="E189" s="104"/>
      <c r="F189" s="151"/>
      <c r="G189" s="151"/>
      <c r="H189" s="101">
        <v>341</v>
      </c>
      <c r="I189" s="39">
        <f t="shared" si="114"/>
        <v>1705</v>
      </c>
      <c r="J189" s="101"/>
      <c r="K189" s="39">
        <f t="shared" si="115"/>
        <v>0</v>
      </c>
      <c r="L189" s="101"/>
      <c r="M189" s="39">
        <f t="shared" si="116"/>
        <v>0</v>
      </c>
      <c r="N189" s="101"/>
      <c r="O189" s="39">
        <f t="shared" si="117"/>
        <v>0</v>
      </c>
      <c r="P189" s="101"/>
      <c r="Q189" s="39">
        <f t="shared" si="111"/>
        <v>0</v>
      </c>
      <c r="R189" s="101"/>
      <c r="S189" s="39">
        <f t="shared" si="112"/>
        <v>0</v>
      </c>
      <c r="T189" s="101"/>
      <c r="U189" s="39">
        <f t="shared" si="113"/>
        <v>0</v>
      </c>
      <c r="V189" s="36">
        <f t="shared" si="118"/>
        <v>5.9436658997420344E-2</v>
      </c>
      <c r="W189" s="74">
        <f t="shared" si="144"/>
        <v>42.625</v>
      </c>
      <c r="X189" s="124">
        <f t="shared" si="104"/>
        <v>42.625</v>
      </c>
      <c r="Y189" s="124" t="str">
        <f t="shared" si="106"/>
        <v/>
      </c>
      <c r="Z189" s="124" t="str">
        <f t="shared" si="105"/>
        <v/>
      </c>
      <c r="AA189" s="152"/>
      <c r="AB189" s="152"/>
      <c r="AC189" s="181"/>
      <c r="AD189" s="2"/>
      <c r="AE189" s="2"/>
      <c r="AF189" s="2"/>
      <c r="AG189" s="2"/>
      <c r="AH189" s="2"/>
      <c r="AI189" s="2"/>
      <c r="AJ189" s="2"/>
      <c r="AK189" s="2"/>
      <c r="AL189" s="2"/>
      <c r="AM189" s="2"/>
      <c r="AN189" s="2"/>
      <c r="AO189" s="1"/>
      <c r="AP189" s="1"/>
      <c r="AQ189" s="1"/>
      <c r="AR189" s="1"/>
      <c r="AS189" s="1"/>
      <c r="AT189" s="1"/>
      <c r="AU189" s="1"/>
      <c r="AV189" s="1"/>
      <c r="AW189" s="1"/>
      <c r="AX189" s="1"/>
      <c r="AY189" s="1"/>
    </row>
    <row r="190" spans="1:51" ht="17.25" thickBot="1" x14ac:dyDescent="0.35">
      <c r="A190" s="147">
        <v>44</v>
      </c>
      <c r="B190" s="105">
        <v>43766</v>
      </c>
      <c r="C190" s="102">
        <v>93.5</v>
      </c>
      <c r="D190" s="102"/>
      <c r="E190" s="102"/>
      <c r="F190" s="149">
        <f t="shared" ref="F190" si="149">SUM(M190:M195,O190:O195,Q190:Q195,S190:S195,I190:I195,K190:K195)</f>
        <v>12310</v>
      </c>
      <c r="G190" s="149">
        <f t="shared" ref="G190" si="150">SUM(M190:M195,O190:O195,Q190:Q195,S190:S195,U190:U195,K190:K195,I190:I195)</f>
        <v>12310</v>
      </c>
      <c r="H190" s="99">
        <v>795</v>
      </c>
      <c r="I190" s="7">
        <f t="shared" si="114"/>
        <v>3975</v>
      </c>
      <c r="J190" s="99"/>
      <c r="K190" s="7">
        <f t="shared" si="115"/>
        <v>0</v>
      </c>
      <c r="L190" s="99"/>
      <c r="M190" s="7">
        <f t="shared" si="116"/>
        <v>0</v>
      </c>
      <c r="N190" s="99"/>
      <c r="O190" s="7">
        <f t="shared" si="117"/>
        <v>0</v>
      </c>
      <c r="P190" s="99"/>
      <c r="Q190" s="7">
        <f t="shared" si="111"/>
        <v>0</v>
      </c>
      <c r="R190" s="99"/>
      <c r="S190" s="7">
        <f t="shared" si="112"/>
        <v>0</v>
      </c>
      <c r="T190" s="99"/>
      <c r="U190" s="7">
        <f t="shared" si="113"/>
        <v>0</v>
      </c>
      <c r="V190" s="8">
        <f t="shared" si="118"/>
        <v>0.13856933695879523</v>
      </c>
      <c r="W190" s="75">
        <f t="shared" si="144"/>
        <v>42.513368983957221</v>
      </c>
      <c r="X190" s="122">
        <f t="shared" si="104"/>
        <v>42.513368983957221</v>
      </c>
      <c r="Y190" s="122" t="str">
        <f t="shared" si="106"/>
        <v/>
      </c>
      <c r="Z190" s="122" t="str">
        <f t="shared" si="105"/>
        <v/>
      </c>
      <c r="AA190" s="152">
        <f>AVERAGE(W190:W195)</f>
        <v>42.462418300653596</v>
      </c>
      <c r="AB190" s="152">
        <f t="shared" ref="AB190" si="151">SUM(V190:V195)</f>
        <v>0.42912919194031934</v>
      </c>
      <c r="AC190" s="179">
        <v>0</v>
      </c>
      <c r="AD190" s="2"/>
      <c r="AE190" s="2"/>
      <c r="AF190" s="2"/>
      <c r="AG190" s="2"/>
      <c r="AH190" s="2"/>
      <c r="AI190" s="2"/>
      <c r="AJ190" s="2"/>
      <c r="AK190" s="2"/>
      <c r="AL190" s="2"/>
      <c r="AM190" s="2"/>
      <c r="AN190" s="2"/>
      <c r="AO190" s="1"/>
      <c r="AP190" s="1"/>
      <c r="AQ190" s="1"/>
      <c r="AR190" s="1"/>
      <c r="AS190" s="1"/>
      <c r="AT190" s="1"/>
      <c r="AU190" s="1"/>
      <c r="AV190" s="1"/>
      <c r="AW190" s="1"/>
      <c r="AX190" s="1"/>
      <c r="AY190" s="1"/>
    </row>
    <row r="191" spans="1:51" ht="17.25" thickBot="1" x14ac:dyDescent="0.35">
      <c r="A191" s="147"/>
      <c r="B191" s="97">
        <v>43767</v>
      </c>
      <c r="C191" s="103">
        <v>93.5</v>
      </c>
      <c r="D191" s="103"/>
      <c r="E191" s="103"/>
      <c r="F191" s="150"/>
      <c r="G191" s="150"/>
      <c r="H191" s="100">
        <v>783</v>
      </c>
      <c r="I191" s="7">
        <f t="shared" si="114"/>
        <v>3915</v>
      </c>
      <c r="J191" s="100"/>
      <c r="K191" s="7">
        <f t="shared" si="115"/>
        <v>0</v>
      </c>
      <c r="L191" s="100"/>
      <c r="M191" s="7">
        <f t="shared" si="116"/>
        <v>0</v>
      </c>
      <c r="N191" s="100"/>
      <c r="O191" s="7">
        <f t="shared" si="117"/>
        <v>0</v>
      </c>
      <c r="P191" s="100"/>
      <c r="Q191" s="7">
        <f t="shared" si="111"/>
        <v>0</v>
      </c>
      <c r="R191" s="100"/>
      <c r="S191" s="7">
        <f t="shared" si="112"/>
        <v>0</v>
      </c>
      <c r="T191" s="100"/>
      <c r="U191" s="7">
        <f t="shared" si="113"/>
        <v>0</v>
      </c>
      <c r="V191" s="8">
        <f t="shared" si="118"/>
        <v>0.13647772432545494</v>
      </c>
      <c r="W191" s="4">
        <f t="shared" si="144"/>
        <v>41.871657754010698</v>
      </c>
      <c r="X191" s="123">
        <f t="shared" si="104"/>
        <v>41.871657754010698</v>
      </c>
      <c r="Y191" s="123" t="str">
        <f t="shared" si="106"/>
        <v/>
      </c>
      <c r="Z191" s="123" t="str">
        <f t="shared" si="105"/>
        <v/>
      </c>
      <c r="AA191" s="152"/>
      <c r="AB191" s="152"/>
      <c r="AC191" s="180"/>
      <c r="AD191" s="2"/>
      <c r="AE191" s="2"/>
      <c r="AF191" s="2"/>
      <c r="AG191" s="2"/>
      <c r="AH191" s="2"/>
      <c r="AI191" s="2"/>
      <c r="AJ191" s="2"/>
      <c r="AK191" s="2"/>
      <c r="AL191" s="2"/>
      <c r="AM191" s="2"/>
      <c r="AN191" s="2"/>
      <c r="AO191" s="1"/>
      <c r="AP191" s="1"/>
      <c r="AQ191" s="1"/>
      <c r="AR191" s="1"/>
      <c r="AS191" s="1"/>
      <c r="AT191" s="1"/>
      <c r="AU191" s="1"/>
      <c r="AV191" s="1"/>
      <c r="AW191" s="1"/>
      <c r="AX191" s="1"/>
      <c r="AY191" s="1"/>
    </row>
    <row r="192" spans="1:51" ht="17.25" thickBot="1" x14ac:dyDescent="0.35">
      <c r="A192" s="147"/>
      <c r="B192" s="97">
        <v>43768</v>
      </c>
      <c r="C192" s="103">
        <v>90</v>
      </c>
      <c r="D192" s="103"/>
      <c r="E192" s="103"/>
      <c r="F192" s="150"/>
      <c r="G192" s="150"/>
      <c r="H192" s="100">
        <v>766</v>
      </c>
      <c r="I192" s="7">
        <f t="shared" si="114"/>
        <v>3830</v>
      </c>
      <c r="J192" s="100"/>
      <c r="K192" s="7">
        <f t="shared" si="115"/>
        <v>0</v>
      </c>
      <c r="L192" s="100"/>
      <c r="M192" s="7">
        <f t="shared" si="116"/>
        <v>0</v>
      </c>
      <c r="N192" s="100"/>
      <c r="O192" s="7">
        <f t="shared" si="117"/>
        <v>0</v>
      </c>
      <c r="P192" s="100"/>
      <c r="Q192" s="7">
        <f t="shared" si="111"/>
        <v>0</v>
      </c>
      <c r="R192" s="100"/>
      <c r="S192" s="7">
        <f t="shared" si="112"/>
        <v>0</v>
      </c>
      <c r="T192" s="100"/>
      <c r="U192" s="7">
        <f t="shared" si="113"/>
        <v>0</v>
      </c>
      <c r="V192" s="8">
        <f t="shared" si="118"/>
        <v>0.13351460642822283</v>
      </c>
      <c r="W192" s="4">
        <f t="shared" si="144"/>
        <v>42.555555555555557</v>
      </c>
      <c r="X192" s="123">
        <f t="shared" si="104"/>
        <v>42.555555555555557</v>
      </c>
      <c r="Y192" s="123" t="str">
        <f t="shared" si="106"/>
        <v/>
      </c>
      <c r="Z192" s="123" t="str">
        <f t="shared" si="105"/>
        <v/>
      </c>
      <c r="AA192" s="152"/>
      <c r="AB192" s="152"/>
      <c r="AC192" s="180"/>
      <c r="AD192" s="2"/>
      <c r="AE192" s="2"/>
      <c r="AF192" s="2"/>
      <c r="AG192" s="2"/>
      <c r="AH192" s="2"/>
      <c r="AI192" s="2"/>
      <c r="AJ192" s="2"/>
      <c r="AK192" s="2"/>
      <c r="AL192" s="2"/>
      <c r="AM192" s="2"/>
      <c r="AN192" s="2"/>
      <c r="AO192" s="1"/>
      <c r="AP192" s="1"/>
      <c r="AQ192" s="1"/>
      <c r="AR192" s="1"/>
      <c r="AS192" s="1"/>
      <c r="AT192" s="1"/>
      <c r="AU192" s="1"/>
      <c r="AV192" s="1"/>
      <c r="AW192" s="1"/>
      <c r="AX192" s="1"/>
      <c r="AY192" s="1"/>
    </row>
    <row r="193" spans="1:51" ht="17.25" thickBot="1" x14ac:dyDescent="0.35">
      <c r="A193" s="147"/>
      <c r="B193" s="97">
        <v>43769</v>
      </c>
      <c r="C193" s="103">
        <v>13.75</v>
      </c>
      <c r="D193" s="103"/>
      <c r="E193" s="103"/>
      <c r="F193" s="150"/>
      <c r="G193" s="150"/>
      <c r="H193" s="100">
        <v>118</v>
      </c>
      <c r="I193" s="7">
        <f t="shared" si="114"/>
        <v>590</v>
      </c>
      <c r="J193" s="100"/>
      <c r="K193" s="7">
        <f t="shared" si="115"/>
        <v>0</v>
      </c>
      <c r="L193" s="100"/>
      <c r="M193" s="7">
        <f t="shared" si="116"/>
        <v>0</v>
      </c>
      <c r="N193" s="100"/>
      <c r="O193" s="7">
        <f t="shared" si="117"/>
        <v>0</v>
      </c>
      <c r="P193" s="100"/>
      <c r="Q193" s="7">
        <f t="shared" si="111"/>
        <v>0</v>
      </c>
      <c r="R193" s="100"/>
      <c r="S193" s="7">
        <f t="shared" si="112"/>
        <v>0</v>
      </c>
      <c r="T193" s="100"/>
      <c r="U193" s="7">
        <f t="shared" si="113"/>
        <v>0</v>
      </c>
      <c r="V193" s="8">
        <f t="shared" si="118"/>
        <v>2.0567524227846336E-2</v>
      </c>
      <c r="W193" s="4">
        <f t="shared" si="144"/>
        <v>42.909090909090907</v>
      </c>
      <c r="X193" s="123">
        <f t="shared" si="104"/>
        <v>42.909090909090907</v>
      </c>
      <c r="Y193" s="123" t="str">
        <f t="shared" si="106"/>
        <v/>
      </c>
      <c r="Z193" s="123" t="str">
        <f t="shared" si="105"/>
        <v/>
      </c>
      <c r="AA193" s="152"/>
      <c r="AB193" s="152"/>
      <c r="AC193" s="180"/>
      <c r="AD193" s="2"/>
      <c r="AE193" s="2"/>
      <c r="AF193" s="2"/>
      <c r="AG193" s="2"/>
      <c r="AH193" s="2"/>
      <c r="AI193" s="2"/>
      <c r="AJ193" s="2"/>
      <c r="AK193" s="2"/>
      <c r="AL193" s="2"/>
      <c r="AM193" s="2"/>
      <c r="AN193" s="2"/>
      <c r="AO193" s="1"/>
      <c r="AP193" s="1"/>
      <c r="AQ193" s="1"/>
      <c r="AR193" s="1"/>
      <c r="AS193" s="1"/>
      <c r="AT193" s="1"/>
      <c r="AU193" s="1"/>
      <c r="AV193" s="1"/>
      <c r="AW193" s="1"/>
      <c r="AX193" s="1"/>
      <c r="AY193" s="1"/>
    </row>
    <row r="194" spans="1:51" ht="17.25" thickBot="1" x14ac:dyDescent="0.35">
      <c r="A194" s="147"/>
      <c r="B194" s="97"/>
      <c r="C194" s="103"/>
      <c r="D194" s="103"/>
      <c r="E194" s="103"/>
      <c r="F194" s="150"/>
      <c r="G194" s="150"/>
      <c r="H194" s="100"/>
      <c r="I194" s="7">
        <f t="shared" si="114"/>
        <v>0</v>
      </c>
      <c r="J194" s="100"/>
      <c r="K194" s="7">
        <f t="shared" si="115"/>
        <v>0</v>
      </c>
      <c r="L194" s="100"/>
      <c r="M194" s="7">
        <f t="shared" si="116"/>
        <v>0</v>
      </c>
      <c r="N194" s="100"/>
      <c r="O194" s="7">
        <f t="shared" si="117"/>
        <v>0</v>
      </c>
      <c r="P194" s="100"/>
      <c r="Q194" s="7">
        <f t="shared" si="111"/>
        <v>0</v>
      </c>
      <c r="R194" s="100"/>
      <c r="S194" s="7">
        <f t="shared" si="112"/>
        <v>0</v>
      </c>
      <c r="T194" s="100"/>
      <c r="U194" s="7">
        <f t="shared" si="113"/>
        <v>0</v>
      </c>
      <c r="V194" s="8">
        <f t="shared" si="118"/>
        <v>0</v>
      </c>
      <c r="W194" s="4" t="str">
        <f t="shared" si="144"/>
        <v/>
      </c>
      <c r="X194" s="123" t="str">
        <f t="shared" si="104"/>
        <v/>
      </c>
      <c r="Y194" s="123" t="str">
        <f t="shared" si="106"/>
        <v/>
      </c>
      <c r="Z194" s="123" t="str">
        <f t="shared" si="105"/>
        <v/>
      </c>
      <c r="AA194" s="152"/>
      <c r="AB194" s="152"/>
      <c r="AC194" s="180"/>
      <c r="AD194" s="2"/>
      <c r="AE194" s="2"/>
      <c r="AF194" s="2"/>
      <c r="AG194" s="2"/>
      <c r="AH194" s="2"/>
      <c r="AI194" s="2"/>
      <c r="AJ194" s="2"/>
      <c r="AK194" s="2"/>
      <c r="AL194" s="2"/>
      <c r="AM194" s="2"/>
      <c r="AN194" s="2"/>
      <c r="AO194" s="1"/>
      <c r="AP194" s="1"/>
      <c r="AQ194" s="1"/>
      <c r="AR194" s="1"/>
      <c r="AS194" s="1"/>
      <c r="AT194" s="1"/>
      <c r="AU194" s="1"/>
      <c r="AV194" s="1"/>
      <c r="AW194" s="1"/>
      <c r="AX194" s="1"/>
      <c r="AY194" s="1"/>
    </row>
    <row r="195" spans="1:51" ht="17.25" thickBot="1" x14ac:dyDescent="0.35">
      <c r="A195" s="147"/>
      <c r="B195" s="98"/>
      <c r="C195" s="104"/>
      <c r="D195" s="104"/>
      <c r="E195" s="104"/>
      <c r="F195" s="151"/>
      <c r="G195" s="151"/>
      <c r="H195" s="101"/>
      <c r="I195" s="7">
        <f t="shared" si="114"/>
        <v>0</v>
      </c>
      <c r="J195" s="101"/>
      <c r="K195" s="7">
        <f t="shared" si="115"/>
        <v>0</v>
      </c>
      <c r="L195" s="101"/>
      <c r="M195" s="7">
        <f t="shared" si="116"/>
        <v>0</v>
      </c>
      <c r="N195" s="101"/>
      <c r="O195" s="7">
        <f t="shared" si="117"/>
        <v>0</v>
      </c>
      <c r="P195" s="101"/>
      <c r="Q195" s="7">
        <f t="shared" si="111"/>
        <v>0</v>
      </c>
      <c r="R195" s="101"/>
      <c r="S195" s="7">
        <f t="shared" si="112"/>
        <v>0</v>
      </c>
      <c r="T195" s="101"/>
      <c r="U195" s="7">
        <f t="shared" si="113"/>
        <v>0</v>
      </c>
      <c r="V195" s="8">
        <f t="shared" si="118"/>
        <v>0</v>
      </c>
      <c r="W195" s="74" t="str">
        <f t="shared" si="144"/>
        <v/>
      </c>
      <c r="X195" s="124" t="str">
        <f t="shared" si="104"/>
        <v/>
      </c>
      <c r="Y195" s="124" t="str">
        <f t="shared" si="106"/>
        <v/>
      </c>
      <c r="Z195" s="124" t="str">
        <f t="shared" si="105"/>
        <v/>
      </c>
      <c r="AA195" s="152"/>
      <c r="AB195" s="152"/>
      <c r="AC195" s="181"/>
      <c r="AD195" s="2"/>
      <c r="AE195" s="2"/>
      <c r="AF195" s="2"/>
      <c r="AG195" s="2"/>
      <c r="AH195" s="2"/>
      <c r="AI195" s="2"/>
      <c r="AJ195" s="2"/>
      <c r="AK195" s="2"/>
      <c r="AL195" s="2"/>
      <c r="AM195" s="2"/>
      <c r="AN195" s="2"/>
      <c r="AO195" s="1"/>
      <c r="AP195" s="1"/>
      <c r="AQ195" s="1"/>
      <c r="AR195" s="1"/>
      <c r="AS195" s="1"/>
      <c r="AT195" s="1"/>
      <c r="AU195" s="1"/>
      <c r="AV195" s="1"/>
      <c r="AW195" s="1"/>
      <c r="AX195" s="1"/>
      <c r="AY195" s="1"/>
    </row>
    <row r="196" spans="1:51" ht="17.25" thickBot="1" x14ac:dyDescent="0.35">
      <c r="A196" s="146">
        <v>45</v>
      </c>
      <c r="B196" s="105">
        <v>43773</v>
      </c>
      <c r="C196" s="102">
        <v>86</v>
      </c>
      <c r="D196" s="102"/>
      <c r="E196" s="102"/>
      <c r="F196" s="149">
        <f t="shared" ref="F196" si="152">SUM(M196:M201,O196:O201,Q196:Q201,S196:S201,I196:I201,K196:K201)</f>
        <v>6575</v>
      </c>
      <c r="G196" s="149">
        <f t="shared" ref="G196" si="153">SUM(M196:M201,O196:O201,Q196:Q201,S196:S201,U196:U201,K196:K201,I196:I201)</f>
        <v>6575</v>
      </c>
      <c r="H196" s="99">
        <v>688</v>
      </c>
      <c r="I196" s="40">
        <f t="shared" si="114"/>
        <v>3440</v>
      </c>
      <c r="J196" s="99"/>
      <c r="K196" s="40">
        <f t="shared" si="115"/>
        <v>0</v>
      </c>
      <c r="L196" s="99"/>
      <c r="M196" s="40">
        <f t="shared" si="116"/>
        <v>0</v>
      </c>
      <c r="N196" s="99"/>
      <c r="O196" s="40">
        <f t="shared" si="117"/>
        <v>0</v>
      </c>
      <c r="P196" s="99"/>
      <c r="Q196" s="40">
        <f t="shared" si="111"/>
        <v>0</v>
      </c>
      <c r="R196" s="99"/>
      <c r="S196" s="40">
        <f t="shared" si="112"/>
        <v>0</v>
      </c>
      <c r="T196" s="99"/>
      <c r="U196" s="40">
        <f t="shared" si="113"/>
        <v>0</v>
      </c>
      <c r="V196" s="34">
        <f t="shared" si="118"/>
        <v>0.11991912431151085</v>
      </c>
      <c r="W196" s="75">
        <f t="shared" si="144"/>
        <v>40</v>
      </c>
      <c r="X196" s="122">
        <f t="shared" si="104"/>
        <v>40</v>
      </c>
      <c r="Y196" s="122" t="str">
        <f t="shared" si="106"/>
        <v/>
      </c>
      <c r="Z196" s="122" t="str">
        <f t="shared" si="105"/>
        <v/>
      </c>
      <c r="AA196" s="152">
        <f t="shared" ref="AA196" si="154">AVERAGE(W196:W201)</f>
        <v>39.658482142857139</v>
      </c>
      <c r="AB196" s="152">
        <f t="shared" ref="AB196" si="155">SUM(V196:V201)</f>
        <v>0.22920588440354178</v>
      </c>
      <c r="AC196" s="179">
        <v>0</v>
      </c>
      <c r="AD196" s="2"/>
      <c r="AE196" s="2"/>
      <c r="AF196" s="2"/>
      <c r="AG196" s="2"/>
      <c r="AH196" s="2"/>
      <c r="AI196" s="2"/>
      <c r="AJ196" s="2"/>
      <c r="AK196" s="2"/>
      <c r="AL196" s="2"/>
      <c r="AM196" s="2"/>
      <c r="AN196" s="2"/>
      <c r="AO196" s="1"/>
      <c r="AP196" s="1"/>
      <c r="AQ196" s="1"/>
      <c r="AR196" s="1"/>
      <c r="AS196" s="1"/>
      <c r="AT196" s="1"/>
      <c r="AU196" s="1"/>
      <c r="AV196" s="1"/>
      <c r="AW196" s="1"/>
      <c r="AX196" s="1"/>
      <c r="AY196" s="1"/>
    </row>
    <row r="197" spans="1:51" ht="17.25" thickBot="1" x14ac:dyDescent="0.35">
      <c r="A197" s="147"/>
      <c r="B197" s="97">
        <v>43774</v>
      </c>
      <c r="C197" s="103">
        <v>16</v>
      </c>
      <c r="D197" s="103"/>
      <c r="E197" s="103"/>
      <c r="F197" s="150"/>
      <c r="G197" s="150"/>
      <c r="H197" s="100">
        <v>129</v>
      </c>
      <c r="I197" s="7">
        <f t="shared" si="114"/>
        <v>645</v>
      </c>
      <c r="J197" s="100"/>
      <c r="K197" s="7">
        <f t="shared" si="115"/>
        <v>0</v>
      </c>
      <c r="L197" s="100"/>
      <c r="M197" s="7">
        <f t="shared" si="116"/>
        <v>0</v>
      </c>
      <c r="N197" s="100"/>
      <c r="O197" s="7">
        <f t="shared" si="117"/>
        <v>0</v>
      </c>
      <c r="P197" s="100"/>
      <c r="Q197" s="7">
        <f t="shared" si="111"/>
        <v>0</v>
      </c>
      <c r="R197" s="100"/>
      <c r="S197" s="7">
        <f t="shared" si="112"/>
        <v>0</v>
      </c>
      <c r="T197" s="100"/>
      <c r="U197" s="7">
        <f t="shared" si="113"/>
        <v>0</v>
      </c>
      <c r="V197" s="8">
        <f t="shared" si="118"/>
        <v>2.2484835808408283E-2</v>
      </c>
      <c r="W197" s="4">
        <f t="shared" si="144"/>
        <v>40.3125</v>
      </c>
      <c r="X197" s="123">
        <f t="shared" ref="X197:X231" si="156">IF(C197=0,"",(S197+U197+I197)/C197)</f>
        <v>40.3125</v>
      </c>
      <c r="Y197" s="123" t="str">
        <f t="shared" si="106"/>
        <v/>
      </c>
      <c r="Z197" s="123" t="str">
        <f t="shared" ref="Z197:Z231" si="157">IF(E197=0,"",Q197/E197)</f>
        <v/>
      </c>
      <c r="AA197" s="152"/>
      <c r="AB197" s="152"/>
      <c r="AC197" s="180"/>
      <c r="AD197" s="2"/>
      <c r="AE197" s="2"/>
      <c r="AF197" s="2"/>
      <c r="AG197" s="2"/>
      <c r="AH197" s="2"/>
      <c r="AI197" s="2"/>
      <c r="AJ197" s="2"/>
      <c r="AK197" s="2"/>
      <c r="AL197" s="2"/>
      <c r="AM197" s="2"/>
      <c r="AN197" s="2"/>
      <c r="AO197" s="1"/>
      <c r="AP197" s="1"/>
      <c r="AQ197" s="1"/>
      <c r="AR197" s="1"/>
      <c r="AS197" s="1"/>
      <c r="AT197" s="1"/>
      <c r="AU197" s="1"/>
      <c r="AV197" s="1"/>
      <c r="AW197" s="1"/>
      <c r="AX197" s="1"/>
      <c r="AY197" s="1"/>
    </row>
    <row r="198" spans="1:51" ht="17.25" thickBot="1" x14ac:dyDescent="0.35">
      <c r="A198" s="147"/>
      <c r="B198" s="97"/>
      <c r="C198" s="103"/>
      <c r="D198" s="103"/>
      <c r="E198" s="103"/>
      <c r="F198" s="150"/>
      <c r="G198" s="150"/>
      <c r="H198" s="100"/>
      <c r="I198" s="7">
        <f t="shared" si="114"/>
        <v>0</v>
      </c>
      <c r="J198" s="100"/>
      <c r="K198" s="7">
        <f t="shared" si="115"/>
        <v>0</v>
      </c>
      <c r="L198" s="100"/>
      <c r="M198" s="7">
        <f t="shared" si="116"/>
        <v>0</v>
      </c>
      <c r="N198" s="100"/>
      <c r="O198" s="7">
        <f t="shared" si="117"/>
        <v>0</v>
      </c>
      <c r="P198" s="100"/>
      <c r="Q198" s="7">
        <f t="shared" si="111"/>
        <v>0</v>
      </c>
      <c r="R198" s="100"/>
      <c r="S198" s="7">
        <f t="shared" si="112"/>
        <v>0</v>
      </c>
      <c r="T198" s="100"/>
      <c r="U198" s="7">
        <f t="shared" si="113"/>
        <v>0</v>
      </c>
      <c r="V198" s="8">
        <f t="shared" si="118"/>
        <v>0</v>
      </c>
      <c r="W198" s="4" t="str">
        <f t="shared" si="144"/>
        <v/>
      </c>
      <c r="X198" s="123" t="str">
        <f t="shared" si="156"/>
        <v/>
      </c>
      <c r="Y198" s="123" t="str">
        <f t="shared" ref="Y198:Y231" si="158">IF(D198=0,"",(K198+M198+O198)/D198)</f>
        <v/>
      </c>
      <c r="Z198" s="123" t="str">
        <f t="shared" si="157"/>
        <v/>
      </c>
      <c r="AA198" s="152"/>
      <c r="AB198" s="152"/>
      <c r="AC198" s="180"/>
      <c r="AD198" s="2"/>
      <c r="AE198" s="2"/>
      <c r="AF198" s="2"/>
      <c r="AG198" s="2"/>
      <c r="AH198" s="2"/>
      <c r="AI198" s="2"/>
      <c r="AJ198" s="2"/>
      <c r="AK198" s="2"/>
      <c r="AL198" s="2"/>
      <c r="AM198" s="2"/>
      <c r="AN198" s="2"/>
      <c r="AO198" s="1"/>
      <c r="AP198" s="1"/>
      <c r="AQ198" s="1"/>
      <c r="AR198" s="1"/>
      <c r="AS198" s="1"/>
      <c r="AT198" s="1"/>
      <c r="AU198" s="1"/>
      <c r="AV198" s="1"/>
      <c r="AW198" s="1"/>
      <c r="AX198" s="1"/>
      <c r="AY198" s="1"/>
    </row>
    <row r="199" spans="1:51" ht="17.25" thickBot="1" x14ac:dyDescent="0.35">
      <c r="A199" s="147"/>
      <c r="B199" s="97">
        <v>43776</v>
      </c>
      <c r="C199" s="103">
        <v>17.5</v>
      </c>
      <c r="D199" s="103"/>
      <c r="E199" s="103"/>
      <c r="F199" s="150"/>
      <c r="G199" s="150"/>
      <c r="H199" s="100">
        <v>100</v>
      </c>
      <c r="I199" s="7">
        <f t="shared" si="114"/>
        <v>500</v>
      </c>
      <c r="J199" s="100"/>
      <c r="K199" s="7">
        <f t="shared" si="115"/>
        <v>0</v>
      </c>
      <c r="L199" s="100"/>
      <c r="M199" s="7">
        <f t="shared" si="116"/>
        <v>0</v>
      </c>
      <c r="N199" s="100"/>
      <c r="O199" s="7">
        <f t="shared" si="117"/>
        <v>0</v>
      </c>
      <c r="P199" s="100"/>
      <c r="Q199" s="7">
        <f t="shared" si="111"/>
        <v>0</v>
      </c>
      <c r="R199" s="100"/>
      <c r="S199" s="7">
        <f t="shared" si="112"/>
        <v>0</v>
      </c>
      <c r="T199" s="100"/>
      <c r="U199" s="7">
        <f t="shared" si="113"/>
        <v>0</v>
      </c>
      <c r="V199" s="8">
        <f t="shared" si="118"/>
        <v>1.7430105277835877E-2</v>
      </c>
      <c r="W199" s="4">
        <f t="shared" si="144"/>
        <v>28.571428571428573</v>
      </c>
      <c r="X199" s="123">
        <f t="shared" si="156"/>
        <v>28.571428571428573</v>
      </c>
      <c r="Y199" s="123" t="str">
        <f t="shared" si="158"/>
        <v/>
      </c>
      <c r="Z199" s="123" t="str">
        <f t="shared" si="157"/>
        <v/>
      </c>
      <c r="AA199" s="152"/>
      <c r="AB199" s="152"/>
      <c r="AC199" s="180"/>
      <c r="AD199" s="2"/>
      <c r="AE199" s="2"/>
      <c r="AF199" s="2"/>
      <c r="AG199" s="2"/>
      <c r="AH199" s="2"/>
      <c r="AI199" s="2"/>
      <c r="AJ199" s="2"/>
      <c r="AK199" s="2"/>
      <c r="AL199" s="2"/>
      <c r="AM199" s="2"/>
      <c r="AN199" s="2"/>
      <c r="AO199" s="1"/>
      <c r="AP199" s="1"/>
      <c r="AQ199" s="1"/>
      <c r="AR199" s="1"/>
      <c r="AS199" s="1"/>
      <c r="AT199" s="1"/>
      <c r="AU199" s="1"/>
      <c r="AV199" s="1"/>
      <c r="AW199" s="1"/>
      <c r="AX199" s="1"/>
      <c r="AY199" s="1"/>
    </row>
    <row r="200" spans="1:51" ht="17.25" thickBot="1" x14ac:dyDescent="0.35">
      <c r="A200" s="147"/>
      <c r="B200" s="97">
        <v>43777</v>
      </c>
      <c r="C200" s="103">
        <v>40</v>
      </c>
      <c r="D200" s="103"/>
      <c r="E200" s="103"/>
      <c r="F200" s="150"/>
      <c r="G200" s="150"/>
      <c r="H200" s="100">
        <v>398</v>
      </c>
      <c r="I200" s="7">
        <f t="shared" si="114"/>
        <v>1990</v>
      </c>
      <c r="J200" s="100"/>
      <c r="K200" s="7">
        <f t="shared" si="115"/>
        <v>0</v>
      </c>
      <c r="L200" s="100"/>
      <c r="M200" s="7">
        <f t="shared" si="116"/>
        <v>0</v>
      </c>
      <c r="N200" s="100"/>
      <c r="O200" s="7">
        <f t="shared" si="117"/>
        <v>0</v>
      </c>
      <c r="P200" s="100"/>
      <c r="Q200" s="7">
        <f t="shared" si="111"/>
        <v>0</v>
      </c>
      <c r="R200" s="100"/>
      <c r="S200" s="7">
        <f t="shared" si="112"/>
        <v>0</v>
      </c>
      <c r="T200" s="100"/>
      <c r="U200" s="7">
        <f t="shared" si="113"/>
        <v>0</v>
      </c>
      <c r="V200" s="8">
        <f t="shared" si="118"/>
        <v>6.9371819005786789E-2</v>
      </c>
      <c r="W200" s="4">
        <f t="shared" si="144"/>
        <v>49.75</v>
      </c>
      <c r="X200" s="123">
        <f t="shared" si="156"/>
        <v>49.75</v>
      </c>
      <c r="Y200" s="123" t="str">
        <f t="shared" si="158"/>
        <v/>
      </c>
      <c r="Z200" s="123" t="str">
        <f t="shared" si="157"/>
        <v/>
      </c>
      <c r="AA200" s="152"/>
      <c r="AB200" s="152"/>
      <c r="AC200" s="180"/>
      <c r="AD200" s="2"/>
      <c r="AE200" s="2"/>
      <c r="AF200" s="2"/>
      <c r="AG200" s="2"/>
      <c r="AH200" s="2"/>
      <c r="AI200" s="2"/>
      <c r="AJ200" s="2"/>
      <c r="AK200" s="2"/>
      <c r="AL200" s="2"/>
      <c r="AM200" s="2"/>
      <c r="AN200" s="2"/>
      <c r="AO200" s="1"/>
      <c r="AP200" s="1"/>
      <c r="AQ200" s="1"/>
      <c r="AR200" s="1"/>
      <c r="AS200" s="1"/>
      <c r="AT200" s="1"/>
      <c r="AU200" s="1"/>
      <c r="AV200" s="1"/>
      <c r="AW200" s="1"/>
      <c r="AX200" s="1"/>
      <c r="AY200" s="1"/>
    </row>
    <row r="201" spans="1:51" ht="17.25" thickBot="1" x14ac:dyDescent="0.35">
      <c r="A201" s="148"/>
      <c r="B201" s="98"/>
      <c r="C201" s="104"/>
      <c r="D201" s="104"/>
      <c r="E201" s="104"/>
      <c r="F201" s="151"/>
      <c r="G201" s="151"/>
      <c r="H201" s="101"/>
      <c r="I201" s="39">
        <f t="shared" si="114"/>
        <v>0</v>
      </c>
      <c r="J201" s="101"/>
      <c r="K201" s="39">
        <f t="shared" si="115"/>
        <v>0</v>
      </c>
      <c r="L201" s="101"/>
      <c r="M201" s="39">
        <f t="shared" si="116"/>
        <v>0</v>
      </c>
      <c r="N201" s="101"/>
      <c r="O201" s="39">
        <f t="shared" si="117"/>
        <v>0</v>
      </c>
      <c r="P201" s="101"/>
      <c r="Q201" s="39">
        <f t="shared" si="111"/>
        <v>0</v>
      </c>
      <c r="R201" s="101"/>
      <c r="S201" s="39">
        <f t="shared" si="112"/>
        <v>0</v>
      </c>
      <c r="T201" s="101"/>
      <c r="U201" s="39">
        <f t="shared" si="113"/>
        <v>0</v>
      </c>
      <c r="V201" s="36">
        <f t="shared" si="118"/>
        <v>0</v>
      </c>
      <c r="W201" s="74" t="str">
        <f t="shared" si="144"/>
        <v/>
      </c>
      <c r="X201" s="124" t="str">
        <f t="shared" si="156"/>
        <v/>
      </c>
      <c r="Y201" s="124" t="str">
        <f t="shared" si="158"/>
        <v/>
      </c>
      <c r="Z201" s="124" t="str">
        <f t="shared" si="157"/>
        <v/>
      </c>
      <c r="AA201" s="152"/>
      <c r="AB201" s="152"/>
      <c r="AC201" s="181"/>
      <c r="AD201" s="2"/>
      <c r="AE201" s="2"/>
      <c r="AF201" s="2"/>
      <c r="AG201" s="2"/>
      <c r="AH201" s="2"/>
      <c r="AI201" s="2"/>
      <c r="AJ201" s="2"/>
      <c r="AK201" s="2"/>
      <c r="AL201" s="2"/>
      <c r="AM201" s="2"/>
      <c r="AN201" s="2"/>
      <c r="AO201" s="1"/>
      <c r="AP201" s="1"/>
      <c r="AQ201" s="1"/>
      <c r="AR201" s="1"/>
      <c r="AS201" s="1"/>
      <c r="AT201" s="1"/>
      <c r="AU201" s="1"/>
      <c r="AV201" s="1"/>
      <c r="AW201" s="1"/>
      <c r="AX201" s="1"/>
      <c r="AY201" s="1"/>
    </row>
    <row r="202" spans="1:51" ht="17.25" thickBot="1" x14ac:dyDescent="0.35">
      <c r="A202" s="146">
        <v>46</v>
      </c>
      <c r="B202" s="105"/>
      <c r="C202" s="102"/>
      <c r="D202" s="102"/>
      <c r="E202" s="102"/>
      <c r="F202" s="149">
        <f t="shared" ref="F202" si="159">SUM(M202:M207,O202:O207,Q202:Q207,S202:S207,I202:I207,K202:K207)</f>
        <v>0</v>
      </c>
      <c r="G202" s="149">
        <f t="shared" ref="G202" si="160">SUM(M202:M207,O202:O207,Q202:Q207,S202:S207,U202:U207,K202:K207,I202:I207)</f>
        <v>0</v>
      </c>
      <c r="H202" s="99"/>
      <c r="I202" s="40">
        <f t="shared" si="114"/>
        <v>0</v>
      </c>
      <c r="J202" s="99"/>
      <c r="K202" s="40">
        <f t="shared" si="115"/>
        <v>0</v>
      </c>
      <c r="L202" s="99"/>
      <c r="M202" s="40">
        <f t="shared" si="116"/>
        <v>0</v>
      </c>
      <c r="N202" s="99"/>
      <c r="O202" s="40">
        <f t="shared" si="117"/>
        <v>0</v>
      </c>
      <c r="P202" s="99"/>
      <c r="Q202" s="40">
        <f t="shared" ref="Q202:Q231" si="161">P202*P$3</f>
        <v>0</v>
      </c>
      <c r="R202" s="99"/>
      <c r="S202" s="40">
        <f t="shared" ref="S202:S231" si="162">R202*R$3</f>
        <v>0</v>
      </c>
      <c r="T202" s="99"/>
      <c r="U202" s="40">
        <f t="shared" ref="U202:U231" si="163">T202*T$3</f>
        <v>0</v>
      </c>
      <c r="V202" s="34">
        <f t="shared" si="118"/>
        <v>0</v>
      </c>
      <c r="W202" s="75" t="str">
        <f t="shared" si="144"/>
        <v/>
      </c>
      <c r="X202" s="122" t="str">
        <f t="shared" si="156"/>
        <v/>
      </c>
      <c r="Y202" s="122" t="str">
        <f t="shared" si="158"/>
        <v/>
      </c>
      <c r="Z202" s="122" t="str">
        <f t="shared" si="157"/>
        <v/>
      </c>
      <c r="AA202" s="152" t="e">
        <f t="shared" ref="AA202" si="164">AVERAGE(W202:W207)</f>
        <v>#DIV/0!</v>
      </c>
      <c r="AB202" s="152">
        <f t="shared" ref="AB202" si="165">SUM(V202:V207)</f>
        <v>0</v>
      </c>
      <c r="AC202" s="179">
        <v>0</v>
      </c>
      <c r="AD202" s="2"/>
      <c r="AE202" s="2"/>
      <c r="AF202" s="2"/>
      <c r="AG202" s="2"/>
      <c r="AH202" s="2"/>
      <c r="AI202" s="2"/>
      <c r="AJ202" s="2"/>
      <c r="AK202" s="2"/>
      <c r="AL202" s="2"/>
      <c r="AM202" s="2"/>
      <c r="AN202" s="2"/>
      <c r="AO202" s="1"/>
      <c r="AP202" s="1"/>
      <c r="AQ202" s="1"/>
      <c r="AR202" s="1"/>
      <c r="AS202" s="1"/>
      <c r="AT202" s="1"/>
      <c r="AU202" s="1"/>
      <c r="AV202" s="1"/>
      <c r="AW202" s="1"/>
      <c r="AX202" s="1"/>
      <c r="AY202" s="1"/>
    </row>
    <row r="203" spans="1:51" ht="17.25" thickBot="1" x14ac:dyDescent="0.35">
      <c r="A203" s="147"/>
      <c r="B203" s="97"/>
      <c r="C203" s="103"/>
      <c r="D203" s="103"/>
      <c r="E203" s="103"/>
      <c r="F203" s="150"/>
      <c r="G203" s="150"/>
      <c r="H203" s="100"/>
      <c r="I203" s="7">
        <f t="shared" ref="I203:I231" si="166">H203*H$3</f>
        <v>0</v>
      </c>
      <c r="J203" s="100"/>
      <c r="K203" s="7">
        <f t="shared" ref="K203:K231" si="167">J203*J$3</f>
        <v>0</v>
      </c>
      <c r="L203" s="100"/>
      <c r="M203" s="7">
        <f t="shared" ref="M203:M231" si="168">L203*L$3</f>
        <v>0</v>
      </c>
      <c r="N203" s="100"/>
      <c r="O203" s="7">
        <f t="shared" ref="O203:O231" si="169">N203*N$3</f>
        <v>0</v>
      </c>
      <c r="P203" s="100"/>
      <c r="Q203" s="7">
        <f t="shared" si="161"/>
        <v>0</v>
      </c>
      <c r="R203" s="100"/>
      <c r="S203" s="7">
        <f t="shared" si="162"/>
        <v>0</v>
      </c>
      <c r="T203" s="100"/>
      <c r="U203" s="7">
        <f t="shared" si="163"/>
        <v>0</v>
      </c>
      <c r="V203" s="8">
        <f t="shared" ref="V203:V231" si="170">(M203+O203+Q203+S203+I203+K203)/H$1</f>
        <v>0</v>
      </c>
      <c r="W203" s="4" t="str">
        <f t="shared" si="144"/>
        <v/>
      </c>
      <c r="X203" s="123" t="str">
        <f t="shared" si="156"/>
        <v/>
      </c>
      <c r="Y203" s="123" t="str">
        <f t="shared" si="158"/>
        <v/>
      </c>
      <c r="Z203" s="123" t="str">
        <f t="shared" si="157"/>
        <v/>
      </c>
      <c r="AA203" s="152"/>
      <c r="AB203" s="152"/>
      <c r="AC203" s="180"/>
      <c r="AD203" s="2"/>
      <c r="AE203" s="2"/>
      <c r="AF203" s="2"/>
      <c r="AG203" s="2"/>
      <c r="AH203" s="2"/>
      <c r="AI203" s="2"/>
      <c r="AJ203" s="2"/>
      <c r="AK203" s="2"/>
      <c r="AL203" s="2"/>
      <c r="AM203" s="2"/>
      <c r="AN203" s="2"/>
      <c r="AO203" s="1"/>
      <c r="AP203" s="1"/>
      <c r="AQ203" s="1"/>
      <c r="AR203" s="1"/>
      <c r="AS203" s="1"/>
      <c r="AT203" s="1"/>
      <c r="AU203" s="1"/>
      <c r="AV203" s="1"/>
      <c r="AW203" s="1"/>
      <c r="AX203" s="1"/>
      <c r="AY203" s="1"/>
    </row>
    <row r="204" spans="1:51" ht="17.25" thickBot="1" x14ac:dyDescent="0.35">
      <c r="A204" s="147"/>
      <c r="B204" s="97"/>
      <c r="C204" s="103"/>
      <c r="D204" s="103"/>
      <c r="E204" s="103"/>
      <c r="F204" s="150"/>
      <c r="G204" s="150"/>
      <c r="H204" s="100"/>
      <c r="I204" s="7">
        <f t="shared" si="166"/>
        <v>0</v>
      </c>
      <c r="J204" s="100"/>
      <c r="K204" s="7">
        <f t="shared" si="167"/>
        <v>0</v>
      </c>
      <c r="L204" s="100"/>
      <c r="M204" s="7">
        <f t="shared" si="168"/>
        <v>0</v>
      </c>
      <c r="N204" s="100"/>
      <c r="O204" s="7">
        <f t="shared" si="169"/>
        <v>0</v>
      </c>
      <c r="P204" s="100"/>
      <c r="Q204" s="7">
        <f t="shared" si="161"/>
        <v>0</v>
      </c>
      <c r="R204" s="100"/>
      <c r="S204" s="7">
        <f t="shared" si="162"/>
        <v>0</v>
      </c>
      <c r="T204" s="100"/>
      <c r="U204" s="7">
        <f t="shared" si="163"/>
        <v>0</v>
      </c>
      <c r="V204" s="8">
        <f t="shared" si="170"/>
        <v>0</v>
      </c>
      <c r="W204" s="4" t="str">
        <f t="shared" si="144"/>
        <v/>
      </c>
      <c r="X204" s="123" t="str">
        <f t="shared" si="156"/>
        <v/>
      </c>
      <c r="Y204" s="123" t="str">
        <f t="shared" si="158"/>
        <v/>
      </c>
      <c r="Z204" s="123" t="str">
        <f t="shared" si="157"/>
        <v/>
      </c>
      <c r="AA204" s="152"/>
      <c r="AB204" s="152"/>
      <c r="AC204" s="180"/>
      <c r="AD204" s="2"/>
      <c r="AE204" s="2"/>
      <c r="AF204" s="2"/>
      <c r="AG204" s="2"/>
      <c r="AH204" s="2"/>
      <c r="AI204" s="2"/>
      <c r="AJ204" s="2"/>
      <c r="AK204" s="2"/>
      <c r="AL204" s="2"/>
      <c r="AM204" s="2"/>
      <c r="AN204" s="2"/>
      <c r="AO204" s="1"/>
      <c r="AP204" s="1"/>
      <c r="AQ204" s="1"/>
      <c r="AR204" s="1"/>
      <c r="AS204" s="1"/>
      <c r="AT204" s="1"/>
      <c r="AU204" s="1"/>
      <c r="AV204" s="1"/>
      <c r="AW204" s="1"/>
      <c r="AX204" s="1"/>
      <c r="AY204" s="1"/>
    </row>
    <row r="205" spans="1:51" ht="17.25" thickBot="1" x14ac:dyDescent="0.35">
      <c r="A205" s="147"/>
      <c r="B205" s="97"/>
      <c r="C205" s="103"/>
      <c r="D205" s="103"/>
      <c r="E205" s="103"/>
      <c r="F205" s="150"/>
      <c r="G205" s="150"/>
      <c r="H205" s="100"/>
      <c r="I205" s="7">
        <f t="shared" si="166"/>
        <v>0</v>
      </c>
      <c r="J205" s="100"/>
      <c r="K205" s="7">
        <f t="shared" si="167"/>
        <v>0</v>
      </c>
      <c r="L205" s="100"/>
      <c r="M205" s="7">
        <f t="shared" si="168"/>
        <v>0</v>
      </c>
      <c r="N205" s="100"/>
      <c r="O205" s="7">
        <f t="shared" si="169"/>
        <v>0</v>
      </c>
      <c r="P205" s="100"/>
      <c r="Q205" s="7">
        <f t="shared" si="161"/>
        <v>0</v>
      </c>
      <c r="R205" s="100"/>
      <c r="S205" s="7">
        <f t="shared" si="162"/>
        <v>0</v>
      </c>
      <c r="T205" s="100"/>
      <c r="U205" s="7">
        <f t="shared" si="163"/>
        <v>0</v>
      </c>
      <c r="V205" s="8">
        <f t="shared" si="170"/>
        <v>0</v>
      </c>
      <c r="W205" s="4" t="str">
        <f t="shared" si="144"/>
        <v/>
      </c>
      <c r="X205" s="123" t="str">
        <f t="shared" si="156"/>
        <v/>
      </c>
      <c r="Y205" s="123" t="str">
        <f t="shared" si="158"/>
        <v/>
      </c>
      <c r="Z205" s="123" t="str">
        <f t="shared" si="157"/>
        <v/>
      </c>
      <c r="AA205" s="152"/>
      <c r="AB205" s="152"/>
      <c r="AC205" s="180"/>
      <c r="AD205" s="2"/>
      <c r="AE205" s="2"/>
      <c r="AF205" s="2"/>
      <c r="AG205" s="2"/>
      <c r="AH205" s="2"/>
      <c r="AI205" s="2"/>
      <c r="AJ205" s="2"/>
      <c r="AK205" s="2"/>
      <c r="AL205" s="2"/>
      <c r="AM205" s="2"/>
      <c r="AN205" s="2"/>
      <c r="AO205" s="1"/>
      <c r="AP205" s="1"/>
      <c r="AQ205" s="1"/>
      <c r="AR205" s="1"/>
      <c r="AS205" s="1"/>
      <c r="AT205" s="1"/>
      <c r="AU205" s="1"/>
      <c r="AV205" s="1"/>
      <c r="AW205" s="1"/>
      <c r="AX205" s="1"/>
      <c r="AY205" s="1"/>
    </row>
    <row r="206" spans="1:51" ht="17.25" thickBot="1" x14ac:dyDescent="0.35">
      <c r="A206" s="147"/>
      <c r="B206" s="97"/>
      <c r="C206" s="103"/>
      <c r="D206" s="103"/>
      <c r="E206" s="103"/>
      <c r="F206" s="150"/>
      <c r="G206" s="150"/>
      <c r="H206" s="100"/>
      <c r="I206" s="7">
        <f t="shared" si="166"/>
        <v>0</v>
      </c>
      <c r="J206" s="100"/>
      <c r="K206" s="7">
        <f t="shared" si="167"/>
        <v>0</v>
      </c>
      <c r="L206" s="100"/>
      <c r="M206" s="7">
        <f t="shared" si="168"/>
        <v>0</v>
      </c>
      <c r="N206" s="100"/>
      <c r="O206" s="7">
        <f t="shared" si="169"/>
        <v>0</v>
      </c>
      <c r="P206" s="100"/>
      <c r="Q206" s="7">
        <f t="shared" si="161"/>
        <v>0</v>
      </c>
      <c r="R206" s="100"/>
      <c r="S206" s="7">
        <f t="shared" si="162"/>
        <v>0</v>
      </c>
      <c r="T206" s="100"/>
      <c r="U206" s="7">
        <f t="shared" si="163"/>
        <v>0</v>
      </c>
      <c r="V206" s="8">
        <f t="shared" si="170"/>
        <v>0</v>
      </c>
      <c r="W206" s="4" t="str">
        <f t="shared" si="144"/>
        <v/>
      </c>
      <c r="X206" s="123" t="str">
        <f t="shared" si="156"/>
        <v/>
      </c>
      <c r="Y206" s="123" t="str">
        <f t="shared" si="158"/>
        <v/>
      </c>
      <c r="Z206" s="123" t="str">
        <f t="shared" si="157"/>
        <v/>
      </c>
      <c r="AA206" s="152"/>
      <c r="AB206" s="152"/>
      <c r="AC206" s="180"/>
      <c r="AD206" s="2"/>
      <c r="AE206" s="2"/>
      <c r="AF206" s="2"/>
      <c r="AG206" s="2"/>
      <c r="AH206" s="2"/>
      <c r="AI206" s="2"/>
      <c r="AJ206" s="2"/>
      <c r="AK206" s="2"/>
      <c r="AL206" s="2"/>
      <c r="AM206" s="2"/>
      <c r="AN206" s="2"/>
      <c r="AO206" s="1"/>
      <c r="AP206" s="1"/>
      <c r="AQ206" s="1"/>
      <c r="AR206" s="1"/>
      <c r="AS206" s="1"/>
      <c r="AT206" s="1"/>
      <c r="AU206" s="1"/>
      <c r="AV206" s="1"/>
      <c r="AW206" s="1"/>
      <c r="AX206" s="1"/>
      <c r="AY206" s="1"/>
    </row>
    <row r="207" spans="1:51" ht="17.25" thickBot="1" x14ac:dyDescent="0.35">
      <c r="A207" s="148"/>
      <c r="B207" s="98"/>
      <c r="C207" s="104"/>
      <c r="D207" s="104"/>
      <c r="E207" s="104"/>
      <c r="F207" s="151"/>
      <c r="G207" s="151"/>
      <c r="H207" s="101"/>
      <c r="I207" s="39">
        <f t="shared" si="166"/>
        <v>0</v>
      </c>
      <c r="J207" s="101"/>
      <c r="K207" s="39">
        <f t="shared" si="167"/>
        <v>0</v>
      </c>
      <c r="L207" s="101"/>
      <c r="M207" s="39">
        <f t="shared" si="168"/>
        <v>0</v>
      </c>
      <c r="N207" s="101"/>
      <c r="O207" s="39">
        <f t="shared" si="169"/>
        <v>0</v>
      </c>
      <c r="P207" s="101"/>
      <c r="Q207" s="39">
        <f t="shared" si="161"/>
        <v>0</v>
      </c>
      <c r="R207" s="101"/>
      <c r="S207" s="39">
        <f t="shared" si="162"/>
        <v>0</v>
      </c>
      <c r="T207" s="101"/>
      <c r="U207" s="39">
        <f t="shared" si="163"/>
        <v>0</v>
      </c>
      <c r="V207" s="36">
        <f t="shared" si="170"/>
        <v>0</v>
      </c>
      <c r="W207" s="74" t="str">
        <f t="shared" si="144"/>
        <v/>
      </c>
      <c r="X207" s="124" t="str">
        <f t="shared" si="156"/>
        <v/>
      </c>
      <c r="Y207" s="124" t="str">
        <f t="shared" si="158"/>
        <v/>
      </c>
      <c r="Z207" s="124" t="str">
        <f t="shared" si="157"/>
        <v/>
      </c>
      <c r="AA207" s="152"/>
      <c r="AB207" s="152"/>
      <c r="AC207" s="181"/>
      <c r="AD207" s="2"/>
      <c r="AE207" s="2"/>
      <c r="AF207" s="2"/>
      <c r="AG207" s="2"/>
      <c r="AH207" s="2"/>
      <c r="AI207" s="2"/>
      <c r="AJ207" s="2"/>
      <c r="AK207" s="2"/>
      <c r="AL207" s="2"/>
      <c r="AM207" s="2"/>
      <c r="AN207" s="2"/>
      <c r="AO207" s="1"/>
      <c r="AP207" s="1"/>
      <c r="AQ207" s="1"/>
      <c r="AR207" s="1"/>
      <c r="AS207" s="1"/>
      <c r="AT207" s="1"/>
      <c r="AU207" s="1"/>
      <c r="AV207" s="1"/>
      <c r="AW207" s="1"/>
      <c r="AX207" s="1"/>
      <c r="AY207" s="1"/>
    </row>
    <row r="208" spans="1:51" ht="17.25" thickBot="1" x14ac:dyDescent="0.35">
      <c r="A208" s="147">
        <v>47</v>
      </c>
      <c r="B208" s="105"/>
      <c r="C208" s="102"/>
      <c r="D208" s="102"/>
      <c r="E208" s="102"/>
      <c r="F208" s="149">
        <f t="shared" ref="F208" si="171">SUM(M208:M213,O208:O213,Q208:Q213,S208:S213,I208:I213,K208:K213)</f>
        <v>0</v>
      </c>
      <c r="G208" s="149">
        <f t="shared" ref="G208" si="172">SUM(M208:M213,O208:O213,Q208:Q213,S208:S213,U208:U213,K208:K213,I208:I213)</f>
        <v>0</v>
      </c>
      <c r="H208" s="99"/>
      <c r="I208" s="7">
        <f t="shared" si="166"/>
        <v>0</v>
      </c>
      <c r="J208" s="99"/>
      <c r="K208" s="7">
        <f t="shared" si="167"/>
        <v>0</v>
      </c>
      <c r="L208" s="99"/>
      <c r="M208" s="7">
        <f t="shared" si="168"/>
        <v>0</v>
      </c>
      <c r="N208" s="99"/>
      <c r="O208" s="7">
        <f t="shared" si="169"/>
        <v>0</v>
      </c>
      <c r="P208" s="99"/>
      <c r="Q208" s="7">
        <f t="shared" si="161"/>
        <v>0</v>
      </c>
      <c r="R208" s="99"/>
      <c r="S208" s="7">
        <f t="shared" si="162"/>
        <v>0</v>
      </c>
      <c r="T208" s="99"/>
      <c r="U208" s="7">
        <f t="shared" si="163"/>
        <v>0</v>
      </c>
      <c r="V208" s="8">
        <f t="shared" si="170"/>
        <v>0</v>
      </c>
      <c r="W208" s="75" t="str">
        <f t="shared" si="144"/>
        <v/>
      </c>
      <c r="X208" s="122" t="str">
        <f t="shared" si="156"/>
        <v/>
      </c>
      <c r="Y208" s="122" t="str">
        <f t="shared" si="158"/>
        <v/>
      </c>
      <c r="Z208" s="122" t="str">
        <f t="shared" si="157"/>
        <v/>
      </c>
      <c r="AA208" s="152" t="e">
        <f>AVERAGE(W208:W213)</f>
        <v>#DIV/0!</v>
      </c>
      <c r="AB208" s="152">
        <f t="shared" ref="AB208" si="173">SUM(V208:V213)</f>
        <v>0</v>
      </c>
      <c r="AC208" s="179">
        <v>0</v>
      </c>
      <c r="AD208" s="2"/>
      <c r="AE208" s="2"/>
      <c r="AF208" s="2"/>
      <c r="AG208" s="2"/>
      <c r="AH208" s="2"/>
      <c r="AI208" s="2"/>
      <c r="AJ208" s="2"/>
      <c r="AK208" s="2"/>
      <c r="AL208" s="2"/>
      <c r="AM208" s="2"/>
      <c r="AN208" s="2"/>
      <c r="AO208" s="1"/>
      <c r="AP208" s="1"/>
      <c r="AQ208" s="1"/>
      <c r="AR208" s="1"/>
      <c r="AS208" s="1"/>
      <c r="AT208" s="1"/>
      <c r="AU208" s="1"/>
      <c r="AV208" s="1"/>
      <c r="AW208" s="1"/>
      <c r="AX208" s="1"/>
      <c r="AY208" s="1"/>
    </row>
    <row r="209" spans="1:51" ht="17.25" thickBot="1" x14ac:dyDescent="0.35">
      <c r="A209" s="147"/>
      <c r="B209" s="97"/>
      <c r="C209" s="103"/>
      <c r="D209" s="103"/>
      <c r="E209" s="103"/>
      <c r="F209" s="150"/>
      <c r="G209" s="150"/>
      <c r="H209" s="100"/>
      <c r="I209" s="7">
        <f t="shared" si="166"/>
        <v>0</v>
      </c>
      <c r="J209" s="100"/>
      <c r="K209" s="7">
        <f t="shared" si="167"/>
        <v>0</v>
      </c>
      <c r="L209" s="100"/>
      <c r="M209" s="7">
        <f t="shared" si="168"/>
        <v>0</v>
      </c>
      <c r="N209" s="100"/>
      <c r="O209" s="7">
        <f t="shared" si="169"/>
        <v>0</v>
      </c>
      <c r="P209" s="100"/>
      <c r="Q209" s="7">
        <f t="shared" si="161"/>
        <v>0</v>
      </c>
      <c r="R209" s="100"/>
      <c r="S209" s="7">
        <f t="shared" si="162"/>
        <v>0</v>
      </c>
      <c r="T209" s="100"/>
      <c r="U209" s="7">
        <f t="shared" si="163"/>
        <v>0</v>
      </c>
      <c r="V209" s="8">
        <f t="shared" si="170"/>
        <v>0</v>
      </c>
      <c r="W209" s="4" t="str">
        <f t="shared" si="144"/>
        <v/>
      </c>
      <c r="X209" s="123" t="str">
        <f t="shared" si="156"/>
        <v/>
      </c>
      <c r="Y209" s="123" t="str">
        <f t="shared" si="158"/>
        <v/>
      </c>
      <c r="Z209" s="123" t="str">
        <f t="shared" si="157"/>
        <v/>
      </c>
      <c r="AA209" s="152"/>
      <c r="AB209" s="152"/>
      <c r="AC209" s="180"/>
      <c r="AD209" s="2"/>
      <c r="AE209" s="2"/>
      <c r="AF209" s="2"/>
      <c r="AG209" s="2"/>
      <c r="AH209" s="2"/>
      <c r="AI209" s="2"/>
      <c r="AJ209" s="2"/>
      <c r="AK209" s="2"/>
      <c r="AL209" s="2"/>
      <c r="AM209" s="2"/>
      <c r="AN209" s="2"/>
      <c r="AO209" s="1"/>
      <c r="AP209" s="1"/>
      <c r="AQ209" s="1"/>
      <c r="AR209" s="1"/>
      <c r="AS209" s="1"/>
      <c r="AT209" s="1"/>
      <c r="AU209" s="1"/>
      <c r="AV209" s="1"/>
      <c r="AW209" s="1"/>
      <c r="AX209" s="1"/>
      <c r="AY209" s="1"/>
    </row>
    <row r="210" spans="1:51" ht="17.25" thickBot="1" x14ac:dyDescent="0.35">
      <c r="A210" s="147"/>
      <c r="B210" s="97"/>
      <c r="C210" s="103"/>
      <c r="D210" s="103"/>
      <c r="E210" s="103"/>
      <c r="F210" s="150"/>
      <c r="G210" s="150"/>
      <c r="H210" s="100"/>
      <c r="I210" s="7">
        <f t="shared" si="166"/>
        <v>0</v>
      </c>
      <c r="J210" s="100"/>
      <c r="K210" s="7">
        <f t="shared" si="167"/>
        <v>0</v>
      </c>
      <c r="L210" s="100"/>
      <c r="M210" s="7">
        <f t="shared" si="168"/>
        <v>0</v>
      </c>
      <c r="N210" s="100"/>
      <c r="O210" s="7">
        <f t="shared" si="169"/>
        <v>0</v>
      </c>
      <c r="P210" s="100"/>
      <c r="Q210" s="7">
        <f t="shared" si="161"/>
        <v>0</v>
      </c>
      <c r="R210" s="100"/>
      <c r="S210" s="7">
        <f t="shared" si="162"/>
        <v>0</v>
      </c>
      <c r="T210" s="100"/>
      <c r="U210" s="7">
        <f t="shared" si="163"/>
        <v>0</v>
      </c>
      <c r="V210" s="8">
        <f t="shared" si="170"/>
        <v>0</v>
      </c>
      <c r="W210" s="4" t="str">
        <f t="shared" si="144"/>
        <v/>
      </c>
      <c r="X210" s="123" t="str">
        <f t="shared" si="156"/>
        <v/>
      </c>
      <c r="Y210" s="123" t="str">
        <f t="shared" si="158"/>
        <v/>
      </c>
      <c r="Z210" s="123" t="str">
        <f t="shared" si="157"/>
        <v/>
      </c>
      <c r="AA210" s="152"/>
      <c r="AB210" s="152"/>
      <c r="AC210" s="180"/>
      <c r="AD210" s="2"/>
      <c r="AE210" s="2"/>
      <c r="AF210" s="2"/>
      <c r="AG210" s="2"/>
      <c r="AH210" s="2"/>
      <c r="AI210" s="2"/>
      <c r="AJ210" s="2"/>
      <c r="AK210" s="2"/>
      <c r="AL210" s="2"/>
      <c r="AM210" s="2"/>
      <c r="AN210" s="2"/>
      <c r="AO210" s="1"/>
      <c r="AP210" s="1"/>
      <c r="AQ210" s="1"/>
      <c r="AR210" s="1"/>
      <c r="AS210" s="1"/>
      <c r="AT210" s="1"/>
      <c r="AU210" s="1"/>
      <c r="AV210" s="1"/>
      <c r="AW210" s="1"/>
      <c r="AX210" s="1"/>
      <c r="AY210" s="1"/>
    </row>
    <row r="211" spans="1:51" ht="17.25" thickBot="1" x14ac:dyDescent="0.35">
      <c r="A211" s="147"/>
      <c r="B211" s="97"/>
      <c r="C211" s="103"/>
      <c r="D211" s="103"/>
      <c r="E211" s="103"/>
      <c r="F211" s="150"/>
      <c r="G211" s="150"/>
      <c r="H211" s="100"/>
      <c r="I211" s="7">
        <f t="shared" si="166"/>
        <v>0</v>
      </c>
      <c r="J211" s="100"/>
      <c r="K211" s="7">
        <f t="shared" si="167"/>
        <v>0</v>
      </c>
      <c r="L211" s="100"/>
      <c r="M211" s="7">
        <f t="shared" si="168"/>
        <v>0</v>
      </c>
      <c r="N211" s="100"/>
      <c r="O211" s="7">
        <f t="shared" si="169"/>
        <v>0</v>
      </c>
      <c r="P211" s="100"/>
      <c r="Q211" s="7">
        <f t="shared" si="161"/>
        <v>0</v>
      </c>
      <c r="R211" s="100"/>
      <c r="S211" s="7">
        <f t="shared" si="162"/>
        <v>0</v>
      </c>
      <c r="T211" s="100"/>
      <c r="U211" s="7">
        <f t="shared" si="163"/>
        <v>0</v>
      </c>
      <c r="V211" s="8">
        <f t="shared" si="170"/>
        <v>0</v>
      </c>
      <c r="W211" s="4" t="str">
        <f t="shared" si="144"/>
        <v/>
      </c>
      <c r="X211" s="123" t="str">
        <f t="shared" si="156"/>
        <v/>
      </c>
      <c r="Y211" s="123" t="str">
        <f t="shared" si="158"/>
        <v/>
      </c>
      <c r="Z211" s="123" t="str">
        <f t="shared" si="157"/>
        <v/>
      </c>
      <c r="AA211" s="152"/>
      <c r="AB211" s="152"/>
      <c r="AC211" s="180"/>
      <c r="AD211" s="2"/>
      <c r="AE211" s="2"/>
      <c r="AF211" s="2"/>
      <c r="AG211" s="2"/>
      <c r="AH211" s="2"/>
      <c r="AI211" s="2"/>
      <c r="AJ211" s="2"/>
      <c r="AK211" s="2"/>
      <c r="AL211" s="2"/>
      <c r="AM211" s="2"/>
      <c r="AN211" s="2"/>
      <c r="AO211" s="1"/>
      <c r="AP211" s="1"/>
      <c r="AQ211" s="1"/>
      <c r="AR211" s="1"/>
      <c r="AS211" s="1"/>
      <c r="AT211" s="1"/>
      <c r="AU211" s="1"/>
      <c r="AV211" s="1"/>
      <c r="AW211" s="1"/>
      <c r="AX211" s="1"/>
      <c r="AY211" s="1"/>
    </row>
    <row r="212" spans="1:51" ht="17.25" thickBot="1" x14ac:dyDescent="0.35">
      <c r="A212" s="147"/>
      <c r="B212" s="97"/>
      <c r="C212" s="103"/>
      <c r="D212" s="103"/>
      <c r="E212" s="103"/>
      <c r="F212" s="150"/>
      <c r="G212" s="150"/>
      <c r="H212" s="100"/>
      <c r="I212" s="7">
        <f t="shared" si="166"/>
        <v>0</v>
      </c>
      <c r="J212" s="100"/>
      <c r="K212" s="7">
        <f t="shared" si="167"/>
        <v>0</v>
      </c>
      <c r="L212" s="100"/>
      <c r="M212" s="7">
        <f t="shared" si="168"/>
        <v>0</v>
      </c>
      <c r="N212" s="100"/>
      <c r="O212" s="7">
        <f t="shared" si="169"/>
        <v>0</v>
      </c>
      <c r="P212" s="100"/>
      <c r="Q212" s="7">
        <f t="shared" si="161"/>
        <v>0</v>
      </c>
      <c r="R212" s="100"/>
      <c r="S212" s="7">
        <f t="shared" si="162"/>
        <v>0</v>
      </c>
      <c r="T212" s="100"/>
      <c r="U212" s="7">
        <f t="shared" si="163"/>
        <v>0</v>
      </c>
      <c r="V212" s="8">
        <f t="shared" si="170"/>
        <v>0</v>
      </c>
      <c r="W212" s="4" t="str">
        <f t="shared" si="144"/>
        <v/>
      </c>
      <c r="X212" s="123" t="str">
        <f t="shared" si="156"/>
        <v/>
      </c>
      <c r="Y212" s="123" t="str">
        <f t="shared" si="158"/>
        <v/>
      </c>
      <c r="Z212" s="123" t="str">
        <f t="shared" si="157"/>
        <v/>
      </c>
      <c r="AA212" s="152"/>
      <c r="AB212" s="152"/>
      <c r="AC212" s="180"/>
      <c r="AD212" s="2"/>
      <c r="AE212" s="2"/>
      <c r="AF212" s="2"/>
      <c r="AG212" s="2"/>
      <c r="AH212" s="2"/>
      <c r="AI212" s="2"/>
      <c r="AJ212" s="2"/>
      <c r="AK212" s="2"/>
      <c r="AL212" s="2"/>
      <c r="AM212" s="2"/>
      <c r="AN212" s="2"/>
      <c r="AO212" s="1"/>
      <c r="AP212" s="1"/>
      <c r="AQ212" s="1"/>
      <c r="AR212" s="1"/>
      <c r="AS212" s="1"/>
      <c r="AT212" s="1"/>
      <c r="AU212" s="1"/>
      <c r="AV212" s="1"/>
      <c r="AW212" s="1"/>
      <c r="AX212" s="1"/>
      <c r="AY212" s="1"/>
    </row>
    <row r="213" spans="1:51" ht="17.25" thickBot="1" x14ac:dyDescent="0.35">
      <c r="A213" s="147"/>
      <c r="B213" s="98"/>
      <c r="C213" s="104"/>
      <c r="D213" s="104"/>
      <c r="E213" s="104"/>
      <c r="F213" s="151"/>
      <c r="G213" s="151"/>
      <c r="H213" s="101"/>
      <c r="I213" s="7">
        <f t="shared" si="166"/>
        <v>0</v>
      </c>
      <c r="J213" s="101"/>
      <c r="K213" s="7">
        <f t="shared" si="167"/>
        <v>0</v>
      </c>
      <c r="L213" s="101"/>
      <c r="M213" s="7">
        <f t="shared" si="168"/>
        <v>0</v>
      </c>
      <c r="N213" s="101"/>
      <c r="O213" s="7">
        <f t="shared" si="169"/>
        <v>0</v>
      </c>
      <c r="P213" s="101"/>
      <c r="Q213" s="7">
        <f t="shared" si="161"/>
        <v>0</v>
      </c>
      <c r="R213" s="101"/>
      <c r="S213" s="7">
        <f t="shared" si="162"/>
        <v>0</v>
      </c>
      <c r="T213" s="101"/>
      <c r="U213" s="7">
        <f t="shared" si="163"/>
        <v>0</v>
      </c>
      <c r="V213" s="8">
        <f t="shared" si="170"/>
        <v>0</v>
      </c>
      <c r="W213" s="74" t="str">
        <f t="shared" si="144"/>
        <v/>
      </c>
      <c r="X213" s="124" t="str">
        <f t="shared" si="156"/>
        <v/>
      </c>
      <c r="Y213" s="124" t="str">
        <f t="shared" si="158"/>
        <v/>
      </c>
      <c r="Z213" s="124" t="str">
        <f t="shared" si="157"/>
        <v/>
      </c>
      <c r="AA213" s="152"/>
      <c r="AB213" s="152"/>
      <c r="AC213" s="181"/>
      <c r="AD213" s="2"/>
      <c r="AE213" s="2"/>
      <c r="AF213" s="2"/>
      <c r="AG213" s="2"/>
      <c r="AH213" s="2"/>
      <c r="AI213" s="2"/>
      <c r="AJ213" s="2"/>
      <c r="AK213" s="2"/>
      <c r="AL213" s="2"/>
      <c r="AM213" s="2"/>
      <c r="AN213" s="2"/>
      <c r="AO213" s="1"/>
      <c r="AP213" s="1"/>
      <c r="AQ213" s="1"/>
      <c r="AR213" s="1"/>
      <c r="AS213" s="1"/>
      <c r="AT213" s="1"/>
      <c r="AU213" s="1"/>
      <c r="AV213" s="1"/>
      <c r="AW213" s="1"/>
      <c r="AX213" s="1"/>
      <c r="AY213" s="1"/>
    </row>
    <row r="214" spans="1:51" ht="17.25" thickBot="1" x14ac:dyDescent="0.35">
      <c r="A214" s="146">
        <v>48</v>
      </c>
      <c r="B214" s="105"/>
      <c r="C214" s="102"/>
      <c r="D214" s="102"/>
      <c r="E214" s="102"/>
      <c r="F214" s="149">
        <f t="shared" ref="F214" si="174">SUM(M214:M219,O214:O219,Q214:Q219,S214:S219,I214:I219,K214:K219)</f>
        <v>0</v>
      </c>
      <c r="G214" s="149">
        <f t="shared" ref="G214" si="175">SUM(M214:M219,O214:O219,Q214:Q219,S214:S219,U214:U219,K214:K219,I214:I219)</f>
        <v>0</v>
      </c>
      <c r="H214" s="99"/>
      <c r="I214" s="40">
        <f t="shared" si="166"/>
        <v>0</v>
      </c>
      <c r="J214" s="99"/>
      <c r="K214" s="40">
        <f t="shared" si="167"/>
        <v>0</v>
      </c>
      <c r="L214" s="99"/>
      <c r="M214" s="40">
        <f t="shared" si="168"/>
        <v>0</v>
      </c>
      <c r="N214" s="99"/>
      <c r="O214" s="40">
        <f t="shared" si="169"/>
        <v>0</v>
      </c>
      <c r="P214" s="99"/>
      <c r="Q214" s="40">
        <f t="shared" si="161"/>
        <v>0</v>
      </c>
      <c r="R214" s="99"/>
      <c r="S214" s="40">
        <f t="shared" si="162"/>
        <v>0</v>
      </c>
      <c r="T214" s="99"/>
      <c r="U214" s="40">
        <f t="shared" si="163"/>
        <v>0</v>
      </c>
      <c r="V214" s="34">
        <f t="shared" si="170"/>
        <v>0</v>
      </c>
      <c r="W214" s="75" t="str">
        <f t="shared" si="144"/>
        <v/>
      </c>
      <c r="X214" s="122" t="str">
        <f t="shared" si="156"/>
        <v/>
      </c>
      <c r="Y214" s="122" t="str">
        <f t="shared" si="158"/>
        <v/>
      </c>
      <c r="Z214" s="122" t="str">
        <f t="shared" si="157"/>
        <v/>
      </c>
      <c r="AA214" s="152" t="e">
        <f t="shared" ref="AA214" si="176">AVERAGE(W214:W219)</f>
        <v>#DIV/0!</v>
      </c>
      <c r="AB214" s="152">
        <f t="shared" ref="AB214" si="177">SUM(V214:V219)</f>
        <v>0</v>
      </c>
      <c r="AC214" s="179">
        <v>0</v>
      </c>
      <c r="AD214" s="2"/>
      <c r="AE214" s="2"/>
      <c r="AF214" s="2"/>
      <c r="AG214" s="2"/>
      <c r="AH214" s="2"/>
      <c r="AI214" s="2"/>
      <c r="AJ214" s="2"/>
      <c r="AK214" s="2"/>
      <c r="AL214" s="2"/>
      <c r="AM214" s="2"/>
      <c r="AN214" s="2"/>
      <c r="AO214" s="1"/>
      <c r="AP214" s="1"/>
      <c r="AQ214" s="1"/>
      <c r="AR214" s="1"/>
      <c r="AS214" s="1"/>
      <c r="AT214" s="1"/>
      <c r="AU214" s="1"/>
      <c r="AV214" s="1"/>
      <c r="AW214" s="1"/>
      <c r="AX214" s="1"/>
      <c r="AY214" s="1"/>
    </row>
    <row r="215" spans="1:51" ht="17.25" thickBot="1" x14ac:dyDescent="0.35">
      <c r="A215" s="147"/>
      <c r="B215" s="97"/>
      <c r="C215" s="103"/>
      <c r="D215" s="103"/>
      <c r="E215" s="103"/>
      <c r="F215" s="150"/>
      <c r="G215" s="150"/>
      <c r="H215" s="100"/>
      <c r="I215" s="7">
        <f t="shared" si="166"/>
        <v>0</v>
      </c>
      <c r="J215" s="100"/>
      <c r="K215" s="7">
        <f t="shared" si="167"/>
        <v>0</v>
      </c>
      <c r="L215" s="100"/>
      <c r="M215" s="7">
        <f t="shared" si="168"/>
        <v>0</v>
      </c>
      <c r="N215" s="100"/>
      <c r="O215" s="7">
        <f t="shared" si="169"/>
        <v>0</v>
      </c>
      <c r="P215" s="100"/>
      <c r="Q215" s="7">
        <f t="shared" si="161"/>
        <v>0</v>
      </c>
      <c r="R215" s="100"/>
      <c r="S215" s="7">
        <f t="shared" si="162"/>
        <v>0</v>
      </c>
      <c r="T215" s="100"/>
      <c r="U215" s="7">
        <f t="shared" si="163"/>
        <v>0</v>
      </c>
      <c r="V215" s="8">
        <f t="shared" si="170"/>
        <v>0</v>
      </c>
      <c r="W215" s="4" t="str">
        <f t="shared" si="144"/>
        <v/>
      </c>
      <c r="X215" s="123" t="str">
        <f t="shared" si="156"/>
        <v/>
      </c>
      <c r="Y215" s="123" t="str">
        <f t="shared" si="158"/>
        <v/>
      </c>
      <c r="Z215" s="123" t="str">
        <f t="shared" si="157"/>
        <v/>
      </c>
      <c r="AA215" s="152"/>
      <c r="AB215" s="152"/>
      <c r="AC215" s="180"/>
      <c r="AD215" s="2"/>
      <c r="AE215" s="2"/>
      <c r="AF215" s="2"/>
      <c r="AG215" s="2"/>
      <c r="AH215" s="2"/>
      <c r="AI215" s="2"/>
      <c r="AJ215" s="2"/>
      <c r="AK215" s="2"/>
      <c r="AL215" s="2"/>
      <c r="AM215" s="2"/>
      <c r="AN215" s="2"/>
      <c r="AO215" s="1"/>
      <c r="AP215" s="1"/>
      <c r="AQ215" s="1"/>
      <c r="AR215" s="1"/>
      <c r="AS215" s="1"/>
      <c r="AT215" s="1"/>
      <c r="AU215" s="1"/>
      <c r="AV215" s="1"/>
      <c r="AW215" s="1"/>
      <c r="AX215" s="1"/>
      <c r="AY215" s="1"/>
    </row>
    <row r="216" spans="1:51" ht="17.25" thickBot="1" x14ac:dyDescent="0.35">
      <c r="A216" s="147"/>
      <c r="B216" s="97"/>
      <c r="C216" s="103"/>
      <c r="D216" s="103"/>
      <c r="E216" s="103"/>
      <c r="F216" s="150"/>
      <c r="G216" s="150"/>
      <c r="H216" s="100"/>
      <c r="I216" s="7">
        <f t="shared" si="166"/>
        <v>0</v>
      </c>
      <c r="J216" s="100"/>
      <c r="K216" s="7">
        <f t="shared" si="167"/>
        <v>0</v>
      </c>
      <c r="L216" s="100"/>
      <c r="M216" s="7">
        <f t="shared" si="168"/>
        <v>0</v>
      </c>
      <c r="N216" s="100"/>
      <c r="O216" s="7">
        <f t="shared" si="169"/>
        <v>0</v>
      </c>
      <c r="P216" s="100"/>
      <c r="Q216" s="7">
        <f t="shared" si="161"/>
        <v>0</v>
      </c>
      <c r="R216" s="100"/>
      <c r="S216" s="7">
        <f t="shared" si="162"/>
        <v>0</v>
      </c>
      <c r="T216" s="100"/>
      <c r="U216" s="7">
        <f t="shared" si="163"/>
        <v>0</v>
      </c>
      <c r="V216" s="8">
        <f t="shared" si="170"/>
        <v>0</v>
      </c>
      <c r="W216" s="4" t="str">
        <f t="shared" si="144"/>
        <v/>
      </c>
      <c r="X216" s="123" t="str">
        <f t="shared" si="156"/>
        <v/>
      </c>
      <c r="Y216" s="123" t="str">
        <f t="shared" si="158"/>
        <v/>
      </c>
      <c r="Z216" s="123" t="str">
        <f t="shared" si="157"/>
        <v/>
      </c>
      <c r="AA216" s="152"/>
      <c r="AB216" s="152"/>
      <c r="AC216" s="180"/>
      <c r="AD216" s="2"/>
      <c r="AE216" s="2"/>
      <c r="AF216" s="2"/>
      <c r="AG216" s="2"/>
      <c r="AH216" s="2"/>
      <c r="AI216" s="2"/>
      <c r="AJ216" s="2"/>
      <c r="AK216" s="2"/>
      <c r="AL216" s="2"/>
      <c r="AM216" s="2"/>
      <c r="AN216" s="2"/>
      <c r="AO216" s="1"/>
      <c r="AP216" s="1"/>
      <c r="AQ216" s="1"/>
      <c r="AR216" s="1"/>
      <c r="AS216" s="1"/>
      <c r="AT216" s="1"/>
      <c r="AU216" s="1"/>
      <c r="AV216" s="1"/>
      <c r="AW216" s="1"/>
      <c r="AX216" s="1"/>
      <c r="AY216" s="1"/>
    </row>
    <row r="217" spans="1:51" ht="17.25" thickBot="1" x14ac:dyDescent="0.35">
      <c r="A217" s="147"/>
      <c r="B217" s="97"/>
      <c r="C217" s="103"/>
      <c r="D217" s="103"/>
      <c r="E217" s="103"/>
      <c r="F217" s="150"/>
      <c r="G217" s="150"/>
      <c r="H217" s="100"/>
      <c r="I217" s="7">
        <f t="shared" si="166"/>
        <v>0</v>
      </c>
      <c r="J217" s="100"/>
      <c r="K217" s="7">
        <f t="shared" si="167"/>
        <v>0</v>
      </c>
      <c r="L217" s="100"/>
      <c r="M217" s="7">
        <f t="shared" si="168"/>
        <v>0</v>
      </c>
      <c r="N217" s="100"/>
      <c r="O217" s="7">
        <f t="shared" si="169"/>
        <v>0</v>
      </c>
      <c r="P217" s="100"/>
      <c r="Q217" s="7">
        <f t="shared" si="161"/>
        <v>0</v>
      </c>
      <c r="R217" s="100"/>
      <c r="S217" s="7">
        <f t="shared" si="162"/>
        <v>0</v>
      </c>
      <c r="T217" s="100"/>
      <c r="U217" s="7">
        <f t="shared" si="163"/>
        <v>0</v>
      </c>
      <c r="V217" s="8">
        <f t="shared" si="170"/>
        <v>0</v>
      </c>
      <c r="W217" s="4" t="str">
        <f t="shared" si="144"/>
        <v/>
      </c>
      <c r="X217" s="123" t="str">
        <f t="shared" si="156"/>
        <v/>
      </c>
      <c r="Y217" s="123" t="str">
        <f t="shared" si="158"/>
        <v/>
      </c>
      <c r="Z217" s="123" t="str">
        <f t="shared" si="157"/>
        <v/>
      </c>
      <c r="AA217" s="152"/>
      <c r="AB217" s="152"/>
      <c r="AC217" s="180"/>
      <c r="AD217" s="2"/>
      <c r="AE217" s="2"/>
      <c r="AF217" s="2"/>
      <c r="AG217" s="2"/>
      <c r="AH217" s="2"/>
      <c r="AI217" s="2"/>
      <c r="AJ217" s="2"/>
      <c r="AK217" s="2"/>
      <c r="AL217" s="2"/>
      <c r="AM217" s="2"/>
      <c r="AN217" s="2"/>
      <c r="AO217" s="1"/>
      <c r="AP217" s="1"/>
      <c r="AQ217" s="1"/>
      <c r="AR217" s="1"/>
      <c r="AS217" s="1"/>
      <c r="AT217" s="1"/>
      <c r="AU217" s="1"/>
      <c r="AV217" s="1"/>
      <c r="AW217" s="1"/>
      <c r="AX217" s="1"/>
      <c r="AY217" s="1"/>
    </row>
    <row r="218" spans="1:51" ht="17.25" thickBot="1" x14ac:dyDescent="0.35">
      <c r="A218" s="147"/>
      <c r="B218" s="97"/>
      <c r="C218" s="103"/>
      <c r="D218" s="103"/>
      <c r="E218" s="103"/>
      <c r="F218" s="150"/>
      <c r="G218" s="150"/>
      <c r="H218" s="100"/>
      <c r="I218" s="7">
        <f t="shared" si="166"/>
        <v>0</v>
      </c>
      <c r="J218" s="100"/>
      <c r="K218" s="7">
        <f t="shared" si="167"/>
        <v>0</v>
      </c>
      <c r="L218" s="100"/>
      <c r="M218" s="7">
        <f t="shared" si="168"/>
        <v>0</v>
      </c>
      <c r="N218" s="100"/>
      <c r="O218" s="7">
        <f t="shared" si="169"/>
        <v>0</v>
      </c>
      <c r="P218" s="100"/>
      <c r="Q218" s="7">
        <f t="shared" si="161"/>
        <v>0</v>
      </c>
      <c r="R218" s="100"/>
      <c r="S218" s="7">
        <f t="shared" si="162"/>
        <v>0</v>
      </c>
      <c r="T218" s="100"/>
      <c r="U218" s="7">
        <f t="shared" si="163"/>
        <v>0</v>
      </c>
      <c r="V218" s="8">
        <f t="shared" si="170"/>
        <v>0</v>
      </c>
      <c r="W218" s="4" t="str">
        <f t="shared" si="144"/>
        <v/>
      </c>
      <c r="X218" s="123" t="str">
        <f t="shared" si="156"/>
        <v/>
      </c>
      <c r="Y218" s="123" t="str">
        <f t="shared" si="158"/>
        <v/>
      </c>
      <c r="Z218" s="123" t="str">
        <f t="shared" si="157"/>
        <v/>
      </c>
      <c r="AA218" s="152"/>
      <c r="AB218" s="152"/>
      <c r="AC218" s="180"/>
      <c r="AD218" s="2"/>
      <c r="AE218" s="2"/>
      <c r="AF218" s="2"/>
      <c r="AG218" s="2"/>
      <c r="AH218" s="2"/>
      <c r="AI218" s="2"/>
      <c r="AJ218" s="2"/>
      <c r="AK218" s="2"/>
      <c r="AL218" s="2"/>
      <c r="AM218" s="2"/>
      <c r="AN218" s="2"/>
      <c r="AO218" s="1"/>
      <c r="AP218" s="1"/>
      <c r="AQ218" s="1"/>
      <c r="AR218" s="1"/>
      <c r="AS218" s="1"/>
      <c r="AT218" s="1"/>
      <c r="AU218" s="1"/>
      <c r="AV218" s="1"/>
      <c r="AW218" s="1"/>
      <c r="AX218" s="1"/>
      <c r="AY218" s="1"/>
    </row>
    <row r="219" spans="1:51" ht="17.25" thickBot="1" x14ac:dyDescent="0.35">
      <c r="A219" s="148"/>
      <c r="B219" s="98"/>
      <c r="C219" s="104"/>
      <c r="D219" s="104"/>
      <c r="E219" s="104"/>
      <c r="F219" s="151"/>
      <c r="G219" s="151"/>
      <c r="H219" s="101"/>
      <c r="I219" s="39">
        <f t="shared" si="166"/>
        <v>0</v>
      </c>
      <c r="J219" s="101"/>
      <c r="K219" s="39">
        <f t="shared" si="167"/>
        <v>0</v>
      </c>
      <c r="L219" s="101"/>
      <c r="M219" s="39">
        <f t="shared" si="168"/>
        <v>0</v>
      </c>
      <c r="N219" s="101"/>
      <c r="O219" s="39">
        <f t="shared" si="169"/>
        <v>0</v>
      </c>
      <c r="P219" s="101"/>
      <c r="Q219" s="39">
        <f t="shared" si="161"/>
        <v>0</v>
      </c>
      <c r="R219" s="101"/>
      <c r="S219" s="39">
        <f t="shared" si="162"/>
        <v>0</v>
      </c>
      <c r="T219" s="101"/>
      <c r="U219" s="39">
        <f t="shared" si="163"/>
        <v>0</v>
      </c>
      <c r="V219" s="36">
        <f t="shared" si="170"/>
        <v>0</v>
      </c>
      <c r="W219" s="74" t="str">
        <f t="shared" si="144"/>
        <v/>
      </c>
      <c r="X219" s="124" t="str">
        <f t="shared" si="156"/>
        <v/>
      </c>
      <c r="Y219" s="124" t="str">
        <f t="shared" si="158"/>
        <v/>
      </c>
      <c r="Z219" s="124" t="str">
        <f t="shared" si="157"/>
        <v/>
      </c>
      <c r="AA219" s="152"/>
      <c r="AB219" s="152"/>
      <c r="AC219" s="181"/>
      <c r="AD219" s="2"/>
      <c r="AE219" s="2"/>
      <c r="AF219" s="2"/>
      <c r="AG219" s="2"/>
      <c r="AH219" s="2"/>
      <c r="AI219" s="2"/>
      <c r="AJ219" s="2"/>
      <c r="AK219" s="2"/>
      <c r="AL219" s="2"/>
      <c r="AM219" s="2"/>
      <c r="AN219" s="2"/>
      <c r="AO219" s="1"/>
      <c r="AP219" s="1"/>
      <c r="AQ219" s="1"/>
      <c r="AR219" s="1"/>
      <c r="AS219" s="1"/>
      <c r="AT219" s="1"/>
      <c r="AU219" s="1"/>
      <c r="AV219" s="1"/>
      <c r="AW219" s="1"/>
      <c r="AX219" s="1"/>
      <c r="AY219" s="1"/>
    </row>
    <row r="220" spans="1:51" ht="17.25" thickBot="1" x14ac:dyDescent="0.35">
      <c r="A220" s="146">
        <v>49</v>
      </c>
      <c r="B220" s="95"/>
      <c r="C220" s="102"/>
      <c r="D220" s="102"/>
      <c r="E220" s="102"/>
      <c r="F220" s="149">
        <f t="shared" ref="F220" si="178">SUM(M220:M225,O220:O225,Q220:Q225,S220:S225,I220:I225,K220:K225)</f>
        <v>0</v>
      </c>
      <c r="G220" s="149">
        <f t="shared" ref="G220" si="179">SUM(M220:M225,O220:O225,Q220:Q225,S220:S225,U220:U225,K220:K225,I220:I225)</f>
        <v>0</v>
      </c>
      <c r="H220" s="99"/>
      <c r="I220" s="40">
        <f t="shared" si="166"/>
        <v>0</v>
      </c>
      <c r="J220" s="99"/>
      <c r="K220" s="40">
        <f t="shared" si="167"/>
        <v>0</v>
      </c>
      <c r="L220" s="99"/>
      <c r="M220" s="40">
        <f t="shared" si="168"/>
        <v>0</v>
      </c>
      <c r="N220" s="99"/>
      <c r="O220" s="40">
        <f t="shared" si="169"/>
        <v>0</v>
      </c>
      <c r="P220" s="99"/>
      <c r="Q220" s="40">
        <f t="shared" si="161"/>
        <v>0</v>
      </c>
      <c r="R220" s="99"/>
      <c r="S220" s="40">
        <f t="shared" si="162"/>
        <v>0</v>
      </c>
      <c r="T220" s="99"/>
      <c r="U220" s="40">
        <f t="shared" si="163"/>
        <v>0</v>
      </c>
      <c r="V220" s="34">
        <f t="shared" si="170"/>
        <v>0</v>
      </c>
      <c r="W220" s="75" t="str">
        <f t="shared" si="144"/>
        <v/>
      </c>
      <c r="X220" s="122" t="str">
        <f t="shared" si="156"/>
        <v/>
      </c>
      <c r="Y220" s="122" t="str">
        <f t="shared" si="158"/>
        <v/>
      </c>
      <c r="Z220" s="122" t="str">
        <f t="shared" si="157"/>
        <v/>
      </c>
      <c r="AA220" s="152" t="e">
        <f t="shared" ref="AA220" si="180">AVERAGE(W220:W225)</f>
        <v>#DIV/0!</v>
      </c>
      <c r="AB220" s="152">
        <f t="shared" ref="AB220" si="181">SUM(V220:V225)</f>
        <v>0</v>
      </c>
      <c r="AC220" s="179">
        <v>0</v>
      </c>
      <c r="AD220" s="2"/>
      <c r="AE220" s="2"/>
      <c r="AF220" s="2"/>
      <c r="AG220" s="2"/>
      <c r="AH220" s="2"/>
      <c r="AI220" s="2"/>
      <c r="AJ220" s="2"/>
      <c r="AK220" s="2"/>
      <c r="AL220" s="2"/>
      <c r="AM220" s="2"/>
      <c r="AN220" s="2"/>
      <c r="AO220" s="1"/>
      <c r="AP220" s="1"/>
      <c r="AQ220" s="1"/>
      <c r="AR220" s="1"/>
      <c r="AS220" s="1"/>
      <c r="AT220" s="1"/>
      <c r="AU220" s="1"/>
      <c r="AV220" s="1"/>
      <c r="AW220" s="1"/>
      <c r="AX220" s="1"/>
      <c r="AY220" s="1"/>
    </row>
    <row r="221" spans="1:51" ht="17.25" thickBot="1" x14ac:dyDescent="0.35">
      <c r="A221" s="147"/>
      <c r="B221" s="96"/>
      <c r="C221" s="103"/>
      <c r="D221" s="103"/>
      <c r="E221" s="103"/>
      <c r="F221" s="150"/>
      <c r="G221" s="150"/>
      <c r="H221" s="100"/>
      <c r="I221" s="7">
        <f t="shared" si="166"/>
        <v>0</v>
      </c>
      <c r="J221" s="100"/>
      <c r="K221" s="7">
        <f t="shared" si="167"/>
        <v>0</v>
      </c>
      <c r="L221" s="100"/>
      <c r="M221" s="7">
        <f t="shared" si="168"/>
        <v>0</v>
      </c>
      <c r="N221" s="100"/>
      <c r="O221" s="7">
        <f t="shared" si="169"/>
        <v>0</v>
      </c>
      <c r="P221" s="100"/>
      <c r="Q221" s="7">
        <f t="shared" si="161"/>
        <v>0</v>
      </c>
      <c r="R221" s="100"/>
      <c r="S221" s="7">
        <f t="shared" si="162"/>
        <v>0</v>
      </c>
      <c r="T221" s="100"/>
      <c r="U221" s="7">
        <f t="shared" si="163"/>
        <v>0</v>
      </c>
      <c r="V221" s="8">
        <f t="shared" si="170"/>
        <v>0</v>
      </c>
      <c r="W221" s="4" t="str">
        <f t="shared" si="144"/>
        <v/>
      </c>
      <c r="X221" s="123" t="str">
        <f t="shared" si="156"/>
        <v/>
      </c>
      <c r="Y221" s="123" t="str">
        <f t="shared" si="158"/>
        <v/>
      </c>
      <c r="Z221" s="123" t="str">
        <f t="shared" si="157"/>
        <v/>
      </c>
      <c r="AA221" s="152"/>
      <c r="AB221" s="152"/>
      <c r="AC221" s="180"/>
      <c r="AD221" s="2"/>
      <c r="AE221" s="2"/>
      <c r="AF221" s="2"/>
      <c r="AG221" s="2"/>
      <c r="AH221" s="2"/>
      <c r="AI221" s="2"/>
      <c r="AJ221" s="2"/>
      <c r="AK221" s="2"/>
      <c r="AL221" s="2"/>
      <c r="AM221" s="2"/>
      <c r="AN221" s="2"/>
      <c r="AO221" s="1"/>
      <c r="AP221" s="1"/>
      <c r="AQ221" s="1"/>
      <c r="AR221" s="1"/>
      <c r="AS221" s="1"/>
      <c r="AT221" s="1"/>
      <c r="AU221" s="1"/>
      <c r="AV221" s="1"/>
      <c r="AW221" s="1"/>
      <c r="AX221" s="1"/>
      <c r="AY221" s="1"/>
    </row>
    <row r="222" spans="1:51" ht="17.25" thickBot="1" x14ac:dyDescent="0.35">
      <c r="A222" s="147"/>
      <c r="B222" s="97"/>
      <c r="C222" s="103"/>
      <c r="D222" s="103"/>
      <c r="E222" s="103"/>
      <c r="F222" s="150"/>
      <c r="G222" s="150"/>
      <c r="H222" s="100"/>
      <c r="I222" s="7">
        <f t="shared" si="166"/>
        <v>0</v>
      </c>
      <c r="J222" s="100"/>
      <c r="K222" s="7">
        <f t="shared" si="167"/>
        <v>0</v>
      </c>
      <c r="L222" s="100"/>
      <c r="M222" s="7">
        <f t="shared" si="168"/>
        <v>0</v>
      </c>
      <c r="N222" s="100"/>
      <c r="O222" s="7">
        <f t="shared" si="169"/>
        <v>0</v>
      </c>
      <c r="P222" s="100"/>
      <c r="Q222" s="7">
        <f t="shared" si="161"/>
        <v>0</v>
      </c>
      <c r="R222" s="100"/>
      <c r="S222" s="7">
        <f t="shared" si="162"/>
        <v>0</v>
      </c>
      <c r="T222" s="100"/>
      <c r="U222" s="7">
        <f t="shared" si="163"/>
        <v>0</v>
      </c>
      <c r="V222" s="8">
        <f t="shared" si="170"/>
        <v>0</v>
      </c>
      <c r="W222" s="4" t="str">
        <f t="shared" si="144"/>
        <v/>
      </c>
      <c r="X222" s="123" t="str">
        <f t="shared" si="156"/>
        <v/>
      </c>
      <c r="Y222" s="123" t="str">
        <f t="shared" si="158"/>
        <v/>
      </c>
      <c r="Z222" s="123" t="str">
        <f t="shared" si="157"/>
        <v/>
      </c>
      <c r="AA222" s="152"/>
      <c r="AB222" s="152"/>
      <c r="AC222" s="180"/>
      <c r="AD222" s="2"/>
      <c r="AE222" s="2"/>
      <c r="AF222" s="2"/>
      <c r="AG222" s="2"/>
      <c r="AH222" s="2"/>
      <c r="AI222" s="2"/>
      <c r="AJ222" s="2"/>
      <c r="AK222" s="2"/>
      <c r="AL222" s="2"/>
      <c r="AM222" s="2"/>
      <c r="AN222" s="2"/>
      <c r="AO222" s="1"/>
      <c r="AP222" s="1"/>
      <c r="AQ222" s="1"/>
      <c r="AR222" s="1"/>
      <c r="AS222" s="1"/>
      <c r="AT222" s="1"/>
      <c r="AU222" s="1"/>
      <c r="AV222" s="1"/>
      <c r="AW222" s="1"/>
      <c r="AX222" s="1"/>
      <c r="AY222" s="1"/>
    </row>
    <row r="223" spans="1:51" ht="17.25" thickBot="1" x14ac:dyDescent="0.35">
      <c r="A223" s="147"/>
      <c r="B223" s="97"/>
      <c r="C223" s="103"/>
      <c r="D223" s="103"/>
      <c r="E223" s="103"/>
      <c r="F223" s="150"/>
      <c r="G223" s="150"/>
      <c r="H223" s="100"/>
      <c r="I223" s="7">
        <f t="shared" si="166"/>
        <v>0</v>
      </c>
      <c r="J223" s="100"/>
      <c r="K223" s="7">
        <f t="shared" si="167"/>
        <v>0</v>
      </c>
      <c r="L223" s="100"/>
      <c r="M223" s="7">
        <f t="shared" si="168"/>
        <v>0</v>
      </c>
      <c r="N223" s="100"/>
      <c r="O223" s="7">
        <f t="shared" si="169"/>
        <v>0</v>
      </c>
      <c r="P223" s="100"/>
      <c r="Q223" s="7">
        <f t="shared" si="161"/>
        <v>0</v>
      </c>
      <c r="R223" s="100"/>
      <c r="S223" s="7">
        <f t="shared" si="162"/>
        <v>0</v>
      </c>
      <c r="T223" s="100"/>
      <c r="U223" s="7">
        <f t="shared" si="163"/>
        <v>0</v>
      </c>
      <c r="V223" s="8">
        <f t="shared" si="170"/>
        <v>0</v>
      </c>
      <c r="W223" s="4" t="str">
        <f t="shared" si="144"/>
        <v/>
      </c>
      <c r="X223" s="123" t="str">
        <f t="shared" si="156"/>
        <v/>
      </c>
      <c r="Y223" s="123" t="str">
        <f t="shared" si="158"/>
        <v/>
      </c>
      <c r="Z223" s="123" t="str">
        <f t="shared" si="157"/>
        <v/>
      </c>
      <c r="AA223" s="152"/>
      <c r="AB223" s="152"/>
      <c r="AC223" s="180"/>
      <c r="AD223" s="2"/>
      <c r="AE223" s="2"/>
      <c r="AF223" s="2"/>
      <c r="AG223" s="2"/>
      <c r="AH223" s="2"/>
      <c r="AI223" s="2"/>
      <c r="AJ223" s="2"/>
      <c r="AK223" s="2"/>
      <c r="AL223" s="2"/>
      <c r="AM223" s="2"/>
      <c r="AN223" s="2"/>
      <c r="AO223" s="1"/>
      <c r="AP223" s="1"/>
      <c r="AQ223" s="1"/>
      <c r="AR223" s="1"/>
      <c r="AS223" s="1"/>
      <c r="AT223" s="1"/>
      <c r="AU223" s="1"/>
      <c r="AV223" s="1"/>
      <c r="AW223" s="1"/>
      <c r="AX223" s="1"/>
      <c r="AY223" s="1"/>
    </row>
    <row r="224" spans="1:51" ht="17.25" thickBot="1" x14ac:dyDescent="0.35">
      <c r="A224" s="147"/>
      <c r="B224" s="97"/>
      <c r="C224" s="103"/>
      <c r="D224" s="103"/>
      <c r="E224" s="103"/>
      <c r="F224" s="150"/>
      <c r="G224" s="150"/>
      <c r="H224" s="100"/>
      <c r="I224" s="7">
        <f t="shared" si="166"/>
        <v>0</v>
      </c>
      <c r="J224" s="100"/>
      <c r="K224" s="7">
        <f t="shared" si="167"/>
        <v>0</v>
      </c>
      <c r="L224" s="100"/>
      <c r="M224" s="7">
        <f t="shared" si="168"/>
        <v>0</v>
      </c>
      <c r="N224" s="100"/>
      <c r="O224" s="7">
        <f t="shared" si="169"/>
        <v>0</v>
      </c>
      <c r="P224" s="100"/>
      <c r="Q224" s="7">
        <f t="shared" si="161"/>
        <v>0</v>
      </c>
      <c r="R224" s="100"/>
      <c r="S224" s="7">
        <f t="shared" si="162"/>
        <v>0</v>
      </c>
      <c r="T224" s="100"/>
      <c r="U224" s="7">
        <f t="shared" si="163"/>
        <v>0</v>
      </c>
      <c r="V224" s="8">
        <f t="shared" si="170"/>
        <v>0</v>
      </c>
      <c r="W224" s="4" t="str">
        <f t="shared" si="144"/>
        <v/>
      </c>
      <c r="X224" s="123" t="str">
        <f t="shared" si="156"/>
        <v/>
      </c>
      <c r="Y224" s="123" t="str">
        <f t="shared" si="158"/>
        <v/>
      </c>
      <c r="Z224" s="123" t="str">
        <f t="shared" si="157"/>
        <v/>
      </c>
      <c r="AA224" s="152"/>
      <c r="AB224" s="152"/>
      <c r="AC224" s="180"/>
      <c r="AD224" s="2"/>
      <c r="AE224" s="2"/>
      <c r="AF224" s="2"/>
      <c r="AG224" s="2"/>
      <c r="AH224" s="2"/>
      <c r="AI224" s="2"/>
      <c r="AJ224" s="2"/>
      <c r="AK224" s="2"/>
      <c r="AL224" s="2"/>
      <c r="AM224" s="2"/>
      <c r="AN224" s="2"/>
      <c r="AO224" s="1"/>
      <c r="AP224" s="1"/>
      <c r="AQ224" s="1"/>
      <c r="AR224" s="1"/>
      <c r="AS224" s="1"/>
      <c r="AT224" s="1"/>
      <c r="AU224" s="1"/>
      <c r="AV224" s="1"/>
      <c r="AW224" s="1"/>
      <c r="AX224" s="1"/>
      <c r="AY224" s="1"/>
    </row>
    <row r="225" spans="1:51" ht="17.25" thickBot="1" x14ac:dyDescent="0.35">
      <c r="A225" s="148"/>
      <c r="B225" s="98"/>
      <c r="C225" s="98"/>
      <c r="D225" s="98"/>
      <c r="E225" s="98"/>
      <c r="F225" s="151"/>
      <c r="G225" s="151"/>
      <c r="H225" s="101"/>
      <c r="I225" s="39">
        <f t="shared" si="166"/>
        <v>0</v>
      </c>
      <c r="J225" s="101"/>
      <c r="K225" s="39">
        <f t="shared" si="167"/>
        <v>0</v>
      </c>
      <c r="L225" s="101"/>
      <c r="M225" s="39">
        <f t="shared" si="168"/>
        <v>0</v>
      </c>
      <c r="N225" s="101"/>
      <c r="O225" s="39">
        <f t="shared" si="169"/>
        <v>0</v>
      </c>
      <c r="P225" s="101"/>
      <c r="Q225" s="39">
        <f t="shared" si="161"/>
        <v>0</v>
      </c>
      <c r="R225" s="101"/>
      <c r="S225" s="39">
        <f t="shared" si="162"/>
        <v>0</v>
      </c>
      <c r="T225" s="101"/>
      <c r="U225" s="39">
        <f t="shared" si="163"/>
        <v>0</v>
      </c>
      <c r="V225" s="36">
        <f t="shared" si="170"/>
        <v>0</v>
      </c>
      <c r="W225" s="74" t="str">
        <f t="shared" si="144"/>
        <v/>
      </c>
      <c r="X225" s="124" t="str">
        <f t="shared" si="156"/>
        <v/>
      </c>
      <c r="Y225" s="124" t="str">
        <f t="shared" si="158"/>
        <v/>
      </c>
      <c r="Z225" s="124" t="str">
        <f t="shared" si="157"/>
        <v/>
      </c>
      <c r="AA225" s="152"/>
      <c r="AB225" s="152"/>
      <c r="AC225" s="181"/>
      <c r="AD225" s="2"/>
      <c r="AE225" s="2"/>
      <c r="AF225" s="2"/>
      <c r="AG225" s="2"/>
      <c r="AH225" s="2"/>
      <c r="AI225" s="2"/>
      <c r="AJ225" s="2"/>
      <c r="AK225" s="2"/>
      <c r="AL225" s="2"/>
      <c r="AM225" s="2"/>
      <c r="AN225" s="2"/>
      <c r="AO225" s="1"/>
      <c r="AP225" s="1"/>
      <c r="AQ225" s="1"/>
      <c r="AR225" s="1"/>
      <c r="AS225" s="1"/>
      <c r="AT225" s="1"/>
      <c r="AU225" s="1"/>
      <c r="AV225" s="1"/>
      <c r="AW225" s="1"/>
      <c r="AX225" s="1"/>
      <c r="AY225" s="1"/>
    </row>
    <row r="226" spans="1:51" ht="17.25" thickBot="1" x14ac:dyDescent="0.35">
      <c r="A226" s="146">
        <v>50</v>
      </c>
      <c r="B226" s="95"/>
      <c r="C226" s="95"/>
      <c r="D226" s="95"/>
      <c r="E226" s="95"/>
      <c r="F226" s="149">
        <f t="shared" ref="F226" si="182">SUM(M226:M231,O226:O231,Q226:Q231,S226:S231,I226:I231,K226:K231)</f>
        <v>0</v>
      </c>
      <c r="G226" s="149">
        <f t="shared" ref="G226" si="183">SUM(M226:M231,O226:O231,Q226:Q231,S226:S231,U226:U231,K226:K231,I226:I231)</f>
        <v>0</v>
      </c>
      <c r="H226" s="99"/>
      <c r="I226" s="40">
        <f t="shared" si="166"/>
        <v>0</v>
      </c>
      <c r="J226" s="99"/>
      <c r="K226" s="40">
        <f t="shared" si="167"/>
        <v>0</v>
      </c>
      <c r="L226" s="99"/>
      <c r="M226" s="40">
        <f t="shared" si="168"/>
        <v>0</v>
      </c>
      <c r="N226" s="99"/>
      <c r="O226" s="40">
        <f t="shared" si="169"/>
        <v>0</v>
      </c>
      <c r="P226" s="99"/>
      <c r="Q226" s="40">
        <f t="shared" si="161"/>
        <v>0</v>
      </c>
      <c r="R226" s="99"/>
      <c r="S226" s="40">
        <f t="shared" si="162"/>
        <v>0</v>
      </c>
      <c r="T226" s="99"/>
      <c r="U226" s="40">
        <f t="shared" si="163"/>
        <v>0</v>
      </c>
      <c r="V226" s="8">
        <f t="shared" si="170"/>
        <v>0</v>
      </c>
      <c r="W226" s="75" t="str">
        <f t="shared" si="144"/>
        <v/>
      </c>
      <c r="X226" s="122" t="str">
        <f t="shared" si="156"/>
        <v/>
      </c>
      <c r="Y226" s="122" t="str">
        <f t="shared" si="158"/>
        <v/>
      </c>
      <c r="Z226" s="122" t="str">
        <f t="shared" si="157"/>
        <v/>
      </c>
      <c r="AA226" s="152" t="e">
        <f>AVERAGE(W226:W231)</f>
        <v>#DIV/0!</v>
      </c>
      <c r="AB226" s="152">
        <f t="shared" ref="AB226" si="184">SUM(V226:V231)</f>
        <v>0</v>
      </c>
      <c r="AC226" s="179">
        <v>0</v>
      </c>
      <c r="AD226" s="2"/>
      <c r="AE226" s="2"/>
      <c r="AF226" s="2"/>
      <c r="AG226" s="2"/>
      <c r="AH226" s="2"/>
      <c r="AI226" s="2"/>
      <c r="AJ226" s="2"/>
      <c r="AK226" s="2"/>
      <c r="AL226" s="2"/>
      <c r="AM226" s="2"/>
      <c r="AN226" s="2"/>
      <c r="AO226" s="1"/>
      <c r="AP226" s="1"/>
      <c r="AQ226" s="1"/>
      <c r="AR226" s="1"/>
      <c r="AS226" s="1"/>
      <c r="AT226" s="1"/>
      <c r="AU226" s="1"/>
      <c r="AV226" s="1"/>
      <c r="AW226" s="1"/>
      <c r="AX226" s="1"/>
      <c r="AY226" s="1"/>
    </row>
    <row r="227" spans="1:51" ht="17.25" thickBot="1" x14ac:dyDescent="0.35">
      <c r="A227" s="147"/>
      <c r="B227" s="96"/>
      <c r="C227" s="96"/>
      <c r="D227" s="96"/>
      <c r="E227" s="96"/>
      <c r="F227" s="150"/>
      <c r="G227" s="150"/>
      <c r="H227" s="100"/>
      <c r="I227" s="7">
        <f t="shared" si="166"/>
        <v>0</v>
      </c>
      <c r="J227" s="100"/>
      <c r="K227" s="7">
        <f t="shared" si="167"/>
        <v>0</v>
      </c>
      <c r="L227" s="100"/>
      <c r="M227" s="7">
        <f t="shared" si="168"/>
        <v>0</v>
      </c>
      <c r="N227" s="100"/>
      <c r="O227" s="7">
        <f t="shared" si="169"/>
        <v>0</v>
      </c>
      <c r="P227" s="100"/>
      <c r="Q227" s="7">
        <f t="shared" si="161"/>
        <v>0</v>
      </c>
      <c r="R227" s="100"/>
      <c r="S227" s="7">
        <f t="shared" si="162"/>
        <v>0</v>
      </c>
      <c r="T227" s="100"/>
      <c r="U227" s="7">
        <f t="shared" si="163"/>
        <v>0</v>
      </c>
      <c r="V227" s="8">
        <f t="shared" si="170"/>
        <v>0</v>
      </c>
      <c r="W227" s="4" t="str">
        <f t="shared" si="144"/>
        <v/>
      </c>
      <c r="X227" s="123" t="str">
        <f t="shared" si="156"/>
        <v/>
      </c>
      <c r="Y227" s="123" t="str">
        <f t="shared" si="158"/>
        <v/>
      </c>
      <c r="Z227" s="123" t="str">
        <f t="shared" si="157"/>
        <v/>
      </c>
      <c r="AA227" s="152"/>
      <c r="AB227" s="152"/>
      <c r="AC227" s="180"/>
      <c r="AD227" s="2"/>
      <c r="AE227" s="2"/>
      <c r="AF227" s="2"/>
      <c r="AG227" s="2"/>
      <c r="AH227" s="2"/>
      <c r="AI227" s="2"/>
      <c r="AJ227" s="2"/>
      <c r="AK227" s="2"/>
      <c r="AL227" s="2"/>
      <c r="AM227" s="2"/>
      <c r="AN227" s="2"/>
      <c r="AO227" s="1"/>
      <c r="AP227" s="1"/>
      <c r="AQ227" s="1"/>
      <c r="AR227" s="1"/>
      <c r="AS227" s="1"/>
      <c r="AT227" s="1"/>
      <c r="AU227" s="1"/>
      <c r="AV227" s="1"/>
      <c r="AW227" s="1"/>
      <c r="AX227" s="1"/>
      <c r="AY227" s="1"/>
    </row>
    <row r="228" spans="1:51" ht="17.25" thickBot="1" x14ac:dyDescent="0.35">
      <c r="A228" s="147"/>
      <c r="B228" s="97"/>
      <c r="C228" s="97"/>
      <c r="D228" s="97"/>
      <c r="E228" s="97"/>
      <c r="F228" s="150"/>
      <c r="G228" s="150"/>
      <c r="H228" s="100"/>
      <c r="I228" s="7">
        <f t="shared" si="166"/>
        <v>0</v>
      </c>
      <c r="J228" s="100"/>
      <c r="K228" s="7">
        <f t="shared" si="167"/>
        <v>0</v>
      </c>
      <c r="L228" s="100"/>
      <c r="M228" s="7">
        <f t="shared" si="168"/>
        <v>0</v>
      </c>
      <c r="N228" s="100"/>
      <c r="O228" s="7">
        <f t="shared" si="169"/>
        <v>0</v>
      </c>
      <c r="P228" s="100"/>
      <c r="Q228" s="7">
        <f t="shared" si="161"/>
        <v>0</v>
      </c>
      <c r="R228" s="100"/>
      <c r="S228" s="7">
        <f t="shared" si="162"/>
        <v>0</v>
      </c>
      <c r="T228" s="100"/>
      <c r="U228" s="7">
        <f t="shared" si="163"/>
        <v>0</v>
      </c>
      <c r="V228" s="8">
        <f t="shared" si="170"/>
        <v>0</v>
      </c>
      <c r="W228" s="4" t="str">
        <f t="shared" si="144"/>
        <v/>
      </c>
      <c r="X228" s="123" t="str">
        <f t="shared" si="156"/>
        <v/>
      </c>
      <c r="Y228" s="123" t="str">
        <f t="shared" si="158"/>
        <v/>
      </c>
      <c r="Z228" s="123" t="str">
        <f t="shared" si="157"/>
        <v/>
      </c>
      <c r="AA228" s="152"/>
      <c r="AB228" s="152"/>
      <c r="AC228" s="180"/>
      <c r="AD228" s="2"/>
      <c r="AE228" s="2"/>
      <c r="AF228" s="2"/>
      <c r="AG228" s="2"/>
      <c r="AH228" s="2"/>
      <c r="AI228" s="2"/>
      <c r="AJ228" s="2"/>
      <c r="AK228" s="2"/>
      <c r="AL228" s="2"/>
      <c r="AM228" s="2"/>
      <c r="AN228" s="2"/>
      <c r="AO228" s="1"/>
      <c r="AP228" s="1"/>
      <c r="AQ228" s="1"/>
      <c r="AR228" s="1"/>
      <c r="AS228" s="1"/>
      <c r="AT228" s="1"/>
      <c r="AU228" s="1"/>
      <c r="AV228" s="1"/>
      <c r="AW228" s="1"/>
      <c r="AX228" s="1"/>
      <c r="AY228" s="1"/>
    </row>
    <row r="229" spans="1:51" ht="17.25" thickBot="1" x14ac:dyDescent="0.35">
      <c r="A229" s="147"/>
      <c r="B229" s="97"/>
      <c r="C229" s="97"/>
      <c r="D229" s="97"/>
      <c r="E229" s="97"/>
      <c r="F229" s="150"/>
      <c r="G229" s="150"/>
      <c r="H229" s="100"/>
      <c r="I229" s="7">
        <f t="shared" si="166"/>
        <v>0</v>
      </c>
      <c r="J229" s="100"/>
      <c r="K229" s="7">
        <f t="shared" si="167"/>
        <v>0</v>
      </c>
      <c r="L229" s="100"/>
      <c r="M229" s="7">
        <f t="shared" si="168"/>
        <v>0</v>
      </c>
      <c r="N229" s="100"/>
      <c r="O229" s="7">
        <f t="shared" si="169"/>
        <v>0</v>
      </c>
      <c r="P229" s="100"/>
      <c r="Q229" s="7">
        <f t="shared" si="161"/>
        <v>0</v>
      </c>
      <c r="R229" s="100"/>
      <c r="S229" s="7">
        <f t="shared" si="162"/>
        <v>0</v>
      </c>
      <c r="T229" s="100"/>
      <c r="U229" s="7">
        <f t="shared" si="163"/>
        <v>0</v>
      </c>
      <c r="V229" s="8">
        <f t="shared" si="170"/>
        <v>0</v>
      </c>
      <c r="W229" s="4" t="str">
        <f t="shared" si="144"/>
        <v/>
      </c>
      <c r="X229" s="123" t="str">
        <f t="shared" si="156"/>
        <v/>
      </c>
      <c r="Y229" s="123" t="str">
        <f t="shared" si="158"/>
        <v/>
      </c>
      <c r="Z229" s="123" t="str">
        <f t="shared" si="157"/>
        <v/>
      </c>
      <c r="AA229" s="152"/>
      <c r="AB229" s="152"/>
      <c r="AC229" s="180"/>
      <c r="AD229" s="2"/>
      <c r="AE229" s="2"/>
      <c r="AF229" s="2"/>
      <c r="AG229" s="2"/>
      <c r="AH229" s="2"/>
      <c r="AI229" s="2"/>
      <c r="AJ229" s="2"/>
      <c r="AK229" s="2"/>
      <c r="AL229" s="2"/>
      <c r="AM229" s="2"/>
      <c r="AN229" s="2"/>
      <c r="AO229" s="1"/>
      <c r="AP229" s="1"/>
      <c r="AQ229" s="1"/>
      <c r="AR229" s="1"/>
      <c r="AS229" s="1"/>
      <c r="AT229" s="1"/>
      <c r="AU229" s="1"/>
      <c r="AV229" s="1"/>
      <c r="AW229" s="1"/>
      <c r="AX229" s="1"/>
      <c r="AY229" s="1"/>
    </row>
    <row r="230" spans="1:51" ht="17.25" thickBot="1" x14ac:dyDescent="0.35">
      <c r="A230" s="147"/>
      <c r="B230" s="97"/>
      <c r="C230" s="97"/>
      <c r="D230" s="97"/>
      <c r="E230" s="97"/>
      <c r="F230" s="150"/>
      <c r="G230" s="150"/>
      <c r="H230" s="100"/>
      <c r="I230" s="7">
        <f t="shared" si="166"/>
        <v>0</v>
      </c>
      <c r="J230" s="100"/>
      <c r="K230" s="7">
        <f t="shared" si="167"/>
        <v>0</v>
      </c>
      <c r="L230" s="100"/>
      <c r="M230" s="7">
        <f t="shared" si="168"/>
        <v>0</v>
      </c>
      <c r="N230" s="100"/>
      <c r="O230" s="7">
        <f t="shared" si="169"/>
        <v>0</v>
      </c>
      <c r="P230" s="100"/>
      <c r="Q230" s="7">
        <f t="shared" si="161"/>
        <v>0</v>
      </c>
      <c r="R230" s="100"/>
      <c r="S230" s="7">
        <f t="shared" si="162"/>
        <v>0</v>
      </c>
      <c r="T230" s="100"/>
      <c r="U230" s="7">
        <f t="shared" si="163"/>
        <v>0</v>
      </c>
      <c r="V230" s="8">
        <f t="shared" si="170"/>
        <v>0</v>
      </c>
      <c r="W230" s="4" t="str">
        <f t="shared" si="144"/>
        <v/>
      </c>
      <c r="X230" s="123" t="str">
        <f t="shared" si="156"/>
        <v/>
      </c>
      <c r="Y230" s="123" t="str">
        <f t="shared" si="158"/>
        <v/>
      </c>
      <c r="Z230" s="123" t="str">
        <f t="shared" si="157"/>
        <v/>
      </c>
      <c r="AA230" s="152"/>
      <c r="AB230" s="152"/>
      <c r="AC230" s="180"/>
      <c r="AD230" s="2"/>
      <c r="AE230" s="2"/>
      <c r="AF230" s="2"/>
      <c r="AG230" s="2"/>
      <c r="AH230" s="2"/>
      <c r="AI230" s="2"/>
      <c r="AJ230" s="2"/>
      <c r="AK230" s="2"/>
      <c r="AL230" s="2"/>
      <c r="AM230" s="2"/>
      <c r="AN230" s="2"/>
      <c r="AO230" s="1"/>
      <c r="AP230" s="1"/>
      <c r="AQ230" s="1"/>
      <c r="AR230" s="1"/>
      <c r="AS230" s="1"/>
      <c r="AT230" s="1"/>
      <c r="AU230" s="1"/>
      <c r="AV230" s="1"/>
      <c r="AW230" s="1"/>
      <c r="AX230" s="1"/>
      <c r="AY230" s="1"/>
    </row>
    <row r="231" spans="1:51" ht="17.25" thickBot="1" x14ac:dyDescent="0.35">
      <c r="A231" s="148"/>
      <c r="B231" s="98"/>
      <c r="C231" s="98"/>
      <c r="D231" s="98"/>
      <c r="E231" s="98"/>
      <c r="F231" s="151"/>
      <c r="G231" s="151"/>
      <c r="H231" s="101"/>
      <c r="I231" s="39">
        <f t="shared" si="166"/>
        <v>0</v>
      </c>
      <c r="J231" s="101"/>
      <c r="K231" s="39">
        <f t="shared" si="167"/>
        <v>0</v>
      </c>
      <c r="L231" s="101"/>
      <c r="M231" s="39">
        <f t="shared" si="168"/>
        <v>0</v>
      </c>
      <c r="N231" s="101"/>
      <c r="O231" s="39">
        <f t="shared" si="169"/>
        <v>0</v>
      </c>
      <c r="P231" s="101"/>
      <c r="Q231" s="39">
        <f t="shared" si="161"/>
        <v>0</v>
      </c>
      <c r="R231" s="101"/>
      <c r="S231" s="39">
        <f t="shared" si="162"/>
        <v>0</v>
      </c>
      <c r="T231" s="101"/>
      <c r="U231" s="39">
        <f t="shared" si="163"/>
        <v>0</v>
      </c>
      <c r="V231" s="36">
        <f t="shared" si="170"/>
        <v>0</v>
      </c>
      <c r="W231" s="74" t="str">
        <f t="shared" si="144"/>
        <v/>
      </c>
      <c r="X231" s="124" t="str">
        <f t="shared" si="156"/>
        <v/>
      </c>
      <c r="Y231" s="124" t="str">
        <f t="shared" si="158"/>
        <v/>
      </c>
      <c r="Z231" s="124" t="str">
        <f t="shared" si="157"/>
        <v/>
      </c>
      <c r="AA231" s="152"/>
      <c r="AB231" s="152"/>
      <c r="AC231" s="18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ht="16.5" x14ac:dyDescent="0.3">
      <c r="A232" s="41"/>
      <c r="B232" s="42"/>
      <c r="C232" s="42"/>
      <c r="D232" s="42"/>
      <c r="E232" s="42"/>
      <c r="F232" s="42"/>
      <c r="G232" s="42"/>
      <c r="H232" s="42"/>
      <c r="I232" s="42"/>
      <c r="J232" s="42"/>
      <c r="K232" s="42"/>
      <c r="L232" s="42"/>
      <c r="M232" s="42"/>
      <c r="N232" s="42"/>
      <c r="O232" s="42"/>
      <c r="P232" s="42"/>
      <c r="Q232" s="42"/>
      <c r="R232" s="42"/>
      <c r="S232" s="42"/>
      <c r="T232" s="42"/>
      <c r="U232" s="42" t="s">
        <v>39</v>
      </c>
      <c r="V232" s="42">
        <f>AVERAGEIF(V10:V231,"&gt;0",V10:V231)</f>
        <v>0.15078373955731636</v>
      </c>
      <c r="W232" s="42" t="s">
        <v>40</v>
      </c>
      <c r="X232" s="42"/>
      <c r="Y232" s="42"/>
      <c r="Z232" s="42"/>
      <c r="AA232" s="2"/>
      <c r="AB232" s="2"/>
      <c r="AC232" s="2"/>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ht="16.5" x14ac:dyDescent="0.3">
      <c r="A233" s="43"/>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2"/>
      <c r="AB233" s="2"/>
      <c r="AC233" s="2"/>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ht="16.5" x14ac:dyDescent="0.3">
      <c r="A234" s="43"/>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2"/>
      <c r="AB234" s="2"/>
      <c r="AC234" s="2"/>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ht="16.5" x14ac:dyDescent="0.3">
      <c r="A235" s="43"/>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2"/>
      <c r="AB235" s="2"/>
      <c r="AC235" s="2"/>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ht="16.5" x14ac:dyDescent="0.3">
      <c r="A236" s="43"/>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2"/>
      <c r="AB236" s="2"/>
      <c r="AC236" s="2"/>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ht="16.5" x14ac:dyDescent="0.3">
      <c r="A237" s="43"/>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2"/>
      <c r="AB237" s="2"/>
      <c r="AC237" s="2"/>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ht="16.5" x14ac:dyDescent="0.3">
      <c r="A238" s="43"/>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2"/>
      <c r="AB238" s="2"/>
      <c r="AC238" s="2"/>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ht="16.5" x14ac:dyDescent="0.3">
      <c r="A239" s="43"/>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2"/>
      <c r="AB239" s="2"/>
      <c r="AC239" s="2"/>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ht="16.5" x14ac:dyDescent="0.3">
      <c r="A240" s="43"/>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2"/>
      <c r="AB240" s="2"/>
      <c r="AC240" s="2"/>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ht="16.5" x14ac:dyDescent="0.3">
      <c r="A241" s="43"/>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2"/>
      <c r="AB241" s="2"/>
      <c r="AC241" s="2"/>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ht="16.5" x14ac:dyDescent="0.3">
      <c r="A242" s="43"/>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2"/>
      <c r="AB242" s="2"/>
      <c r="AC242" s="2"/>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ht="16.5" x14ac:dyDescent="0.3">
      <c r="A243" s="43"/>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2"/>
      <c r="AB243" s="2"/>
      <c r="AC243" s="2"/>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ht="16.5" x14ac:dyDescent="0.3">
      <c r="A244" s="43"/>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2"/>
      <c r="AB244" s="2"/>
      <c r="AC244" s="2"/>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ht="16.5" x14ac:dyDescent="0.3">
      <c r="A245" s="43"/>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2"/>
      <c r="AB245" s="2"/>
      <c r="AC245" s="2"/>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ht="16.5" x14ac:dyDescent="0.3">
      <c r="A246" s="43"/>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2"/>
      <c r="AB246" s="2"/>
      <c r="AC246" s="2"/>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ht="16.5" x14ac:dyDescent="0.3">
      <c r="A247" s="43"/>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2"/>
      <c r="AB247" s="2"/>
      <c r="AC247" s="2"/>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ht="16.5" x14ac:dyDescent="0.3">
      <c r="A248" s="43"/>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2"/>
      <c r="AB248" s="2"/>
      <c r="AC248" s="2"/>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ht="16.5" x14ac:dyDescent="0.3">
      <c r="A249" s="43"/>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2"/>
      <c r="AB249" s="2"/>
      <c r="AC249" s="2"/>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ht="16.5" x14ac:dyDescent="0.3">
      <c r="A250" s="43"/>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2"/>
      <c r="AB250" s="2"/>
      <c r="AC250" s="2"/>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ht="16.5" x14ac:dyDescent="0.3">
      <c r="A251" s="43"/>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2"/>
      <c r="AB251" s="2"/>
      <c r="AC251" s="2"/>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ht="16.5" x14ac:dyDescent="0.3">
      <c r="A252" s="43"/>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2"/>
      <c r="AB252" s="2"/>
      <c r="AC252" s="2"/>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ht="16.5" x14ac:dyDescent="0.3">
      <c r="A253" s="43"/>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2"/>
      <c r="AB253" s="2"/>
      <c r="AC253" s="2"/>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ht="16.5" x14ac:dyDescent="0.3">
      <c r="A254" s="43"/>
      <c r="B254" s="44"/>
      <c r="C254" s="44"/>
      <c r="D254" s="44"/>
      <c r="E254" s="44"/>
      <c r="F254" s="44"/>
      <c r="G254" s="44"/>
      <c r="H254" s="44"/>
      <c r="I254" s="45"/>
      <c r="J254" s="44"/>
      <c r="K254" s="45"/>
      <c r="L254" s="44"/>
      <c r="M254" s="45"/>
      <c r="N254" s="45"/>
      <c r="O254" s="45"/>
      <c r="P254" s="45"/>
      <c r="Q254" s="45"/>
      <c r="R254" s="45"/>
      <c r="S254" s="45"/>
      <c r="T254" s="45"/>
      <c r="U254" s="45"/>
      <c r="V254" s="45"/>
      <c r="W254" s="44"/>
      <c r="X254" s="44"/>
      <c r="Y254" s="44"/>
      <c r="Z254" s="44"/>
      <c r="AA254" s="2"/>
      <c r="AB254" s="2"/>
      <c r="AC254" s="2"/>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ht="16.5" x14ac:dyDescent="0.3">
      <c r="A255" s="43"/>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ht="16.5" x14ac:dyDescent="0.3">
      <c r="A256" s="43"/>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ht="16.5" x14ac:dyDescent="0.3">
      <c r="A257" s="43"/>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ht="16.5" x14ac:dyDescent="0.3">
      <c r="A258" s="43"/>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ht="16.5" x14ac:dyDescent="0.3">
      <c r="A259" s="43"/>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ht="16.5" x14ac:dyDescent="0.3">
      <c r="A260" s="43"/>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ht="16.5" x14ac:dyDescent="0.3">
      <c r="A261" s="43"/>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ht="16.5" x14ac:dyDescent="0.3">
      <c r="A262" s="43"/>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ht="16.5" x14ac:dyDescent="0.3">
      <c r="A263" s="43"/>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ht="16.5" x14ac:dyDescent="0.3">
      <c r="A264" s="43"/>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ht="16.5" x14ac:dyDescent="0.3">
      <c r="A265" s="43"/>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ht="16.5" x14ac:dyDescent="0.3">
      <c r="A266" s="43"/>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ht="16.5" x14ac:dyDescent="0.3">
      <c r="A267" s="43"/>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ht="16.5" x14ac:dyDescent="0.3">
      <c r="A268" s="43"/>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ht="16.5" x14ac:dyDescent="0.3">
      <c r="A269" s="43"/>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ht="16.5" x14ac:dyDescent="0.3">
      <c r="A270" s="43"/>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ht="16.5" x14ac:dyDescent="0.3">
      <c r="A271" s="43"/>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ht="16.5" x14ac:dyDescent="0.3">
      <c r="A272" s="43"/>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ht="16.5" x14ac:dyDescent="0.3">
      <c r="A273" s="43"/>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ht="16.5" x14ac:dyDescent="0.3">
      <c r="A274" s="43"/>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ht="16.5" x14ac:dyDescent="0.3">
      <c r="A275" s="43"/>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ht="16.5" x14ac:dyDescent="0.3">
      <c r="A276" s="43"/>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ht="16.5" x14ac:dyDescent="0.3">
      <c r="A277" s="43"/>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ht="16.5" x14ac:dyDescent="0.3">
      <c r="A278" s="43"/>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ht="16.5" x14ac:dyDescent="0.3">
      <c r="A279" s="43"/>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ht="16.5" x14ac:dyDescent="0.3">
      <c r="A280" s="43"/>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ht="16.5" x14ac:dyDescent="0.3">
      <c r="A281" s="43"/>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ht="16.5" x14ac:dyDescent="0.3">
      <c r="A282" s="43"/>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ht="16.5" x14ac:dyDescent="0.3">
      <c r="A283" s="43"/>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ht="16.5" x14ac:dyDescent="0.3">
      <c r="A284" s="43"/>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ht="16.5" x14ac:dyDescent="0.3">
      <c r="A285" s="43"/>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ht="16.5" x14ac:dyDescent="0.3">
      <c r="A286" s="43"/>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ht="16.5" x14ac:dyDescent="0.3">
      <c r="A287" s="43"/>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ht="16.5" x14ac:dyDescent="0.3">
      <c r="A288" s="43"/>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ht="16.5" x14ac:dyDescent="0.3">
      <c r="A289" s="43"/>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ht="16.5" x14ac:dyDescent="0.3">
      <c r="A290" s="43"/>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ht="16.5" x14ac:dyDescent="0.3">
      <c r="A291" s="43"/>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1"/>
      <c r="AB291" s="1"/>
      <c r="AC291" s="1"/>
    </row>
    <row r="292" spans="1:51" ht="16.5" x14ac:dyDescent="0.3">
      <c r="A292" s="43"/>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1"/>
      <c r="AB292" s="1"/>
      <c r="AC292" s="1"/>
    </row>
    <row r="293" spans="1:51" ht="16.5" x14ac:dyDescent="0.3">
      <c r="A293" s="43"/>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1"/>
      <c r="AB293" s="1"/>
      <c r="AC293" s="1"/>
    </row>
    <row r="294" spans="1:51" ht="16.5" x14ac:dyDescent="0.3">
      <c r="A294" s="43"/>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1"/>
      <c r="AB294" s="1"/>
      <c r="AC294" s="1"/>
    </row>
    <row r="295" spans="1:51" ht="16.5" x14ac:dyDescent="0.3">
      <c r="A295" s="43"/>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1"/>
      <c r="AB295" s="1"/>
      <c r="AC295" s="1"/>
    </row>
    <row r="296" spans="1:51" ht="16.5" x14ac:dyDescent="0.3">
      <c r="A296" s="43"/>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1"/>
      <c r="AB296" s="1"/>
      <c r="AC296" s="1"/>
    </row>
    <row r="297" spans="1:51" ht="16.5" x14ac:dyDescent="0.3">
      <c r="A297" s="43"/>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1"/>
      <c r="AB297" s="1"/>
      <c r="AC297" s="1"/>
    </row>
    <row r="298" spans="1:51" ht="16.5" x14ac:dyDescent="0.3">
      <c r="A298" s="43"/>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1"/>
      <c r="AB298" s="1"/>
      <c r="AC298" s="1"/>
    </row>
    <row r="299" spans="1:51" ht="16.5" x14ac:dyDescent="0.3">
      <c r="A299" s="43"/>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1"/>
      <c r="AB299" s="1"/>
      <c r="AC299" s="1"/>
    </row>
    <row r="300" spans="1:51" ht="16.5" x14ac:dyDescent="0.3">
      <c r="A300" s="43"/>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1"/>
      <c r="AB300" s="1"/>
      <c r="AC300" s="1"/>
    </row>
    <row r="301" spans="1:51" ht="16.5" x14ac:dyDescent="0.3">
      <c r="A301" s="43"/>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1"/>
      <c r="AB301" s="1"/>
      <c r="AC301" s="1"/>
    </row>
    <row r="302" spans="1:51" ht="16.5" x14ac:dyDescent="0.3">
      <c r="A302" s="43"/>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1"/>
      <c r="AB302" s="1"/>
      <c r="AC302" s="1"/>
    </row>
    <row r="303" spans="1:51" ht="16.5" x14ac:dyDescent="0.3">
      <c r="A303" s="43"/>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1"/>
      <c r="AB303" s="1"/>
      <c r="AC303" s="1"/>
    </row>
    <row r="304" spans="1:51" ht="16.5" x14ac:dyDescent="0.3">
      <c r="A304" s="43"/>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1"/>
      <c r="AB304" s="1"/>
      <c r="AC304" s="1"/>
    </row>
    <row r="305" spans="1:29" ht="16.5" x14ac:dyDescent="0.3">
      <c r="A305" s="43"/>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1"/>
      <c r="AB305" s="1"/>
      <c r="AC305" s="1"/>
    </row>
    <row r="306" spans="1:29" ht="16.5" x14ac:dyDescent="0.3">
      <c r="A306" s="43"/>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1"/>
      <c r="AB306" s="1"/>
      <c r="AC306" s="1"/>
    </row>
    <row r="307" spans="1:29" ht="16.5" x14ac:dyDescent="0.3">
      <c r="A307" s="43"/>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1"/>
      <c r="AB307" s="1"/>
      <c r="AC307" s="1"/>
    </row>
    <row r="308" spans="1:29" ht="16.5" x14ac:dyDescent="0.3">
      <c r="A308" s="43"/>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1"/>
      <c r="AB308" s="1"/>
      <c r="AC308" s="1"/>
    </row>
    <row r="309" spans="1:29" ht="16.5" x14ac:dyDescent="0.3">
      <c r="A309" s="43"/>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1"/>
      <c r="AB309" s="1"/>
      <c r="AC309" s="1"/>
    </row>
    <row r="310" spans="1:29" ht="16.5" x14ac:dyDescent="0.3">
      <c r="A310" s="43"/>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1"/>
      <c r="AB310" s="1"/>
      <c r="AC310" s="1"/>
    </row>
    <row r="311" spans="1:29" ht="16.5" x14ac:dyDescent="0.3">
      <c r="A311" s="43"/>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1"/>
      <c r="AB311" s="1"/>
      <c r="AC311" s="1"/>
    </row>
    <row r="312" spans="1:29" ht="16.5" x14ac:dyDescent="0.3">
      <c r="A312" s="43"/>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1"/>
      <c r="AB312" s="1"/>
      <c r="AC312" s="1"/>
    </row>
    <row r="313" spans="1:29" ht="16.5" x14ac:dyDescent="0.3">
      <c r="A313" s="43"/>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1"/>
      <c r="AB313" s="1"/>
      <c r="AC313" s="1"/>
    </row>
    <row r="314" spans="1:29" ht="16.5" x14ac:dyDescent="0.3">
      <c r="A314" s="43"/>
      <c r="B314" s="45"/>
      <c r="C314" s="45"/>
      <c r="D314" s="45"/>
      <c r="E314" s="45"/>
      <c r="F314" s="45"/>
      <c r="G314" s="45"/>
      <c r="H314" s="45"/>
      <c r="I314" s="43"/>
      <c r="J314" s="45"/>
      <c r="K314" s="43"/>
      <c r="L314" s="45"/>
      <c r="M314" s="43"/>
      <c r="N314" s="43"/>
      <c r="O314" s="43"/>
      <c r="P314" s="43"/>
      <c r="Q314" s="43"/>
      <c r="R314" s="43"/>
      <c r="S314" s="43"/>
      <c r="T314" s="43"/>
      <c r="U314" s="43"/>
      <c r="V314" s="43"/>
      <c r="W314" s="45"/>
      <c r="X314" s="45"/>
      <c r="Y314" s="45"/>
      <c r="Z314" s="45"/>
      <c r="AA314" s="1"/>
      <c r="AB314" s="1"/>
      <c r="AC314" s="1"/>
    </row>
    <row r="315" spans="1:29" x14ac:dyDescent="0.2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9" x14ac:dyDescent="0.25">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sheetData>
  <mergeCells count="250">
    <mergeCell ref="A4:A9"/>
    <mergeCell ref="F4:F9"/>
    <mergeCell ref="G4:G9"/>
    <mergeCell ref="AA4:AA9"/>
    <mergeCell ref="AB4:AB9"/>
    <mergeCell ref="AC4:AC9"/>
    <mergeCell ref="AC190:AC195"/>
    <mergeCell ref="AC196:AC201"/>
    <mergeCell ref="AC202:AC207"/>
    <mergeCell ref="AC52:AC57"/>
    <mergeCell ref="AC58:AC63"/>
    <mergeCell ref="AC64:AC69"/>
    <mergeCell ref="AC70:AC75"/>
    <mergeCell ref="AC76:AC81"/>
    <mergeCell ref="AC82:AC87"/>
    <mergeCell ref="AC88:AC93"/>
    <mergeCell ref="AC94:AC99"/>
    <mergeCell ref="AC100:AC105"/>
    <mergeCell ref="AC106:AC111"/>
    <mergeCell ref="AC112:AC117"/>
    <mergeCell ref="AC118:AC123"/>
    <mergeCell ref="AC124:AC129"/>
    <mergeCell ref="AC130:AC135"/>
    <mergeCell ref="AB166:AB171"/>
    <mergeCell ref="AC208:AC213"/>
    <mergeCell ref="AC214:AC219"/>
    <mergeCell ref="AC220:AC225"/>
    <mergeCell ref="AC226:AC231"/>
    <mergeCell ref="AB1:AB2"/>
    <mergeCell ref="AC1:AC2"/>
    <mergeCell ref="AC136:AC141"/>
    <mergeCell ref="AC142:AC147"/>
    <mergeCell ref="AC148:AC153"/>
    <mergeCell ref="AC154:AC159"/>
    <mergeCell ref="AC160:AC165"/>
    <mergeCell ref="AC166:AC171"/>
    <mergeCell ref="AC172:AC177"/>
    <mergeCell ref="AC178:AC183"/>
    <mergeCell ref="AC184:AC189"/>
    <mergeCell ref="AB220:AB225"/>
    <mergeCell ref="AB226:AB231"/>
    <mergeCell ref="AC10:AC15"/>
    <mergeCell ref="AC16:AC21"/>
    <mergeCell ref="AC22:AC27"/>
    <mergeCell ref="AC28:AC33"/>
    <mergeCell ref="AC34:AC39"/>
    <mergeCell ref="AC40:AC45"/>
    <mergeCell ref="AC46:AC51"/>
    <mergeCell ref="AB172:AB177"/>
    <mergeCell ref="AB178:AB183"/>
    <mergeCell ref="AB184:AB189"/>
    <mergeCell ref="AB190:AB195"/>
    <mergeCell ref="AB196:AB201"/>
    <mergeCell ref="AB202:AB207"/>
    <mergeCell ref="AB208:AB213"/>
    <mergeCell ref="AB214:AB219"/>
    <mergeCell ref="AB112:AB117"/>
    <mergeCell ref="AB118:AB123"/>
    <mergeCell ref="AB124:AB129"/>
    <mergeCell ref="AB130:AB135"/>
    <mergeCell ref="AB136:AB141"/>
    <mergeCell ref="AB142:AB147"/>
    <mergeCell ref="AB148:AB153"/>
    <mergeCell ref="AB154:AB159"/>
    <mergeCell ref="AB160:AB165"/>
    <mergeCell ref="AB58:AB63"/>
    <mergeCell ref="AB64:AB69"/>
    <mergeCell ref="AB70:AB75"/>
    <mergeCell ref="AB76:AB81"/>
    <mergeCell ref="AB82:AB87"/>
    <mergeCell ref="AB88:AB93"/>
    <mergeCell ref="AB94:AB99"/>
    <mergeCell ref="AB100:AB105"/>
    <mergeCell ref="AB106:AB111"/>
    <mergeCell ref="AB10:AB15"/>
    <mergeCell ref="AB16:AB21"/>
    <mergeCell ref="AB22:AB27"/>
    <mergeCell ref="AB28:AB33"/>
    <mergeCell ref="AB34:AB39"/>
    <mergeCell ref="AB40:AB45"/>
    <mergeCell ref="AB46:AB51"/>
    <mergeCell ref="AB52:AB57"/>
    <mergeCell ref="A10:A15"/>
    <mergeCell ref="F10:F15"/>
    <mergeCell ref="G10:G15"/>
    <mergeCell ref="AA10:AA15"/>
    <mergeCell ref="A16:A21"/>
    <mergeCell ref="F16:F21"/>
    <mergeCell ref="G16:G21"/>
    <mergeCell ref="AA16:AA21"/>
    <mergeCell ref="A34:A39"/>
    <mergeCell ref="F34:F39"/>
    <mergeCell ref="G34:G39"/>
    <mergeCell ref="AA34:AA39"/>
    <mergeCell ref="A40:A45"/>
    <mergeCell ref="F40:F45"/>
    <mergeCell ref="G40:G45"/>
    <mergeCell ref="AA40:AA45"/>
    <mergeCell ref="AA1:AA3"/>
    <mergeCell ref="B2:B3"/>
    <mergeCell ref="L2:M2"/>
    <mergeCell ref="N2:O2"/>
    <mergeCell ref="P2:Q2"/>
    <mergeCell ref="R2:S2"/>
    <mergeCell ref="T2:U2"/>
    <mergeCell ref="A1:A3"/>
    <mergeCell ref="C1:C2"/>
    <mergeCell ref="F1:F2"/>
    <mergeCell ref="G1:G2"/>
    <mergeCell ref="W1:W2"/>
    <mergeCell ref="H2:I2"/>
    <mergeCell ref="H1:V1"/>
    <mergeCell ref="J2:K2"/>
    <mergeCell ref="D1:D2"/>
    <mergeCell ref="E1:E2"/>
    <mergeCell ref="Y1:Y2"/>
    <mergeCell ref="Z1:Z2"/>
    <mergeCell ref="X1:X2"/>
    <mergeCell ref="A22:A27"/>
    <mergeCell ref="F22:F27"/>
    <mergeCell ref="G22:G27"/>
    <mergeCell ref="AA22:AA27"/>
    <mergeCell ref="A28:A33"/>
    <mergeCell ref="F28:F33"/>
    <mergeCell ref="G28:G33"/>
    <mergeCell ref="AA28:AA33"/>
    <mergeCell ref="A58:A63"/>
    <mergeCell ref="F58:F63"/>
    <mergeCell ref="G58:G63"/>
    <mergeCell ref="AA58:AA63"/>
    <mergeCell ref="A64:A69"/>
    <mergeCell ref="F64:F69"/>
    <mergeCell ref="G64:G69"/>
    <mergeCell ref="AA64:AA69"/>
    <mergeCell ref="A46:A51"/>
    <mergeCell ref="F46:F51"/>
    <mergeCell ref="G46:G51"/>
    <mergeCell ref="AA46:AA51"/>
    <mergeCell ref="A52:A57"/>
    <mergeCell ref="F52:F57"/>
    <mergeCell ref="G52:G57"/>
    <mergeCell ref="AA52:AA57"/>
    <mergeCell ref="A82:A87"/>
    <mergeCell ref="F82:F87"/>
    <mergeCell ref="G82:G87"/>
    <mergeCell ref="AA82:AA87"/>
    <mergeCell ref="A88:A93"/>
    <mergeCell ref="F88:F93"/>
    <mergeCell ref="G88:G93"/>
    <mergeCell ref="AA88:AA93"/>
    <mergeCell ref="A70:A75"/>
    <mergeCell ref="F70:F75"/>
    <mergeCell ref="G70:G75"/>
    <mergeCell ref="AA70:AA75"/>
    <mergeCell ref="A76:A81"/>
    <mergeCell ref="F76:F81"/>
    <mergeCell ref="G76:G81"/>
    <mergeCell ref="AA76:AA81"/>
    <mergeCell ref="A106:A111"/>
    <mergeCell ref="F106:F111"/>
    <mergeCell ref="G106:G111"/>
    <mergeCell ref="AA106:AA111"/>
    <mergeCell ref="A112:A117"/>
    <mergeCell ref="F112:F117"/>
    <mergeCell ref="G112:G117"/>
    <mergeCell ref="AA112:AA117"/>
    <mergeCell ref="A94:A99"/>
    <mergeCell ref="F94:F99"/>
    <mergeCell ref="G94:G99"/>
    <mergeCell ref="AA94:AA99"/>
    <mergeCell ref="A100:A105"/>
    <mergeCell ref="F100:F105"/>
    <mergeCell ref="G100:G105"/>
    <mergeCell ref="AA100:AA105"/>
    <mergeCell ref="A130:A135"/>
    <mergeCell ref="F130:F135"/>
    <mergeCell ref="G130:G135"/>
    <mergeCell ref="AA130:AA135"/>
    <mergeCell ref="A136:A141"/>
    <mergeCell ref="F136:F141"/>
    <mergeCell ref="G136:G141"/>
    <mergeCell ref="AA136:AA141"/>
    <mergeCell ref="A118:A123"/>
    <mergeCell ref="F118:F123"/>
    <mergeCell ref="G118:G123"/>
    <mergeCell ref="AA118:AA123"/>
    <mergeCell ref="A124:A129"/>
    <mergeCell ref="F124:F129"/>
    <mergeCell ref="G124:G129"/>
    <mergeCell ref="AA124:AA129"/>
    <mergeCell ref="A154:A159"/>
    <mergeCell ref="F154:F159"/>
    <mergeCell ref="G154:G159"/>
    <mergeCell ref="AA154:AA159"/>
    <mergeCell ref="A160:A165"/>
    <mergeCell ref="F160:F165"/>
    <mergeCell ref="G160:G165"/>
    <mergeCell ref="AA160:AA165"/>
    <mergeCell ref="A142:A147"/>
    <mergeCell ref="F142:F147"/>
    <mergeCell ref="G142:G147"/>
    <mergeCell ref="AA142:AA147"/>
    <mergeCell ref="A148:A153"/>
    <mergeCell ref="F148:F153"/>
    <mergeCell ref="G148:G153"/>
    <mergeCell ref="AA148:AA153"/>
    <mergeCell ref="A178:A183"/>
    <mergeCell ref="F178:F183"/>
    <mergeCell ref="G178:G183"/>
    <mergeCell ref="AA178:AA183"/>
    <mergeCell ref="A184:A189"/>
    <mergeCell ref="F184:F189"/>
    <mergeCell ref="G184:G189"/>
    <mergeCell ref="AA184:AA189"/>
    <mergeCell ref="A166:A171"/>
    <mergeCell ref="F166:F171"/>
    <mergeCell ref="G166:G171"/>
    <mergeCell ref="AA166:AA171"/>
    <mergeCell ref="A172:A177"/>
    <mergeCell ref="F172:F177"/>
    <mergeCell ref="G172:G177"/>
    <mergeCell ref="AA172:AA177"/>
    <mergeCell ref="A202:A207"/>
    <mergeCell ref="F202:F207"/>
    <mergeCell ref="G202:G207"/>
    <mergeCell ref="AA202:AA207"/>
    <mergeCell ref="A208:A213"/>
    <mergeCell ref="F208:F213"/>
    <mergeCell ref="G208:G213"/>
    <mergeCell ref="AA208:AA213"/>
    <mergeCell ref="A190:A195"/>
    <mergeCell ref="F190:F195"/>
    <mergeCell ref="G190:G195"/>
    <mergeCell ref="AA190:AA195"/>
    <mergeCell ref="A196:A201"/>
    <mergeCell ref="F196:F201"/>
    <mergeCell ref="G196:G201"/>
    <mergeCell ref="AA196:AA201"/>
    <mergeCell ref="A226:A231"/>
    <mergeCell ref="F226:F231"/>
    <mergeCell ref="G226:G231"/>
    <mergeCell ref="AA226:AA231"/>
    <mergeCell ref="A214:A219"/>
    <mergeCell ref="F214:F219"/>
    <mergeCell ref="G214:G219"/>
    <mergeCell ref="AA214:AA219"/>
    <mergeCell ref="A220:A225"/>
    <mergeCell ref="F220:F225"/>
    <mergeCell ref="G220:G225"/>
    <mergeCell ref="AA220:AA225"/>
  </mergeCells>
  <conditionalFormatting sqref="AA226:AA231 AA10:AA201">
    <cfRule type="colorScale" priority="26">
      <colorScale>
        <cfvo type="min"/>
        <cfvo type="percentile" val="50"/>
        <cfvo type="max"/>
        <color rgb="FFF8696B"/>
        <color rgb="FFFFEB84"/>
        <color rgb="FF63BE7B"/>
      </colorScale>
    </cfRule>
  </conditionalFormatting>
  <conditionalFormatting sqref="AA202:AA207">
    <cfRule type="colorScale" priority="25">
      <colorScale>
        <cfvo type="min"/>
        <cfvo type="percentile" val="50"/>
        <cfvo type="max"/>
        <color rgb="FFF8696B"/>
        <color rgb="FFFFEB84"/>
        <color rgb="FF63BE7B"/>
      </colorScale>
    </cfRule>
  </conditionalFormatting>
  <conditionalFormatting sqref="AA208:AA219">
    <cfRule type="colorScale" priority="24">
      <colorScale>
        <cfvo type="min"/>
        <cfvo type="percentile" val="50"/>
        <cfvo type="max"/>
        <color rgb="FFF8696B"/>
        <color rgb="FFFFEB84"/>
        <color rgb="FF63BE7B"/>
      </colorScale>
    </cfRule>
  </conditionalFormatting>
  <conditionalFormatting sqref="AA220:AA225">
    <cfRule type="colorScale" priority="23">
      <colorScale>
        <cfvo type="min"/>
        <cfvo type="percentile" val="50"/>
        <cfvo type="max"/>
        <color rgb="FFF8696B"/>
        <color rgb="FFFFEB84"/>
        <color rgb="FF63BE7B"/>
      </colorScale>
    </cfRule>
  </conditionalFormatting>
  <conditionalFormatting sqref="F10:F231">
    <cfRule type="top10" dxfId="51" priority="22" rank="1"/>
  </conditionalFormatting>
  <conditionalFormatting sqref="G10:G231 L10:L231">
    <cfRule type="top10" dxfId="50" priority="21" rank="1"/>
  </conditionalFormatting>
  <conditionalFormatting sqref="T10:T231 R10:R231 P10:P231 N10:N231">
    <cfRule type="top10" dxfId="49" priority="20" rank="1"/>
  </conditionalFormatting>
  <conditionalFormatting sqref="H10:H109 H111:H117 H119:H231">
    <cfRule type="top10" dxfId="48" priority="19" rank="1"/>
  </conditionalFormatting>
  <conditionalFormatting sqref="J10:J231">
    <cfRule type="top10" dxfId="47" priority="18" rank="1"/>
  </conditionalFormatting>
  <conditionalFormatting sqref="AC226:AC231 AC10:AC201">
    <cfRule type="colorScale" priority="13">
      <colorScale>
        <cfvo type="min"/>
        <cfvo type="percentile" val="50"/>
        <cfvo type="max"/>
        <color rgb="FFF8696B"/>
        <color rgb="FFFFEB84"/>
        <color rgb="FF63BE7B"/>
      </colorScale>
    </cfRule>
  </conditionalFormatting>
  <conditionalFormatting sqref="AC202:AC207">
    <cfRule type="colorScale" priority="12">
      <colorScale>
        <cfvo type="min"/>
        <cfvo type="percentile" val="50"/>
        <cfvo type="max"/>
        <color rgb="FFF8696B"/>
        <color rgb="FFFFEB84"/>
        <color rgb="FF63BE7B"/>
      </colorScale>
    </cfRule>
  </conditionalFormatting>
  <conditionalFormatting sqref="AC208:AC219">
    <cfRule type="colorScale" priority="11">
      <colorScale>
        <cfvo type="min"/>
        <cfvo type="percentile" val="50"/>
        <cfvo type="max"/>
        <color rgb="FFF8696B"/>
        <color rgb="FFFFEB84"/>
        <color rgb="FF63BE7B"/>
      </colorScale>
    </cfRule>
  </conditionalFormatting>
  <conditionalFormatting sqref="AC220:AC225">
    <cfRule type="colorScale" priority="10">
      <colorScale>
        <cfvo type="min"/>
        <cfvo type="percentile" val="50"/>
        <cfvo type="max"/>
        <color rgb="FFF8696B"/>
        <color rgb="FFFFEB84"/>
        <color rgb="FF63BE7B"/>
      </colorScale>
    </cfRule>
  </conditionalFormatting>
  <conditionalFormatting sqref="AB10:AB231">
    <cfRule type="colorScale" priority="9">
      <colorScale>
        <cfvo type="min"/>
        <cfvo type="percentile" val="50"/>
        <cfvo type="max"/>
        <color rgb="FFF8696B"/>
        <color rgb="FFFFEB84"/>
        <color rgb="FF63BE7B"/>
      </colorScale>
    </cfRule>
  </conditionalFormatting>
  <conditionalFormatting sqref="AA4:AA9">
    <cfRule type="colorScale" priority="8">
      <colorScale>
        <cfvo type="min"/>
        <cfvo type="percentile" val="50"/>
        <cfvo type="max"/>
        <color rgb="FFF8696B"/>
        <color rgb="FFFFEB84"/>
        <color rgb="FF63BE7B"/>
      </colorScale>
    </cfRule>
  </conditionalFormatting>
  <conditionalFormatting sqref="F4:F9">
    <cfRule type="top10" dxfId="46" priority="7" rank="1"/>
  </conditionalFormatting>
  <conditionalFormatting sqref="G4:G9 L4:L9">
    <cfRule type="top10" dxfId="45" priority="6" rank="1"/>
  </conditionalFormatting>
  <conditionalFormatting sqref="T4:T9 R4:R9 P4:P9 N4:N9">
    <cfRule type="top10" dxfId="44" priority="5" rank="1"/>
  </conditionalFormatting>
  <conditionalFormatting sqref="H4:H9">
    <cfRule type="top10" dxfId="43" priority="4" rank="1"/>
  </conditionalFormatting>
  <conditionalFormatting sqref="J4:J9">
    <cfRule type="top10" dxfId="42" priority="3" rank="1"/>
  </conditionalFormatting>
  <conditionalFormatting sqref="AC4:AC9">
    <cfRule type="colorScale" priority="2">
      <colorScale>
        <cfvo type="min"/>
        <cfvo type="percentile" val="50"/>
        <cfvo type="max"/>
        <color rgb="FFF8696B"/>
        <color rgb="FFFFEB84"/>
        <color rgb="FF63BE7B"/>
      </colorScale>
    </cfRule>
  </conditionalFormatting>
  <conditionalFormatting sqref="AB4:AB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16"/>
  <sheetViews>
    <sheetView zoomScaleNormal="100" workbookViewId="0">
      <pane xSplit="2" ySplit="3" topLeftCell="T174" activePane="bottomRight" state="frozen"/>
      <selection pane="topRight" activeCell="B1" sqref="B1"/>
      <selection pane="bottomLeft" activeCell="A3" sqref="A3"/>
      <selection pane="bottomRight" activeCell="D188" sqref="D188"/>
    </sheetView>
  </sheetViews>
  <sheetFormatPr baseColWidth="10" defaultRowHeight="15" x14ac:dyDescent="0.25"/>
  <cols>
    <col min="1" max="1" width="12.7109375" customWidth="1"/>
    <col min="2" max="5" width="20.7109375" customWidth="1"/>
    <col min="6" max="8" width="12.7109375" customWidth="1"/>
    <col min="9" max="9" width="20.7109375" customWidth="1"/>
    <col min="10" max="10" width="12.7109375" customWidth="1"/>
    <col min="11" max="11" width="20.7109375" customWidth="1"/>
    <col min="12" max="12" width="12.7109375" customWidth="1"/>
    <col min="13" max="13" width="20.7109375" customWidth="1"/>
    <col min="14" max="14" width="12.7109375" customWidth="1"/>
    <col min="15" max="15" width="20.7109375" customWidth="1"/>
    <col min="16" max="16" width="12.7109375" customWidth="1"/>
    <col min="17" max="17" width="20.7109375" customWidth="1"/>
    <col min="18" max="18" width="12.7109375" customWidth="1"/>
    <col min="19" max="19" width="20.7109375" customWidth="1"/>
    <col min="20" max="20" width="12.7109375" customWidth="1"/>
    <col min="21" max="26" width="20.7109375" customWidth="1"/>
    <col min="27" max="29" width="16.7109375" customWidth="1"/>
    <col min="30" max="30" width="20.7109375" customWidth="1"/>
  </cols>
  <sheetData>
    <row r="1" spans="1:53" ht="35.1" customHeight="1" thickBot="1" x14ac:dyDescent="0.35">
      <c r="A1" s="165" t="s">
        <v>9</v>
      </c>
      <c r="B1" s="5" t="s">
        <v>5</v>
      </c>
      <c r="C1" s="168" t="s">
        <v>55</v>
      </c>
      <c r="D1" s="175" t="s">
        <v>48</v>
      </c>
      <c r="E1" s="177" t="s">
        <v>49</v>
      </c>
      <c r="F1" s="156" t="s">
        <v>35</v>
      </c>
      <c r="G1" s="156" t="s">
        <v>33</v>
      </c>
      <c r="H1" s="172">
        <f>'RECAP RENDEMENT'!D3</f>
        <v>1152</v>
      </c>
      <c r="I1" s="173"/>
      <c r="J1" s="173"/>
      <c r="K1" s="173"/>
      <c r="L1" s="173"/>
      <c r="M1" s="173"/>
      <c r="N1" s="173"/>
      <c r="O1" s="173"/>
      <c r="P1" s="173"/>
      <c r="Q1" s="173"/>
      <c r="R1" s="173"/>
      <c r="S1" s="173"/>
      <c r="T1" s="173"/>
      <c r="U1" s="173"/>
      <c r="V1" s="174"/>
      <c r="W1" s="153" t="s">
        <v>53</v>
      </c>
      <c r="X1" s="168" t="s">
        <v>52</v>
      </c>
      <c r="Y1" s="175" t="s">
        <v>50</v>
      </c>
      <c r="Z1" s="177" t="s">
        <v>51</v>
      </c>
      <c r="AA1" s="153" t="s">
        <v>54</v>
      </c>
      <c r="AB1" s="156" t="s">
        <v>43</v>
      </c>
      <c r="AC1" s="156" t="s">
        <v>47</v>
      </c>
      <c r="AD1" s="3"/>
      <c r="AE1" s="3"/>
      <c r="AF1" s="3"/>
      <c r="AG1" s="3"/>
      <c r="AH1" s="3"/>
      <c r="AI1" s="3"/>
      <c r="AJ1" s="3"/>
      <c r="AK1" s="3"/>
      <c r="AL1" s="3"/>
      <c r="AM1" s="3"/>
      <c r="AN1" s="3"/>
      <c r="AO1" s="3"/>
      <c r="AP1" s="2"/>
      <c r="AQ1" s="1"/>
      <c r="AR1" s="1"/>
      <c r="AS1" s="1"/>
      <c r="AT1" s="1"/>
      <c r="AU1" s="1"/>
      <c r="AV1" s="1"/>
      <c r="AW1" s="1"/>
      <c r="AX1" s="1"/>
      <c r="AY1" s="1"/>
      <c r="AZ1" s="1"/>
      <c r="BA1" s="1"/>
    </row>
    <row r="2" spans="1:53" ht="36" customHeight="1" thickBot="1" x14ac:dyDescent="0.35">
      <c r="A2" s="166"/>
      <c r="B2" s="156" t="s">
        <v>6</v>
      </c>
      <c r="C2" s="169"/>
      <c r="D2" s="176"/>
      <c r="E2" s="178"/>
      <c r="F2" s="157"/>
      <c r="G2" s="157"/>
      <c r="H2" s="170" t="s">
        <v>61</v>
      </c>
      <c r="I2" s="171"/>
      <c r="J2" s="158" t="s">
        <v>56</v>
      </c>
      <c r="K2" s="159"/>
      <c r="L2" s="158" t="s">
        <v>57</v>
      </c>
      <c r="M2" s="159"/>
      <c r="N2" s="158" t="s">
        <v>58</v>
      </c>
      <c r="O2" s="160"/>
      <c r="P2" s="161" t="s">
        <v>36</v>
      </c>
      <c r="Q2" s="162"/>
      <c r="R2" s="163" t="s">
        <v>37</v>
      </c>
      <c r="S2" s="164"/>
      <c r="T2" s="163" t="s">
        <v>20</v>
      </c>
      <c r="U2" s="164"/>
      <c r="V2" s="21" t="s">
        <v>32</v>
      </c>
      <c r="W2" s="155"/>
      <c r="X2" s="169"/>
      <c r="Y2" s="176"/>
      <c r="Z2" s="178"/>
      <c r="AA2" s="154"/>
      <c r="AB2" s="157"/>
      <c r="AC2" s="157"/>
      <c r="AD2" s="3"/>
      <c r="AE2" s="3"/>
      <c r="AF2" s="3"/>
      <c r="AG2" s="3"/>
      <c r="AH2" s="3"/>
      <c r="AI2" s="3"/>
      <c r="AJ2" s="3"/>
      <c r="AK2" s="3"/>
      <c r="AL2" s="3"/>
      <c r="AM2" s="3"/>
      <c r="AN2" s="3"/>
      <c r="AO2" s="3"/>
      <c r="AP2" s="2"/>
      <c r="AQ2" s="1"/>
      <c r="AR2" s="1"/>
      <c r="AS2" s="1"/>
      <c r="AT2" s="1"/>
      <c r="AU2" s="1"/>
      <c r="AV2" s="1"/>
      <c r="AW2" s="1"/>
      <c r="AX2" s="1"/>
      <c r="AY2" s="1"/>
      <c r="AZ2" s="1"/>
      <c r="BA2" s="1"/>
    </row>
    <row r="3" spans="1:53" ht="17.25" thickBot="1" x14ac:dyDescent="0.35">
      <c r="A3" s="167"/>
      <c r="B3" s="157"/>
      <c r="C3" s="33">
        <f>SUM(C10:C314)</f>
        <v>623.5</v>
      </c>
      <c r="D3" s="33">
        <f>SUM(D10:D314)</f>
        <v>0</v>
      </c>
      <c r="E3" s="33">
        <f>SUM(E10:E314)</f>
        <v>0</v>
      </c>
      <c r="F3" s="33">
        <f>SUM(M3,O3,Q3,S3,I3,K3)</f>
        <v>23035</v>
      </c>
      <c r="G3" s="33">
        <f>SUM(M3,O3,Q3,S3,U3,I3,K3)</f>
        <v>23035</v>
      </c>
      <c r="H3" s="33">
        <v>5</v>
      </c>
      <c r="I3" s="33">
        <f>SUM(I4:I314)</f>
        <v>23035</v>
      </c>
      <c r="J3" s="33">
        <v>4.3</v>
      </c>
      <c r="K3" s="33">
        <f>SUM(K4:K314)</f>
        <v>0</v>
      </c>
      <c r="L3" s="33">
        <v>3.5</v>
      </c>
      <c r="M3" s="33">
        <f>SUM(M10:M314)</f>
        <v>0</v>
      </c>
      <c r="N3" s="33">
        <v>5</v>
      </c>
      <c r="O3" s="33">
        <f>SUM(O10:O314)</f>
        <v>0</v>
      </c>
      <c r="P3" s="33">
        <v>4</v>
      </c>
      <c r="Q3" s="33">
        <f>SUM(Q10:Q314)</f>
        <v>0</v>
      </c>
      <c r="R3" s="33">
        <v>3.5</v>
      </c>
      <c r="S3" s="33">
        <f>SUM(S10:S314)</f>
        <v>0</v>
      </c>
      <c r="T3" s="33">
        <v>14</v>
      </c>
      <c r="U3" s="33">
        <f>SUM(U10:U314)</f>
        <v>0</v>
      </c>
      <c r="V3" s="22">
        <f>(M3+O3+Q3+S3+I3+K3)/H$1</f>
        <v>19.995659722222221</v>
      </c>
      <c r="W3" s="135">
        <f>(M3+O3+Q3+S3+U3+I3+K3)/(C3+D3+E3)</f>
        <v>36.944667201283082</v>
      </c>
      <c r="X3" s="135">
        <f>(S3+U3+I3)/C3</f>
        <v>36.944667201283082</v>
      </c>
      <c r="Y3" s="135" t="e">
        <f>(K3+M3+O3)/D3</f>
        <v>#DIV/0!</v>
      </c>
      <c r="Z3" s="135" t="e">
        <f>Q3/E3</f>
        <v>#DIV/0!</v>
      </c>
      <c r="AA3" s="155"/>
      <c r="AB3" s="116">
        <f>AVERAGEIF(AB10:AB231,"&gt;0",AB10:AB231)</f>
        <v>0.83315248842592604</v>
      </c>
      <c r="AC3" s="116" t="e">
        <f>AVERAGEIF(AC10:AC231,"&gt;0",AC10:AC231)</f>
        <v>#DIV/0!</v>
      </c>
      <c r="AD3" s="2"/>
      <c r="AE3" s="2"/>
      <c r="AF3" s="2"/>
      <c r="AG3" s="2"/>
      <c r="AH3" s="2"/>
      <c r="AI3" s="2"/>
      <c r="AJ3" s="2"/>
      <c r="AK3" s="2"/>
      <c r="AL3" s="2"/>
      <c r="AM3" s="2"/>
      <c r="AN3" s="2"/>
      <c r="AO3" s="2"/>
      <c r="AP3" s="2"/>
      <c r="AQ3" s="1"/>
      <c r="AR3" s="1"/>
      <c r="AS3" s="1"/>
      <c r="AT3" s="1"/>
      <c r="AU3" s="1"/>
      <c r="AV3" s="1"/>
      <c r="AW3" s="1"/>
      <c r="AX3" s="1"/>
      <c r="AY3" s="1"/>
      <c r="AZ3" s="1"/>
      <c r="BA3" s="1"/>
    </row>
    <row r="4" spans="1:53" ht="17.25" thickBot="1" x14ac:dyDescent="0.35">
      <c r="A4" s="146">
        <v>13</v>
      </c>
      <c r="B4" s="105"/>
      <c r="C4" s="95"/>
      <c r="D4" s="95"/>
      <c r="E4" s="95"/>
      <c r="F4" s="149">
        <f>SUM(M4:M9,O4:O9,Q4:Q9,S4:S9,I4:I9,K4:K9)</f>
        <v>0</v>
      </c>
      <c r="G4" s="149">
        <f>SUM(M4:M9,O4:O9,Q4:Q9,S4:S9,U4:U9,K4:K9,I4:I9)</f>
        <v>0</v>
      </c>
      <c r="H4" s="99"/>
      <c r="I4" s="76">
        <f>H4*H$3</f>
        <v>0</v>
      </c>
      <c r="J4" s="99"/>
      <c r="K4" s="76">
        <f>J4*J$3</f>
        <v>0</v>
      </c>
      <c r="L4" s="99"/>
      <c r="M4" s="76">
        <f>L4*L$3</f>
        <v>0</v>
      </c>
      <c r="N4" s="99"/>
      <c r="O4" s="76">
        <f>N4*N$3</f>
        <v>0</v>
      </c>
      <c r="P4" s="99"/>
      <c r="Q4" s="76">
        <f t="shared" ref="Q4:Q67" si="0">P4*P$3</f>
        <v>0</v>
      </c>
      <c r="R4" s="99"/>
      <c r="S4" s="76">
        <f t="shared" ref="S4:S67" si="1">R4*R$3</f>
        <v>0</v>
      </c>
      <c r="T4" s="99"/>
      <c r="U4" s="76">
        <f t="shared" ref="U4:U67" si="2">T4*T$3</f>
        <v>0</v>
      </c>
      <c r="V4" s="77">
        <f>(M4+O4+Q4+S4+I4+K4)/H$1</f>
        <v>0</v>
      </c>
      <c r="W4" s="135" t="str">
        <f>IF(C4+D4+E4=0,"",(M4+O4+Q4+S4+U4+I4+K4)/(C4+D4+E4))</f>
        <v/>
      </c>
      <c r="X4" s="135" t="str">
        <f>IF(C4=0,"",(S4+U4+I4)/C4)</f>
        <v/>
      </c>
      <c r="Y4" s="135" t="str">
        <f>IF(D4=0,"",(K4+M4+O4)/D4)</f>
        <v/>
      </c>
      <c r="Z4" s="135" t="str">
        <f>IF(E4=0,"",Q4/E4)</f>
        <v/>
      </c>
      <c r="AA4" s="152" t="e">
        <f>AVERAGE(W4:W9)</f>
        <v>#DIV/0!</v>
      </c>
      <c r="AB4" s="152">
        <v>0</v>
      </c>
      <c r="AC4" s="179"/>
      <c r="AD4" s="2"/>
      <c r="AE4" s="2"/>
      <c r="AF4" s="2"/>
      <c r="AG4" s="2"/>
      <c r="AH4" s="2"/>
      <c r="AI4" s="2"/>
      <c r="AJ4" s="2"/>
      <c r="AK4" s="2"/>
      <c r="AL4" s="2"/>
      <c r="AM4" s="2"/>
      <c r="AN4" s="2"/>
      <c r="AO4" s="2"/>
      <c r="AP4" s="2"/>
      <c r="AQ4" s="1"/>
      <c r="AR4" s="1"/>
      <c r="AS4" s="1"/>
      <c r="AT4" s="1"/>
      <c r="AU4" s="1"/>
      <c r="AV4" s="1"/>
      <c r="AW4" s="1"/>
      <c r="AX4" s="1"/>
      <c r="AY4" s="1"/>
      <c r="AZ4" s="1"/>
      <c r="BA4" s="1"/>
    </row>
    <row r="5" spans="1:53" ht="17.25" thickBot="1" x14ac:dyDescent="0.35">
      <c r="A5" s="147"/>
      <c r="B5" s="97"/>
      <c r="C5" s="96"/>
      <c r="D5" s="96"/>
      <c r="E5" s="96"/>
      <c r="F5" s="150"/>
      <c r="G5" s="150"/>
      <c r="H5" s="100"/>
      <c r="I5" s="6">
        <f t="shared" ref="I5:I9" si="3">H5*H$3</f>
        <v>0</v>
      </c>
      <c r="J5" s="100"/>
      <c r="K5" s="6">
        <f t="shared" ref="K5:K9" si="4">J5*J$3</f>
        <v>0</v>
      </c>
      <c r="L5" s="100"/>
      <c r="M5" s="6">
        <f t="shared" ref="M5:M9" si="5">L5*L$3</f>
        <v>0</v>
      </c>
      <c r="N5" s="100"/>
      <c r="O5" s="6">
        <f t="shared" ref="O5:O9" si="6">N5*N$3</f>
        <v>0</v>
      </c>
      <c r="P5" s="100"/>
      <c r="Q5" s="6">
        <f t="shared" si="0"/>
        <v>0</v>
      </c>
      <c r="R5" s="100"/>
      <c r="S5" s="6">
        <f t="shared" si="1"/>
        <v>0</v>
      </c>
      <c r="T5" s="100"/>
      <c r="U5" s="6">
        <f t="shared" si="2"/>
        <v>0</v>
      </c>
      <c r="V5" s="78">
        <f t="shared" ref="V5:V9" si="7">(M5+O5+Q5+S5+I5+K5)/H$1</f>
        <v>0</v>
      </c>
      <c r="W5" s="8" t="str">
        <f t="shared" ref="W5:W68" si="8">IF(C5+D5+E5=0,"",(M5+O5+Q5+S5+U5+I5+K5)/(C5+D5+E5))</f>
        <v/>
      </c>
      <c r="X5" s="8" t="str">
        <f t="shared" ref="X5:X68" si="9">IF(C5=0,"",(S5+U5+I5)/C5)</f>
        <v/>
      </c>
      <c r="Y5" s="8" t="str">
        <f t="shared" ref="Y5:Y68" si="10">IF(D5=0,"",(K5+M5+O5)/D5)</f>
        <v/>
      </c>
      <c r="Z5" s="8" t="str">
        <f t="shared" ref="Z5:Z68" si="11">IF(E5=0,"",Q5/E5)</f>
        <v/>
      </c>
      <c r="AA5" s="152"/>
      <c r="AB5" s="152"/>
      <c r="AC5" s="180"/>
      <c r="AD5" s="2"/>
      <c r="AE5" s="2"/>
      <c r="AF5" s="2"/>
      <c r="AG5" s="2"/>
      <c r="AH5" s="2"/>
      <c r="AI5" s="2"/>
      <c r="AJ5" s="2"/>
      <c r="AK5" s="2"/>
      <c r="AL5" s="2"/>
      <c r="AM5" s="2"/>
      <c r="AN5" s="2"/>
      <c r="AO5" s="2"/>
      <c r="AP5" s="2"/>
      <c r="AQ5" s="1"/>
      <c r="AR5" s="1"/>
      <c r="AS5" s="1"/>
      <c r="AT5" s="1"/>
      <c r="AU5" s="1"/>
      <c r="AV5" s="1"/>
      <c r="AW5" s="1"/>
      <c r="AX5" s="1"/>
      <c r="AY5" s="1"/>
      <c r="AZ5" s="1"/>
      <c r="BA5" s="1"/>
    </row>
    <row r="6" spans="1:53" ht="17.25" thickBot="1" x14ac:dyDescent="0.35">
      <c r="A6" s="147"/>
      <c r="B6" s="97"/>
      <c r="C6" s="103"/>
      <c r="D6" s="103"/>
      <c r="E6" s="103"/>
      <c r="F6" s="150"/>
      <c r="G6" s="150"/>
      <c r="H6" s="100"/>
      <c r="I6" s="6">
        <f t="shared" si="3"/>
        <v>0</v>
      </c>
      <c r="J6" s="100"/>
      <c r="K6" s="6">
        <f t="shared" si="4"/>
        <v>0</v>
      </c>
      <c r="L6" s="100"/>
      <c r="M6" s="6">
        <f t="shared" si="5"/>
        <v>0</v>
      </c>
      <c r="N6" s="100"/>
      <c r="O6" s="6">
        <f t="shared" si="6"/>
        <v>0</v>
      </c>
      <c r="P6" s="100"/>
      <c r="Q6" s="6">
        <f t="shared" si="0"/>
        <v>0</v>
      </c>
      <c r="R6" s="100"/>
      <c r="S6" s="6">
        <f t="shared" si="1"/>
        <v>0</v>
      </c>
      <c r="T6" s="100"/>
      <c r="U6" s="6">
        <f t="shared" si="2"/>
        <v>0</v>
      </c>
      <c r="V6" s="78">
        <f t="shared" si="7"/>
        <v>0</v>
      </c>
      <c r="W6" s="8" t="str">
        <f t="shared" si="8"/>
        <v/>
      </c>
      <c r="X6" s="8" t="str">
        <f t="shared" si="9"/>
        <v/>
      </c>
      <c r="Y6" s="8" t="str">
        <f t="shared" si="10"/>
        <v/>
      </c>
      <c r="Z6" s="8" t="str">
        <f t="shared" si="11"/>
        <v/>
      </c>
      <c r="AA6" s="152"/>
      <c r="AB6" s="152"/>
      <c r="AC6" s="180"/>
      <c r="AD6" s="2"/>
      <c r="AE6" s="2"/>
      <c r="AF6" s="2"/>
      <c r="AG6" s="2"/>
      <c r="AH6" s="2"/>
      <c r="AI6" s="2"/>
      <c r="AJ6" s="2"/>
      <c r="AK6" s="2"/>
      <c r="AL6" s="2"/>
      <c r="AM6" s="2"/>
      <c r="AN6" s="2"/>
      <c r="AO6" s="2"/>
      <c r="AP6" s="2"/>
      <c r="AQ6" s="1"/>
      <c r="AR6" s="1"/>
      <c r="AS6" s="1"/>
      <c r="AT6" s="1"/>
      <c r="AU6" s="1"/>
      <c r="AV6" s="1"/>
      <c r="AW6" s="1"/>
      <c r="AX6" s="1"/>
      <c r="AY6" s="1"/>
      <c r="AZ6" s="1"/>
      <c r="BA6" s="1"/>
    </row>
    <row r="7" spans="1:53" ht="17.25" thickBot="1" x14ac:dyDescent="0.35">
      <c r="A7" s="147"/>
      <c r="B7" s="97"/>
      <c r="C7" s="103"/>
      <c r="D7" s="103"/>
      <c r="E7" s="103"/>
      <c r="F7" s="150"/>
      <c r="G7" s="150"/>
      <c r="H7" s="100"/>
      <c r="I7" s="6">
        <f t="shared" si="3"/>
        <v>0</v>
      </c>
      <c r="J7" s="100"/>
      <c r="K7" s="6">
        <f t="shared" si="4"/>
        <v>0</v>
      </c>
      <c r="L7" s="100"/>
      <c r="M7" s="6">
        <f t="shared" si="5"/>
        <v>0</v>
      </c>
      <c r="N7" s="100"/>
      <c r="O7" s="6">
        <f t="shared" si="6"/>
        <v>0</v>
      </c>
      <c r="P7" s="100"/>
      <c r="Q7" s="6">
        <f t="shared" si="0"/>
        <v>0</v>
      </c>
      <c r="R7" s="100"/>
      <c r="S7" s="6">
        <f t="shared" si="1"/>
        <v>0</v>
      </c>
      <c r="T7" s="100"/>
      <c r="U7" s="6">
        <f t="shared" si="2"/>
        <v>0</v>
      </c>
      <c r="V7" s="78">
        <f t="shared" si="7"/>
        <v>0</v>
      </c>
      <c r="W7" s="8" t="str">
        <f t="shared" si="8"/>
        <v/>
      </c>
      <c r="X7" s="8" t="str">
        <f t="shared" si="9"/>
        <v/>
      </c>
      <c r="Y7" s="8" t="str">
        <f t="shared" si="10"/>
        <v/>
      </c>
      <c r="Z7" s="8" t="str">
        <f t="shared" si="11"/>
        <v/>
      </c>
      <c r="AA7" s="152"/>
      <c r="AB7" s="152"/>
      <c r="AC7" s="180"/>
      <c r="AD7" s="2"/>
      <c r="AE7" s="2"/>
      <c r="AF7" s="2"/>
      <c r="AG7" s="2"/>
      <c r="AH7" s="2"/>
      <c r="AI7" s="2"/>
      <c r="AJ7" s="2"/>
      <c r="AK7" s="2"/>
      <c r="AL7" s="2"/>
      <c r="AM7" s="2"/>
      <c r="AN7" s="2"/>
      <c r="AO7" s="2"/>
      <c r="AP7" s="2"/>
      <c r="AQ7" s="1"/>
      <c r="AR7" s="1"/>
      <c r="AS7" s="1"/>
      <c r="AT7" s="1"/>
      <c r="AU7" s="1"/>
      <c r="AV7" s="1"/>
      <c r="AW7" s="1"/>
      <c r="AX7" s="1"/>
      <c r="AY7" s="1"/>
      <c r="AZ7" s="1"/>
      <c r="BA7" s="1"/>
    </row>
    <row r="8" spans="1:53" ht="17.25" thickBot="1" x14ac:dyDescent="0.35">
      <c r="A8" s="147"/>
      <c r="B8" s="97"/>
      <c r="C8" s="103"/>
      <c r="D8" s="103"/>
      <c r="E8" s="103"/>
      <c r="F8" s="150"/>
      <c r="G8" s="150"/>
      <c r="H8" s="100"/>
      <c r="I8" s="6">
        <f t="shared" si="3"/>
        <v>0</v>
      </c>
      <c r="J8" s="100"/>
      <c r="K8" s="6">
        <f t="shared" si="4"/>
        <v>0</v>
      </c>
      <c r="L8" s="100"/>
      <c r="M8" s="6">
        <f t="shared" si="5"/>
        <v>0</v>
      </c>
      <c r="N8" s="100"/>
      <c r="O8" s="6">
        <f t="shared" si="6"/>
        <v>0</v>
      </c>
      <c r="P8" s="100"/>
      <c r="Q8" s="6">
        <f t="shared" si="0"/>
        <v>0</v>
      </c>
      <c r="R8" s="100"/>
      <c r="S8" s="6">
        <f t="shared" si="1"/>
        <v>0</v>
      </c>
      <c r="T8" s="100"/>
      <c r="U8" s="6">
        <f t="shared" si="2"/>
        <v>0</v>
      </c>
      <c r="V8" s="78">
        <f t="shared" si="7"/>
        <v>0</v>
      </c>
      <c r="W8" s="8" t="str">
        <f t="shared" si="8"/>
        <v/>
      </c>
      <c r="X8" s="8" t="str">
        <f t="shared" si="9"/>
        <v/>
      </c>
      <c r="Y8" s="8" t="str">
        <f t="shared" si="10"/>
        <v/>
      </c>
      <c r="Z8" s="8" t="str">
        <f t="shared" si="11"/>
        <v/>
      </c>
      <c r="AA8" s="152"/>
      <c r="AB8" s="152"/>
      <c r="AC8" s="180"/>
      <c r="AD8" s="2"/>
      <c r="AE8" s="2"/>
      <c r="AF8" s="2"/>
      <c r="AG8" s="2"/>
      <c r="AH8" s="2"/>
      <c r="AI8" s="2"/>
      <c r="AJ8" s="2"/>
      <c r="AK8" s="2"/>
      <c r="AL8" s="2"/>
      <c r="AM8" s="2"/>
      <c r="AN8" s="2"/>
      <c r="AO8" s="2"/>
      <c r="AP8" s="2"/>
      <c r="AQ8" s="1"/>
      <c r="AR8" s="1"/>
      <c r="AS8" s="1"/>
      <c r="AT8" s="1"/>
      <c r="AU8" s="1"/>
      <c r="AV8" s="1"/>
      <c r="AW8" s="1"/>
      <c r="AX8" s="1"/>
      <c r="AY8" s="1"/>
      <c r="AZ8" s="1"/>
      <c r="BA8" s="1"/>
    </row>
    <row r="9" spans="1:53" ht="17.25" thickBot="1" x14ac:dyDescent="0.35">
      <c r="A9" s="148"/>
      <c r="B9" s="98"/>
      <c r="C9" s="104"/>
      <c r="D9" s="104"/>
      <c r="E9" s="104"/>
      <c r="F9" s="151"/>
      <c r="G9" s="151"/>
      <c r="H9" s="101"/>
      <c r="I9" s="37">
        <f t="shared" si="3"/>
        <v>0</v>
      </c>
      <c r="J9" s="101"/>
      <c r="K9" s="37">
        <f t="shared" si="4"/>
        <v>0</v>
      </c>
      <c r="L9" s="101"/>
      <c r="M9" s="37">
        <f t="shared" si="5"/>
        <v>0</v>
      </c>
      <c r="N9" s="101"/>
      <c r="O9" s="37">
        <f t="shared" si="6"/>
        <v>0</v>
      </c>
      <c r="P9" s="101"/>
      <c r="Q9" s="37">
        <f t="shared" si="0"/>
        <v>0</v>
      </c>
      <c r="R9" s="101"/>
      <c r="S9" s="37">
        <f t="shared" si="1"/>
        <v>0</v>
      </c>
      <c r="T9" s="101"/>
      <c r="U9" s="37">
        <f t="shared" si="2"/>
        <v>0</v>
      </c>
      <c r="V9" s="79">
        <f t="shared" si="7"/>
        <v>0</v>
      </c>
      <c r="W9" s="36" t="str">
        <f t="shared" si="8"/>
        <v/>
      </c>
      <c r="X9" s="36" t="str">
        <f t="shared" si="9"/>
        <v/>
      </c>
      <c r="Y9" s="36" t="str">
        <f t="shared" si="10"/>
        <v/>
      </c>
      <c r="Z9" s="36" t="str">
        <f t="shared" si="11"/>
        <v/>
      </c>
      <c r="AA9" s="152"/>
      <c r="AB9" s="152"/>
      <c r="AC9" s="181"/>
      <c r="AD9" s="2"/>
      <c r="AE9" s="2"/>
      <c r="AF9" s="2"/>
      <c r="AG9" s="2"/>
      <c r="AH9" s="2"/>
      <c r="AI9" s="2"/>
      <c r="AJ9" s="2"/>
      <c r="AK9" s="2"/>
      <c r="AL9" s="2"/>
      <c r="AM9" s="2"/>
      <c r="AN9" s="2"/>
      <c r="AO9" s="2"/>
      <c r="AP9" s="2"/>
      <c r="AQ9" s="1"/>
      <c r="AR9" s="1"/>
      <c r="AS9" s="1"/>
      <c r="AT9" s="1"/>
      <c r="AU9" s="1"/>
      <c r="AV9" s="1"/>
      <c r="AW9" s="1"/>
      <c r="AX9" s="1"/>
      <c r="AY9" s="1"/>
      <c r="AZ9" s="1"/>
      <c r="BA9" s="1"/>
    </row>
    <row r="10" spans="1:53" ht="17.25" thickBot="1" x14ac:dyDescent="0.35">
      <c r="A10" s="146">
        <v>14</v>
      </c>
      <c r="B10" s="105"/>
      <c r="C10" s="95"/>
      <c r="D10" s="95"/>
      <c r="E10" s="95"/>
      <c r="F10" s="149">
        <f>SUM(M10:M15,O10:O15,Q10:Q15,S10:S15,I10:I15,K10:K15)</f>
        <v>0</v>
      </c>
      <c r="G10" s="149">
        <f>SUM(M10:M15,O10:O15,Q10:Q15,S10:S15,U10:U15,K10:K15,I10:I15)</f>
        <v>0</v>
      </c>
      <c r="H10" s="99"/>
      <c r="I10" s="76">
        <f>H10*H$3</f>
        <v>0</v>
      </c>
      <c r="J10" s="99"/>
      <c r="K10" s="76">
        <f>J10*J$3</f>
        <v>0</v>
      </c>
      <c r="L10" s="99"/>
      <c r="M10" s="76">
        <f>L10*L$3</f>
        <v>0</v>
      </c>
      <c r="N10" s="99"/>
      <c r="O10" s="76">
        <f>N10*N$3</f>
        <v>0</v>
      </c>
      <c r="P10" s="99"/>
      <c r="Q10" s="76">
        <f t="shared" si="0"/>
        <v>0</v>
      </c>
      <c r="R10" s="99"/>
      <c r="S10" s="76">
        <f t="shared" si="1"/>
        <v>0</v>
      </c>
      <c r="T10" s="99"/>
      <c r="U10" s="76">
        <f t="shared" si="2"/>
        <v>0</v>
      </c>
      <c r="V10" s="77">
        <f>(M10+O10+Q10+S10+I10+K10)/H$1</f>
        <v>0</v>
      </c>
      <c r="W10" s="135" t="str">
        <f t="shared" si="8"/>
        <v/>
      </c>
      <c r="X10" s="135" t="str">
        <f t="shared" si="9"/>
        <v/>
      </c>
      <c r="Y10" s="135" t="str">
        <f t="shared" si="10"/>
        <v/>
      </c>
      <c r="Z10" s="135" t="str">
        <f t="shared" si="11"/>
        <v/>
      </c>
      <c r="AA10" s="152" t="e">
        <f>AVERAGE(W10:W15)</f>
        <v>#DIV/0!</v>
      </c>
      <c r="AB10" s="152">
        <f>SUM(V10:V15)</f>
        <v>0</v>
      </c>
      <c r="AC10" s="179"/>
      <c r="AD10" s="2"/>
      <c r="AE10" s="2"/>
      <c r="AF10" s="2"/>
      <c r="AG10" s="2"/>
      <c r="AH10" s="2"/>
      <c r="AI10" s="2"/>
      <c r="AJ10" s="2"/>
      <c r="AK10" s="2"/>
      <c r="AL10" s="2"/>
      <c r="AM10" s="2"/>
      <c r="AN10" s="2"/>
      <c r="AO10" s="2"/>
      <c r="AP10" s="2"/>
      <c r="AQ10" s="1"/>
      <c r="AR10" s="1"/>
      <c r="AS10" s="1"/>
      <c r="AT10" s="1"/>
      <c r="AU10" s="1"/>
      <c r="AV10" s="1"/>
      <c r="AW10" s="1"/>
      <c r="AX10" s="1"/>
      <c r="AY10" s="1"/>
      <c r="AZ10" s="1"/>
      <c r="BA10" s="1"/>
    </row>
    <row r="11" spans="1:53" ht="17.25" thickBot="1" x14ac:dyDescent="0.35">
      <c r="A11" s="147"/>
      <c r="B11" s="97"/>
      <c r="C11" s="96"/>
      <c r="D11" s="96"/>
      <c r="E11" s="96"/>
      <c r="F11" s="150"/>
      <c r="G11" s="150"/>
      <c r="H11" s="100"/>
      <c r="I11" s="6">
        <f t="shared" ref="I11:I74" si="12">H11*H$3</f>
        <v>0</v>
      </c>
      <c r="J11" s="100"/>
      <c r="K11" s="6">
        <f t="shared" ref="K11:K74" si="13">J11*J$3</f>
        <v>0</v>
      </c>
      <c r="L11" s="100"/>
      <c r="M11" s="6">
        <f t="shared" ref="M11:M74" si="14">L11*L$3</f>
        <v>0</v>
      </c>
      <c r="N11" s="100"/>
      <c r="O11" s="6">
        <f t="shared" ref="O11:O74" si="15">N11*N$3</f>
        <v>0</v>
      </c>
      <c r="P11" s="100"/>
      <c r="Q11" s="6">
        <f t="shared" si="0"/>
        <v>0</v>
      </c>
      <c r="R11" s="100"/>
      <c r="S11" s="6">
        <f t="shared" si="1"/>
        <v>0</v>
      </c>
      <c r="T11" s="100"/>
      <c r="U11" s="6">
        <f t="shared" si="2"/>
        <v>0</v>
      </c>
      <c r="V11" s="78">
        <f t="shared" ref="V11:V74" si="16">(M11+O11+Q11+S11+I11+K11)/H$1</f>
        <v>0</v>
      </c>
      <c r="W11" s="8" t="str">
        <f t="shared" si="8"/>
        <v/>
      </c>
      <c r="X11" s="8" t="str">
        <f t="shared" si="9"/>
        <v/>
      </c>
      <c r="Y11" s="8" t="str">
        <f t="shared" si="10"/>
        <v/>
      </c>
      <c r="Z11" s="8" t="str">
        <f t="shared" si="11"/>
        <v/>
      </c>
      <c r="AA11" s="152"/>
      <c r="AB11" s="152"/>
      <c r="AC11" s="180"/>
      <c r="AD11" s="2"/>
      <c r="AE11" s="2"/>
      <c r="AF11" s="2"/>
      <c r="AG11" s="2"/>
      <c r="AH11" s="2"/>
      <c r="AI11" s="2"/>
      <c r="AJ11" s="2"/>
      <c r="AK11" s="2"/>
      <c r="AL11" s="2"/>
      <c r="AM11" s="2"/>
      <c r="AN11" s="2"/>
      <c r="AO11" s="2"/>
      <c r="AP11" s="2"/>
      <c r="AQ11" s="1"/>
      <c r="AR11" s="1"/>
      <c r="AS11" s="1"/>
      <c r="AT11" s="1"/>
      <c r="AU11" s="1"/>
      <c r="AV11" s="1"/>
      <c r="AW11" s="1"/>
      <c r="AX11" s="1"/>
      <c r="AY11" s="1"/>
      <c r="AZ11" s="1"/>
      <c r="BA11" s="1"/>
    </row>
    <row r="12" spans="1:53" ht="17.25" thickBot="1" x14ac:dyDescent="0.35">
      <c r="A12" s="147"/>
      <c r="B12" s="97"/>
      <c r="C12" s="103"/>
      <c r="D12" s="103"/>
      <c r="E12" s="103"/>
      <c r="F12" s="150"/>
      <c r="G12" s="150"/>
      <c r="H12" s="100"/>
      <c r="I12" s="6">
        <f t="shared" si="12"/>
        <v>0</v>
      </c>
      <c r="J12" s="100"/>
      <c r="K12" s="6">
        <f t="shared" si="13"/>
        <v>0</v>
      </c>
      <c r="L12" s="100"/>
      <c r="M12" s="6">
        <f t="shared" si="14"/>
        <v>0</v>
      </c>
      <c r="N12" s="100"/>
      <c r="O12" s="6">
        <f t="shared" si="15"/>
        <v>0</v>
      </c>
      <c r="P12" s="100"/>
      <c r="Q12" s="6">
        <f t="shared" si="0"/>
        <v>0</v>
      </c>
      <c r="R12" s="100"/>
      <c r="S12" s="6">
        <f t="shared" si="1"/>
        <v>0</v>
      </c>
      <c r="T12" s="100"/>
      <c r="U12" s="6">
        <f t="shared" si="2"/>
        <v>0</v>
      </c>
      <c r="V12" s="78">
        <f t="shared" si="16"/>
        <v>0</v>
      </c>
      <c r="W12" s="8" t="str">
        <f t="shared" si="8"/>
        <v/>
      </c>
      <c r="X12" s="8" t="str">
        <f t="shared" si="9"/>
        <v/>
      </c>
      <c r="Y12" s="8" t="str">
        <f t="shared" si="10"/>
        <v/>
      </c>
      <c r="Z12" s="8" t="str">
        <f t="shared" si="11"/>
        <v/>
      </c>
      <c r="AA12" s="152"/>
      <c r="AB12" s="152"/>
      <c r="AC12" s="180"/>
      <c r="AD12" s="2"/>
      <c r="AE12" s="2"/>
      <c r="AF12" s="2"/>
      <c r="AG12" s="2"/>
      <c r="AH12" s="2"/>
      <c r="AI12" s="2"/>
      <c r="AJ12" s="2"/>
      <c r="AK12" s="2"/>
      <c r="AL12" s="2"/>
      <c r="AM12" s="2"/>
      <c r="AN12" s="2"/>
      <c r="AO12" s="2"/>
      <c r="AP12" s="2"/>
      <c r="AQ12" s="1"/>
      <c r="AR12" s="1"/>
      <c r="AS12" s="1"/>
      <c r="AT12" s="1"/>
      <c r="AU12" s="1"/>
      <c r="AV12" s="1"/>
      <c r="AW12" s="1"/>
      <c r="AX12" s="1"/>
      <c r="AY12" s="1"/>
      <c r="AZ12" s="1"/>
      <c r="BA12" s="1"/>
    </row>
    <row r="13" spans="1:53" ht="17.25" thickBot="1" x14ac:dyDescent="0.35">
      <c r="A13" s="147"/>
      <c r="B13" s="97"/>
      <c r="C13" s="103"/>
      <c r="D13" s="103"/>
      <c r="E13" s="103"/>
      <c r="F13" s="150"/>
      <c r="G13" s="150"/>
      <c r="H13" s="100"/>
      <c r="I13" s="6">
        <f t="shared" si="12"/>
        <v>0</v>
      </c>
      <c r="J13" s="100"/>
      <c r="K13" s="6">
        <f t="shared" si="13"/>
        <v>0</v>
      </c>
      <c r="L13" s="100"/>
      <c r="M13" s="6">
        <f t="shared" si="14"/>
        <v>0</v>
      </c>
      <c r="N13" s="100"/>
      <c r="O13" s="6">
        <f t="shared" si="15"/>
        <v>0</v>
      </c>
      <c r="P13" s="100"/>
      <c r="Q13" s="6">
        <f t="shared" si="0"/>
        <v>0</v>
      </c>
      <c r="R13" s="100"/>
      <c r="S13" s="6">
        <f t="shared" si="1"/>
        <v>0</v>
      </c>
      <c r="T13" s="100"/>
      <c r="U13" s="6">
        <f t="shared" si="2"/>
        <v>0</v>
      </c>
      <c r="V13" s="78">
        <f t="shared" si="16"/>
        <v>0</v>
      </c>
      <c r="W13" s="8" t="str">
        <f t="shared" si="8"/>
        <v/>
      </c>
      <c r="X13" s="8" t="str">
        <f t="shared" si="9"/>
        <v/>
      </c>
      <c r="Y13" s="8" t="str">
        <f t="shared" si="10"/>
        <v/>
      </c>
      <c r="Z13" s="8" t="str">
        <f t="shared" si="11"/>
        <v/>
      </c>
      <c r="AA13" s="152"/>
      <c r="AB13" s="152"/>
      <c r="AC13" s="180"/>
      <c r="AD13" s="2"/>
      <c r="AE13" s="2"/>
      <c r="AF13" s="2"/>
      <c r="AG13" s="2"/>
      <c r="AH13" s="2"/>
      <c r="AI13" s="2"/>
      <c r="AJ13" s="2"/>
      <c r="AK13" s="2"/>
      <c r="AL13" s="2"/>
      <c r="AM13" s="2"/>
      <c r="AN13" s="2"/>
      <c r="AO13" s="2"/>
      <c r="AP13" s="2"/>
      <c r="AQ13" s="1"/>
      <c r="AR13" s="1"/>
      <c r="AS13" s="1"/>
      <c r="AT13" s="1"/>
      <c r="AU13" s="1"/>
      <c r="AV13" s="1"/>
      <c r="AW13" s="1"/>
      <c r="AX13" s="1"/>
      <c r="AY13" s="1"/>
      <c r="AZ13" s="1"/>
      <c r="BA13" s="1"/>
    </row>
    <row r="14" spans="1:53" ht="17.25" thickBot="1" x14ac:dyDescent="0.35">
      <c r="A14" s="147"/>
      <c r="B14" s="97"/>
      <c r="C14" s="103"/>
      <c r="D14" s="103"/>
      <c r="E14" s="103"/>
      <c r="F14" s="150"/>
      <c r="G14" s="150"/>
      <c r="H14" s="100"/>
      <c r="I14" s="6">
        <f t="shared" si="12"/>
        <v>0</v>
      </c>
      <c r="J14" s="100"/>
      <c r="K14" s="6">
        <f t="shared" si="13"/>
        <v>0</v>
      </c>
      <c r="L14" s="100"/>
      <c r="M14" s="6">
        <f t="shared" si="14"/>
        <v>0</v>
      </c>
      <c r="N14" s="100"/>
      <c r="O14" s="6">
        <f t="shared" si="15"/>
        <v>0</v>
      </c>
      <c r="P14" s="100"/>
      <c r="Q14" s="6">
        <f t="shared" si="0"/>
        <v>0</v>
      </c>
      <c r="R14" s="100"/>
      <c r="S14" s="6">
        <f t="shared" si="1"/>
        <v>0</v>
      </c>
      <c r="T14" s="100"/>
      <c r="U14" s="6">
        <f t="shared" si="2"/>
        <v>0</v>
      </c>
      <c r="V14" s="78">
        <f t="shared" si="16"/>
        <v>0</v>
      </c>
      <c r="W14" s="8" t="str">
        <f t="shared" si="8"/>
        <v/>
      </c>
      <c r="X14" s="8" t="str">
        <f t="shared" si="9"/>
        <v/>
      </c>
      <c r="Y14" s="8" t="str">
        <f t="shared" si="10"/>
        <v/>
      </c>
      <c r="Z14" s="8" t="str">
        <f t="shared" si="11"/>
        <v/>
      </c>
      <c r="AA14" s="152"/>
      <c r="AB14" s="152"/>
      <c r="AC14" s="180"/>
      <c r="AD14" s="2"/>
      <c r="AE14" s="2"/>
      <c r="AF14" s="2"/>
      <c r="AG14" s="2"/>
      <c r="AH14" s="2"/>
      <c r="AI14" s="2"/>
      <c r="AJ14" s="2"/>
      <c r="AK14" s="2"/>
      <c r="AL14" s="2"/>
      <c r="AM14" s="2"/>
      <c r="AN14" s="2"/>
      <c r="AO14" s="2"/>
      <c r="AP14" s="2"/>
      <c r="AQ14" s="1"/>
      <c r="AR14" s="1"/>
      <c r="AS14" s="1"/>
      <c r="AT14" s="1"/>
      <c r="AU14" s="1"/>
      <c r="AV14" s="1"/>
      <c r="AW14" s="1"/>
      <c r="AX14" s="1"/>
      <c r="AY14" s="1"/>
      <c r="AZ14" s="1"/>
      <c r="BA14" s="1"/>
    </row>
    <row r="15" spans="1:53" ht="17.25" thickBot="1" x14ac:dyDescent="0.35">
      <c r="A15" s="148"/>
      <c r="B15" s="98"/>
      <c r="C15" s="104"/>
      <c r="D15" s="104"/>
      <c r="E15" s="104"/>
      <c r="F15" s="151"/>
      <c r="G15" s="151"/>
      <c r="H15" s="101"/>
      <c r="I15" s="37">
        <f t="shared" si="12"/>
        <v>0</v>
      </c>
      <c r="J15" s="101"/>
      <c r="K15" s="37">
        <f t="shared" si="13"/>
        <v>0</v>
      </c>
      <c r="L15" s="101"/>
      <c r="M15" s="37">
        <f t="shared" si="14"/>
        <v>0</v>
      </c>
      <c r="N15" s="101"/>
      <c r="O15" s="37">
        <f t="shared" si="15"/>
        <v>0</v>
      </c>
      <c r="P15" s="101"/>
      <c r="Q15" s="37">
        <f t="shared" si="0"/>
        <v>0</v>
      </c>
      <c r="R15" s="101"/>
      <c r="S15" s="37">
        <f t="shared" si="1"/>
        <v>0</v>
      </c>
      <c r="T15" s="101"/>
      <c r="U15" s="37">
        <f t="shared" si="2"/>
        <v>0</v>
      </c>
      <c r="V15" s="79">
        <f t="shared" si="16"/>
        <v>0</v>
      </c>
      <c r="W15" s="36" t="str">
        <f t="shared" si="8"/>
        <v/>
      </c>
      <c r="X15" s="36" t="str">
        <f t="shared" si="9"/>
        <v/>
      </c>
      <c r="Y15" s="36" t="str">
        <f t="shared" si="10"/>
        <v/>
      </c>
      <c r="Z15" s="36" t="str">
        <f t="shared" si="11"/>
        <v/>
      </c>
      <c r="AA15" s="152"/>
      <c r="AB15" s="152"/>
      <c r="AC15" s="181"/>
      <c r="AD15" s="2"/>
      <c r="AE15" s="2"/>
      <c r="AF15" s="2"/>
      <c r="AG15" s="2"/>
      <c r="AH15" s="2"/>
      <c r="AI15" s="2"/>
      <c r="AJ15" s="2"/>
      <c r="AK15" s="2"/>
      <c r="AL15" s="2"/>
      <c r="AM15" s="2"/>
      <c r="AN15" s="2"/>
      <c r="AO15" s="2"/>
      <c r="AP15" s="2"/>
      <c r="AQ15" s="1"/>
      <c r="AR15" s="1"/>
      <c r="AS15" s="1"/>
      <c r="AT15" s="1"/>
      <c r="AU15" s="1"/>
      <c r="AV15" s="1"/>
      <c r="AW15" s="1"/>
      <c r="AX15" s="1"/>
      <c r="AY15" s="1"/>
      <c r="AZ15" s="1"/>
      <c r="BA15" s="1"/>
    </row>
    <row r="16" spans="1:53" ht="17.25" thickBot="1" x14ac:dyDescent="0.35">
      <c r="A16" s="146">
        <v>15</v>
      </c>
      <c r="B16" s="105"/>
      <c r="C16" s="102"/>
      <c r="D16" s="125"/>
      <c r="E16" s="102"/>
      <c r="F16" s="149">
        <f t="shared" ref="F16" si="17">SUM(M16:M21,O16:O21,Q16:Q21,S16:S21,I16:I21,K16:K21)</f>
        <v>0</v>
      </c>
      <c r="G16" s="149">
        <f t="shared" ref="G16" si="18">SUM(M16:M21,O16:O21,Q16:Q21,S16:S21,U16:U21,K16:K21,I16:I21)</f>
        <v>0</v>
      </c>
      <c r="H16" s="99"/>
      <c r="I16" s="38">
        <f t="shared" si="12"/>
        <v>0</v>
      </c>
      <c r="J16" s="99"/>
      <c r="K16" s="38">
        <f t="shared" si="13"/>
        <v>0</v>
      </c>
      <c r="L16" s="99"/>
      <c r="M16" s="38">
        <f t="shared" si="14"/>
        <v>0</v>
      </c>
      <c r="N16" s="99"/>
      <c r="O16" s="38">
        <f t="shared" si="15"/>
        <v>0</v>
      </c>
      <c r="P16" s="99"/>
      <c r="Q16" s="38">
        <f t="shared" si="0"/>
        <v>0</v>
      </c>
      <c r="R16" s="99"/>
      <c r="S16" s="38">
        <f t="shared" si="1"/>
        <v>0</v>
      </c>
      <c r="T16" s="99"/>
      <c r="U16" s="38">
        <f t="shared" si="2"/>
        <v>0</v>
      </c>
      <c r="V16" s="34">
        <f t="shared" si="16"/>
        <v>0</v>
      </c>
      <c r="W16" s="34" t="str">
        <f t="shared" si="8"/>
        <v/>
      </c>
      <c r="X16" s="34" t="str">
        <f t="shared" si="9"/>
        <v/>
      </c>
      <c r="Y16" s="34" t="str">
        <f t="shared" si="10"/>
        <v/>
      </c>
      <c r="Z16" s="34" t="str">
        <f t="shared" si="11"/>
        <v/>
      </c>
      <c r="AA16" s="152" t="e">
        <f t="shared" ref="AA16" si="19">AVERAGE(W16:W21)</f>
        <v>#DIV/0!</v>
      </c>
      <c r="AB16" s="152">
        <f t="shared" ref="AB16" si="20">SUM(V16:V21)</f>
        <v>0</v>
      </c>
      <c r="AC16" s="179"/>
      <c r="AD16" s="2"/>
      <c r="AE16" s="2"/>
      <c r="AF16" s="2"/>
      <c r="AG16" s="2"/>
      <c r="AH16" s="2"/>
      <c r="AI16" s="2"/>
      <c r="AJ16" s="2"/>
      <c r="AK16" s="2"/>
      <c r="AL16" s="2"/>
      <c r="AM16" s="2"/>
      <c r="AN16" s="2"/>
      <c r="AO16" s="2"/>
      <c r="AP16" s="2"/>
      <c r="AQ16" s="1"/>
      <c r="AR16" s="1"/>
      <c r="AS16" s="1"/>
      <c r="AT16" s="1"/>
      <c r="AU16" s="1"/>
      <c r="AV16" s="1"/>
      <c r="AW16" s="1"/>
      <c r="AX16" s="1"/>
      <c r="AY16" s="1"/>
      <c r="AZ16" s="1"/>
      <c r="BA16" s="1"/>
    </row>
    <row r="17" spans="1:53" ht="17.25" thickBot="1" x14ac:dyDescent="0.35">
      <c r="A17" s="147"/>
      <c r="B17" s="97"/>
      <c r="C17" s="103"/>
      <c r="D17" s="103"/>
      <c r="E17" s="103"/>
      <c r="F17" s="150"/>
      <c r="G17" s="150"/>
      <c r="H17" s="100"/>
      <c r="I17" s="6">
        <f t="shared" si="12"/>
        <v>0</v>
      </c>
      <c r="J17" s="100"/>
      <c r="K17" s="6">
        <f t="shared" si="13"/>
        <v>0</v>
      </c>
      <c r="L17" s="100"/>
      <c r="M17" s="6">
        <f t="shared" si="14"/>
        <v>0</v>
      </c>
      <c r="N17" s="100"/>
      <c r="O17" s="6">
        <f t="shared" si="15"/>
        <v>0</v>
      </c>
      <c r="P17" s="100"/>
      <c r="Q17" s="6">
        <f t="shared" si="0"/>
        <v>0</v>
      </c>
      <c r="R17" s="100"/>
      <c r="S17" s="6">
        <f t="shared" si="1"/>
        <v>0</v>
      </c>
      <c r="T17" s="100"/>
      <c r="U17" s="6">
        <f t="shared" si="2"/>
        <v>0</v>
      </c>
      <c r="V17" s="8">
        <f t="shared" si="16"/>
        <v>0</v>
      </c>
      <c r="W17" s="8" t="str">
        <f t="shared" si="8"/>
        <v/>
      </c>
      <c r="X17" s="8" t="str">
        <f t="shared" si="9"/>
        <v/>
      </c>
      <c r="Y17" s="8" t="str">
        <f t="shared" si="10"/>
        <v/>
      </c>
      <c r="Z17" s="8" t="str">
        <f t="shared" si="11"/>
        <v/>
      </c>
      <c r="AA17" s="152"/>
      <c r="AB17" s="152"/>
      <c r="AC17" s="180"/>
      <c r="AD17" s="2"/>
      <c r="AE17" s="2"/>
      <c r="AF17" s="2"/>
      <c r="AG17" s="2"/>
      <c r="AH17" s="2"/>
      <c r="AI17" s="2"/>
      <c r="AJ17" s="2"/>
      <c r="AK17" s="2"/>
      <c r="AL17" s="2"/>
      <c r="AM17" s="2"/>
      <c r="AN17" s="2"/>
      <c r="AO17" s="2"/>
      <c r="AP17" s="2"/>
      <c r="AQ17" s="1"/>
      <c r="AR17" s="1"/>
      <c r="AS17" s="1"/>
      <c r="AT17" s="1"/>
      <c r="AU17" s="1"/>
      <c r="AV17" s="1"/>
      <c r="AW17" s="1"/>
      <c r="AX17" s="1"/>
      <c r="AY17" s="1"/>
      <c r="AZ17" s="1"/>
      <c r="BA17" s="1"/>
    </row>
    <row r="18" spans="1:53" ht="17.25" thickBot="1" x14ac:dyDescent="0.35">
      <c r="A18" s="147"/>
      <c r="B18" s="97"/>
      <c r="C18" s="103"/>
      <c r="D18" s="103"/>
      <c r="E18" s="103"/>
      <c r="F18" s="150"/>
      <c r="G18" s="150"/>
      <c r="H18" s="100"/>
      <c r="I18" s="6">
        <f t="shared" si="12"/>
        <v>0</v>
      </c>
      <c r="J18" s="100"/>
      <c r="K18" s="6">
        <f t="shared" si="13"/>
        <v>0</v>
      </c>
      <c r="L18" s="100"/>
      <c r="M18" s="6">
        <f t="shared" si="14"/>
        <v>0</v>
      </c>
      <c r="N18" s="100"/>
      <c r="O18" s="6">
        <f t="shared" si="15"/>
        <v>0</v>
      </c>
      <c r="P18" s="100"/>
      <c r="Q18" s="6">
        <f t="shared" si="0"/>
        <v>0</v>
      </c>
      <c r="R18" s="100"/>
      <c r="S18" s="6">
        <f t="shared" si="1"/>
        <v>0</v>
      </c>
      <c r="T18" s="100"/>
      <c r="U18" s="6">
        <f t="shared" si="2"/>
        <v>0</v>
      </c>
      <c r="V18" s="8">
        <f t="shared" si="16"/>
        <v>0</v>
      </c>
      <c r="W18" s="8" t="str">
        <f t="shared" si="8"/>
        <v/>
      </c>
      <c r="X18" s="8" t="str">
        <f t="shared" si="9"/>
        <v/>
      </c>
      <c r="Y18" s="8" t="str">
        <f t="shared" si="10"/>
        <v/>
      </c>
      <c r="Z18" s="8" t="str">
        <f t="shared" si="11"/>
        <v/>
      </c>
      <c r="AA18" s="152"/>
      <c r="AB18" s="152"/>
      <c r="AC18" s="180"/>
      <c r="AD18" s="2"/>
      <c r="AE18" s="2"/>
      <c r="AF18" s="2"/>
      <c r="AG18" s="2"/>
      <c r="AH18" s="2"/>
      <c r="AI18" s="2"/>
      <c r="AJ18" s="2"/>
      <c r="AK18" s="2"/>
      <c r="AL18" s="2"/>
      <c r="AM18" s="2"/>
      <c r="AN18" s="2"/>
      <c r="AO18" s="2"/>
      <c r="AP18" s="2"/>
      <c r="AQ18" s="1"/>
      <c r="AR18" s="1"/>
      <c r="AS18" s="1"/>
      <c r="AT18" s="1"/>
      <c r="AU18" s="1"/>
      <c r="AV18" s="1"/>
      <c r="AW18" s="1"/>
      <c r="AX18" s="1"/>
      <c r="AY18" s="1"/>
      <c r="AZ18" s="1"/>
      <c r="BA18" s="1"/>
    </row>
    <row r="19" spans="1:53" ht="17.25" thickBot="1" x14ac:dyDescent="0.35">
      <c r="A19" s="147"/>
      <c r="B19" s="97"/>
      <c r="C19" s="103"/>
      <c r="D19" s="103"/>
      <c r="E19" s="103"/>
      <c r="F19" s="150"/>
      <c r="G19" s="150"/>
      <c r="H19" s="100"/>
      <c r="I19" s="6">
        <f t="shared" si="12"/>
        <v>0</v>
      </c>
      <c r="J19" s="100"/>
      <c r="K19" s="6">
        <f t="shared" si="13"/>
        <v>0</v>
      </c>
      <c r="L19" s="100"/>
      <c r="M19" s="6">
        <f t="shared" si="14"/>
        <v>0</v>
      </c>
      <c r="N19" s="100"/>
      <c r="O19" s="6">
        <f t="shared" si="15"/>
        <v>0</v>
      </c>
      <c r="P19" s="100"/>
      <c r="Q19" s="6">
        <f t="shared" si="0"/>
        <v>0</v>
      </c>
      <c r="R19" s="100"/>
      <c r="S19" s="6">
        <f t="shared" si="1"/>
        <v>0</v>
      </c>
      <c r="T19" s="100"/>
      <c r="U19" s="6">
        <f t="shared" si="2"/>
        <v>0</v>
      </c>
      <c r="V19" s="8">
        <f t="shared" si="16"/>
        <v>0</v>
      </c>
      <c r="W19" s="8" t="str">
        <f t="shared" si="8"/>
        <v/>
      </c>
      <c r="X19" s="8" t="str">
        <f t="shared" si="9"/>
        <v/>
      </c>
      <c r="Y19" s="8" t="str">
        <f t="shared" si="10"/>
        <v/>
      </c>
      <c r="Z19" s="8" t="str">
        <f t="shared" si="11"/>
        <v/>
      </c>
      <c r="AA19" s="152"/>
      <c r="AB19" s="152"/>
      <c r="AC19" s="180"/>
      <c r="AD19" s="2"/>
      <c r="AE19" s="2"/>
      <c r="AF19" s="2"/>
      <c r="AG19" s="2"/>
      <c r="AH19" s="2"/>
      <c r="AI19" s="2"/>
      <c r="AJ19" s="2"/>
      <c r="AK19" s="2"/>
      <c r="AL19" s="2"/>
      <c r="AM19" s="2"/>
      <c r="AN19" s="2"/>
      <c r="AO19" s="2"/>
      <c r="AP19" s="2"/>
      <c r="AQ19" s="1"/>
      <c r="AR19" s="1"/>
      <c r="AS19" s="1"/>
      <c r="AT19" s="1"/>
      <c r="AU19" s="1"/>
      <c r="AV19" s="1"/>
      <c r="AW19" s="1"/>
      <c r="AX19" s="1"/>
      <c r="AY19" s="1"/>
      <c r="AZ19" s="1"/>
      <c r="BA19" s="1"/>
    </row>
    <row r="20" spans="1:53" ht="17.25" thickBot="1" x14ac:dyDescent="0.35">
      <c r="A20" s="147"/>
      <c r="B20" s="138"/>
      <c r="C20" s="103"/>
      <c r="D20" s="103"/>
      <c r="E20" s="103"/>
      <c r="F20" s="150"/>
      <c r="G20" s="150"/>
      <c r="H20" s="100"/>
      <c r="I20" s="6"/>
      <c r="J20" s="100"/>
      <c r="K20" s="6">
        <f t="shared" si="13"/>
        <v>0</v>
      </c>
      <c r="L20" s="100"/>
      <c r="M20" s="6">
        <f t="shared" si="14"/>
        <v>0</v>
      </c>
      <c r="N20" s="100"/>
      <c r="O20" s="6">
        <f t="shared" si="15"/>
        <v>0</v>
      </c>
      <c r="P20" s="100"/>
      <c r="Q20" s="6">
        <f t="shared" si="0"/>
        <v>0</v>
      </c>
      <c r="R20" s="100"/>
      <c r="S20" s="6">
        <f t="shared" si="1"/>
        <v>0</v>
      </c>
      <c r="T20" s="100"/>
      <c r="U20" s="6">
        <f t="shared" si="2"/>
        <v>0</v>
      </c>
      <c r="V20" s="8">
        <f t="shared" si="16"/>
        <v>0</v>
      </c>
      <c r="W20" s="8" t="str">
        <f t="shared" si="8"/>
        <v/>
      </c>
      <c r="X20" s="8" t="str">
        <f t="shared" si="9"/>
        <v/>
      </c>
      <c r="Y20" s="8" t="str">
        <f t="shared" si="10"/>
        <v/>
      </c>
      <c r="Z20" s="8" t="str">
        <f t="shared" si="11"/>
        <v/>
      </c>
      <c r="AA20" s="152"/>
      <c r="AB20" s="152"/>
      <c r="AC20" s="180"/>
      <c r="AD20" s="2"/>
      <c r="AE20" s="2"/>
      <c r="AF20" s="2"/>
      <c r="AG20" s="2"/>
      <c r="AH20" s="2"/>
      <c r="AI20" s="2"/>
      <c r="AJ20" s="2"/>
      <c r="AK20" s="2"/>
      <c r="AL20" s="2"/>
      <c r="AM20" s="2"/>
      <c r="AN20" s="2"/>
      <c r="AO20" s="2"/>
      <c r="AP20" s="2"/>
      <c r="AQ20" s="1"/>
      <c r="AR20" s="1"/>
      <c r="AS20" s="1"/>
      <c r="AT20" s="1"/>
      <c r="AU20" s="1"/>
      <c r="AV20" s="1"/>
      <c r="AW20" s="1"/>
      <c r="AX20" s="1"/>
      <c r="AY20" s="1"/>
      <c r="AZ20" s="1"/>
      <c r="BA20" s="1"/>
    </row>
    <row r="21" spans="1:53" ht="17.25" thickBot="1" x14ac:dyDescent="0.35">
      <c r="A21" s="148"/>
      <c r="B21" s="98"/>
      <c r="C21" s="104"/>
      <c r="D21" s="104"/>
      <c r="E21" s="104"/>
      <c r="F21" s="151"/>
      <c r="G21" s="151"/>
      <c r="H21" s="101"/>
      <c r="I21" s="37">
        <f t="shared" si="12"/>
        <v>0</v>
      </c>
      <c r="J21" s="101"/>
      <c r="K21" s="37">
        <f t="shared" si="13"/>
        <v>0</v>
      </c>
      <c r="L21" s="101"/>
      <c r="M21" s="37">
        <f t="shared" si="14"/>
        <v>0</v>
      </c>
      <c r="N21" s="101"/>
      <c r="O21" s="37">
        <f t="shared" si="15"/>
        <v>0</v>
      </c>
      <c r="P21" s="101"/>
      <c r="Q21" s="37">
        <f t="shared" si="0"/>
        <v>0</v>
      </c>
      <c r="R21" s="101"/>
      <c r="S21" s="37">
        <f t="shared" si="1"/>
        <v>0</v>
      </c>
      <c r="T21" s="101"/>
      <c r="U21" s="37">
        <f t="shared" si="2"/>
        <v>0</v>
      </c>
      <c r="V21" s="36">
        <f t="shared" si="16"/>
        <v>0</v>
      </c>
      <c r="W21" s="36" t="str">
        <f t="shared" si="8"/>
        <v/>
      </c>
      <c r="X21" s="36" t="str">
        <f t="shared" si="9"/>
        <v/>
      </c>
      <c r="Y21" s="36" t="str">
        <f t="shared" si="10"/>
        <v/>
      </c>
      <c r="Z21" s="36" t="str">
        <f t="shared" si="11"/>
        <v/>
      </c>
      <c r="AA21" s="152"/>
      <c r="AB21" s="152"/>
      <c r="AC21" s="181"/>
      <c r="AD21" s="2"/>
      <c r="AE21" s="2"/>
      <c r="AF21" s="2"/>
      <c r="AG21" s="2"/>
      <c r="AH21" s="2"/>
      <c r="AI21" s="2"/>
      <c r="AJ21" s="2"/>
      <c r="AK21" s="2"/>
      <c r="AL21" s="2"/>
      <c r="AM21" s="2"/>
      <c r="AN21" s="2"/>
      <c r="AO21" s="2"/>
      <c r="AP21" s="2"/>
      <c r="AQ21" s="1"/>
      <c r="AR21" s="1"/>
      <c r="AS21" s="1"/>
      <c r="AT21" s="1"/>
      <c r="AU21" s="1"/>
      <c r="AV21" s="1"/>
      <c r="AW21" s="1"/>
      <c r="AX21" s="1"/>
      <c r="AY21" s="1"/>
      <c r="AZ21" s="1"/>
      <c r="BA21" s="1"/>
    </row>
    <row r="22" spans="1:53" ht="17.25" thickBot="1" x14ac:dyDescent="0.35">
      <c r="A22" s="146">
        <v>16</v>
      </c>
      <c r="B22" s="132"/>
      <c r="C22" s="102"/>
      <c r="D22" s="102"/>
      <c r="E22" s="102"/>
      <c r="F22" s="149">
        <f t="shared" ref="F22" si="21">SUM(M22:M27,O22:O27,Q22:Q27,S22:S27,I22:I27,K22:K27)</f>
        <v>465</v>
      </c>
      <c r="G22" s="149">
        <f t="shared" ref="G22" si="22">SUM(M22:M27,O22:O27,Q22:Q27,S22:S27,U22:U27,K22:K27,I22:I27)</f>
        <v>465</v>
      </c>
      <c r="H22" s="99"/>
      <c r="I22" s="38">
        <f t="shared" si="12"/>
        <v>0</v>
      </c>
      <c r="J22" s="99"/>
      <c r="K22" s="38">
        <f t="shared" si="13"/>
        <v>0</v>
      </c>
      <c r="L22" s="99"/>
      <c r="M22" s="38">
        <f t="shared" si="14"/>
        <v>0</v>
      </c>
      <c r="N22" s="99"/>
      <c r="O22" s="38">
        <f t="shared" si="15"/>
        <v>0</v>
      </c>
      <c r="P22" s="99"/>
      <c r="Q22" s="38">
        <f t="shared" si="0"/>
        <v>0</v>
      </c>
      <c r="R22" s="99"/>
      <c r="S22" s="38">
        <f t="shared" si="1"/>
        <v>0</v>
      </c>
      <c r="T22" s="99"/>
      <c r="U22" s="38">
        <f t="shared" si="2"/>
        <v>0</v>
      </c>
      <c r="V22" s="34">
        <f t="shared" si="16"/>
        <v>0</v>
      </c>
      <c r="W22" s="34" t="str">
        <f t="shared" si="8"/>
        <v/>
      </c>
      <c r="X22" s="34" t="str">
        <f t="shared" si="9"/>
        <v/>
      </c>
      <c r="Y22" s="34" t="str">
        <f t="shared" si="10"/>
        <v/>
      </c>
      <c r="Z22" s="34" t="str">
        <f t="shared" si="11"/>
        <v/>
      </c>
      <c r="AA22" s="152">
        <f t="shared" ref="AA22" si="23">AVERAGE(W22:W27)</f>
        <v>46.5</v>
      </c>
      <c r="AB22" s="152">
        <f t="shared" ref="AB22" si="24">SUM(V22:V27)</f>
        <v>0.40364583333333331</v>
      </c>
      <c r="AC22" s="179"/>
      <c r="AD22" s="2"/>
      <c r="AE22" s="2"/>
      <c r="AF22" s="2"/>
      <c r="AG22" s="2"/>
      <c r="AH22" s="2"/>
      <c r="AI22" s="2"/>
      <c r="AJ22" s="2"/>
      <c r="AK22" s="2"/>
      <c r="AL22" s="2"/>
      <c r="AM22" s="2"/>
      <c r="AN22" s="2"/>
      <c r="AO22" s="2"/>
      <c r="AP22" s="2"/>
      <c r="AQ22" s="1"/>
      <c r="AR22" s="1"/>
      <c r="AS22" s="1"/>
      <c r="AT22" s="1"/>
      <c r="AU22" s="1"/>
      <c r="AV22" s="1"/>
      <c r="AW22" s="1"/>
      <c r="AX22" s="1"/>
      <c r="AY22" s="1"/>
      <c r="AZ22" s="1"/>
      <c r="BA22" s="1"/>
    </row>
    <row r="23" spans="1:53" ht="17.25" thickBot="1" x14ac:dyDescent="0.35">
      <c r="A23" s="147"/>
      <c r="B23" s="97"/>
      <c r="C23" s="103"/>
      <c r="D23" s="103"/>
      <c r="E23" s="103"/>
      <c r="F23" s="150"/>
      <c r="G23" s="150"/>
      <c r="H23" s="100"/>
      <c r="I23" s="6">
        <f t="shared" si="12"/>
        <v>0</v>
      </c>
      <c r="J23" s="100"/>
      <c r="K23" s="6">
        <f t="shared" si="13"/>
        <v>0</v>
      </c>
      <c r="L23" s="100"/>
      <c r="M23" s="6">
        <f t="shared" si="14"/>
        <v>0</v>
      </c>
      <c r="N23" s="100"/>
      <c r="O23" s="6">
        <f t="shared" si="15"/>
        <v>0</v>
      </c>
      <c r="P23" s="100"/>
      <c r="Q23" s="6">
        <f t="shared" si="0"/>
        <v>0</v>
      </c>
      <c r="R23" s="100"/>
      <c r="S23" s="6">
        <f t="shared" si="1"/>
        <v>0</v>
      </c>
      <c r="T23" s="100"/>
      <c r="U23" s="6">
        <f t="shared" si="2"/>
        <v>0</v>
      </c>
      <c r="V23" s="8">
        <f t="shared" si="16"/>
        <v>0</v>
      </c>
      <c r="W23" s="8" t="str">
        <f t="shared" si="8"/>
        <v/>
      </c>
      <c r="X23" s="8" t="str">
        <f t="shared" si="9"/>
        <v/>
      </c>
      <c r="Y23" s="8" t="str">
        <f t="shared" si="10"/>
        <v/>
      </c>
      <c r="Z23" s="8" t="str">
        <f t="shared" si="11"/>
        <v/>
      </c>
      <c r="AA23" s="152"/>
      <c r="AB23" s="152"/>
      <c r="AC23" s="180"/>
      <c r="AD23" s="2"/>
      <c r="AE23" s="2"/>
      <c r="AF23" s="2"/>
      <c r="AG23" s="2"/>
      <c r="AH23" s="2"/>
      <c r="AI23" s="2"/>
      <c r="AJ23" s="2"/>
      <c r="AK23" s="2"/>
      <c r="AL23" s="2"/>
      <c r="AM23" s="2"/>
      <c r="AN23" s="2"/>
      <c r="AO23" s="2"/>
      <c r="AP23" s="2"/>
      <c r="AQ23" s="1"/>
      <c r="AR23" s="1"/>
      <c r="AS23" s="1"/>
      <c r="AT23" s="1"/>
      <c r="AU23" s="1"/>
      <c r="AV23" s="1"/>
      <c r="AW23" s="1"/>
      <c r="AX23" s="1"/>
      <c r="AY23" s="1"/>
      <c r="AZ23" s="1"/>
      <c r="BA23" s="1"/>
    </row>
    <row r="24" spans="1:53" ht="17.25" thickBot="1" x14ac:dyDescent="0.35">
      <c r="A24" s="147"/>
      <c r="B24" s="97">
        <v>43207</v>
      </c>
      <c r="C24" s="103">
        <v>10</v>
      </c>
      <c r="D24" s="103"/>
      <c r="E24" s="103"/>
      <c r="F24" s="150"/>
      <c r="G24" s="150"/>
      <c r="H24" s="100">
        <v>93</v>
      </c>
      <c r="I24" s="6">
        <f t="shared" si="12"/>
        <v>465</v>
      </c>
      <c r="J24" s="100"/>
      <c r="K24" s="6">
        <f t="shared" si="13"/>
        <v>0</v>
      </c>
      <c r="L24" s="100"/>
      <c r="M24" s="6">
        <f t="shared" si="14"/>
        <v>0</v>
      </c>
      <c r="N24" s="100"/>
      <c r="O24" s="6">
        <f t="shared" si="15"/>
        <v>0</v>
      </c>
      <c r="P24" s="100"/>
      <c r="Q24" s="6">
        <f t="shared" si="0"/>
        <v>0</v>
      </c>
      <c r="R24" s="100"/>
      <c r="S24" s="6">
        <f t="shared" si="1"/>
        <v>0</v>
      </c>
      <c r="T24" s="100"/>
      <c r="U24" s="6">
        <f t="shared" si="2"/>
        <v>0</v>
      </c>
      <c r="V24" s="8">
        <f t="shared" si="16"/>
        <v>0.40364583333333331</v>
      </c>
      <c r="W24" s="8">
        <f t="shared" si="8"/>
        <v>46.5</v>
      </c>
      <c r="X24" s="8">
        <f t="shared" si="9"/>
        <v>46.5</v>
      </c>
      <c r="Y24" s="8" t="str">
        <f t="shared" si="10"/>
        <v/>
      </c>
      <c r="Z24" s="8" t="str">
        <f t="shared" si="11"/>
        <v/>
      </c>
      <c r="AA24" s="152"/>
      <c r="AB24" s="152"/>
      <c r="AC24" s="180"/>
      <c r="AD24" s="2"/>
      <c r="AE24" s="2"/>
      <c r="AF24" s="2"/>
      <c r="AG24" s="2"/>
      <c r="AH24" s="2"/>
      <c r="AI24" s="2"/>
      <c r="AJ24" s="2"/>
      <c r="AK24" s="2"/>
      <c r="AL24" s="2"/>
      <c r="AM24" s="2"/>
      <c r="AN24" s="2"/>
      <c r="AO24" s="2"/>
      <c r="AP24" s="2"/>
      <c r="AQ24" s="1"/>
      <c r="AR24" s="1"/>
      <c r="AS24" s="1"/>
      <c r="AT24" s="1"/>
      <c r="AU24" s="1"/>
      <c r="AV24" s="1"/>
      <c r="AW24" s="1"/>
      <c r="AX24" s="1"/>
      <c r="AY24" s="1"/>
      <c r="AZ24" s="1"/>
      <c r="BA24" s="1"/>
    </row>
    <row r="25" spans="1:53" ht="17.25" thickBot="1" x14ac:dyDescent="0.35">
      <c r="A25" s="147"/>
      <c r="B25" s="97"/>
      <c r="C25" s="103"/>
      <c r="D25" s="103"/>
      <c r="E25" s="103"/>
      <c r="F25" s="150"/>
      <c r="G25" s="150"/>
      <c r="H25" s="100"/>
      <c r="I25" s="6">
        <f t="shared" si="12"/>
        <v>0</v>
      </c>
      <c r="J25" s="100"/>
      <c r="K25" s="6">
        <f t="shared" si="13"/>
        <v>0</v>
      </c>
      <c r="L25" s="100"/>
      <c r="M25" s="6">
        <f t="shared" si="14"/>
        <v>0</v>
      </c>
      <c r="N25" s="100"/>
      <c r="O25" s="6">
        <f t="shared" si="15"/>
        <v>0</v>
      </c>
      <c r="P25" s="100"/>
      <c r="Q25" s="6">
        <f t="shared" si="0"/>
        <v>0</v>
      </c>
      <c r="R25" s="100"/>
      <c r="S25" s="6">
        <f t="shared" si="1"/>
        <v>0</v>
      </c>
      <c r="T25" s="100"/>
      <c r="U25" s="6">
        <f t="shared" si="2"/>
        <v>0</v>
      </c>
      <c r="V25" s="8">
        <f t="shared" si="16"/>
        <v>0</v>
      </c>
      <c r="W25" s="8" t="str">
        <f t="shared" si="8"/>
        <v/>
      </c>
      <c r="X25" s="8" t="str">
        <f t="shared" si="9"/>
        <v/>
      </c>
      <c r="Y25" s="8" t="str">
        <f t="shared" si="10"/>
        <v/>
      </c>
      <c r="Z25" s="8" t="str">
        <f t="shared" si="11"/>
        <v/>
      </c>
      <c r="AA25" s="152"/>
      <c r="AB25" s="152"/>
      <c r="AC25" s="180"/>
      <c r="AD25" s="2"/>
      <c r="AE25" s="2"/>
      <c r="AF25" s="2"/>
      <c r="AG25" s="2"/>
      <c r="AH25" s="2"/>
      <c r="AI25" s="2"/>
      <c r="AJ25" s="2"/>
      <c r="AK25" s="2"/>
      <c r="AL25" s="2"/>
      <c r="AM25" s="2"/>
      <c r="AN25" s="2"/>
      <c r="AO25" s="2"/>
      <c r="AP25" s="2"/>
      <c r="AQ25" s="1"/>
      <c r="AR25" s="1"/>
      <c r="AS25" s="1"/>
      <c r="AT25" s="1"/>
      <c r="AU25" s="1"/>
      <c r="AV25" s="1"/>
      <c r="AW25" s="1"/>
      <c r="AX25" s="1"/>
      <c r="AY25" s="1"/>
      <c r="AZ25" s="1"/>
      <c r="BA25" s="1"/>
    </row>
    <row r="26" spans="1:53" ht="17.25" thickBot="1" x14ac:dyDescent="0.35">
      <c r="A26" s="147"/>
      <c r="B26" s="97"/>
      <c r="C26" s="103"/>
      <c r="D26" s="103"/>
      <c r="E26" s="103"/>
      <c r="F26" s="150"/>
      <c r="G26" s="150"/>
      <c r="H26" s="100"/>
      <c r="I26" s="6">
        <f t="shared" si="12"/>
        <v>0</v>
      </c>
      <c r="J26" s="100"/>
      <c r="K26" s="6">
        <f t="shared" si="13"/>
        <v>0</v>
      </c>
      <c r="L26" s="100"/>
      <c r="M26" s="6">
        <f t="shared" si="14"/>
        <v>0</v>
      </c>
      <c r="N26" s="100"/>
      <c r="O26" s="6">
        <f t="shared" si="15"/>
        <v>0</v>
      </c>
      <c r="P26" s="100"/>
      <c r="Q26" s="6">
        <f t="shared" si="0"/>
        <v>0</v>
      </c>
      <c r="R26" s="100"/>
      <c r="S26" s="6">
        <f t="shared" si="1"/>
        <v>0</v>
      </c>
      <c r="T26" s="100"/>
      <c r="U26" s="6">
        <f t="shared" si="2"/>
        <v>0</v>
      </c>
      <c r="V26" s="8">
        <f t="shared" si="16"/>
        <v>0</v>
      </c>
      <c r="W26" s="8" t="str">
        <f t="shared" si="8"/>
        <v/>
      </c>
      <c r="X26" s="8" t="str">
        <f t="shared" si="9"/>
        <v/>
      </c>
      <c r="Y26" s="8" t="str">
        <f t="shared" si="10"/>
        <v/>
      </c>
      <c r="Z26" s="8" t="str">
        <f t="shared" si="11"/>
        <v/>
      </c>
      <c r="AA26" s="152"/>
      <c r="AB26" s="152"/>
      <c r="AC26" s="180"/>
      <c r="AD26" s="2"/>
      <c r="AE26" s="2"/>
      <c r="AF26" s="2"/>
      <c r="AG26" s="2"/>
      <c r="AH26" s="2"/>
      <c r="AI26" s="2"/>
      <c r="AJ26" s="2"/>
      <c r="AK26" s="2"/>
      <c r="AL26" s="2"/>
      <c r="AM26" s="2"/>
      <c r="AN26" s="2"/>
      <c r="AO26" s="2"/>
      <c r="AP26" s="2"/>
      <c r="AQ26" s="1"/>
      <c r="AR26" s="1"/>
      <c r="AS26" s="1"/>
      <c r="AT26" s="1"/>
      <c r="AU26" s="1"/>
      <c r="AV26" s="1"/>
      <c r="AW26" s="1"/>
      <c r="AX26" s="1"/>
      <c r="AY26" s="1"/>
      <c r="AZ26" s="1"/>
      <c r="BA26" s="1"/>
    </row>
    <row r="27" spans="1:53" ht="17.25" thickBot="1" x14ac:dyDescent="0.35">
      <c r="A27" s="148"/>
      <c r="B27" s="98"/>
      <c r="C27" s="104"/>
      <c r="D27" s="104"/>
      <c r="E27" s="104"/>
      <c r="F27" s="151"/>
      <c r="G27" s="151"/>
      <c r="H27" s="101"/>
      <c r="I27" s="37">
        <f t="shared" si="12"/>
        <v>0</v>
      </c>
      <c r="J27" s="101"/>
      <c r="K27" s="37">
        <f t="shared" si="13"/>
        <v>0</v>
      </c>
      <c r="L27" s="101"/>
      <c r="M27" s="37">
        <f t="shared" si="14"/>
        <v>0</v>
      </c>
      <c r="N27" s="101"/>
      <c r="O27" s="37">
        <f t="shared" si="15"/>
        <v>0</v>
      </c>
      <c r="P27" s="101"/>
      <c r="Q27" s="37">
        <f t="shared" si="0"/>
        <v>0</v>
      </c>
      <c r="R27" s="101"/>
      <c r="S27" s="37">
        <f t="shared" si="1"/>
        <v>0</v>
      </c>
      <c r="T27" s="101"/>
      <c r="U27" s="37">
        <f t="shared" si="2"/>
        <v>0</v>
      </c>
      <c r="V27" s="36">
        <f t="shared" si="16"/>
        <v>0</v>
      </c>
      <c r="W27" s="36" t="str">
        <f t="shared" si="8"/>
        <v/>
      </c>
      <c r="X27" s="36" t="str">
        <f t="shared" si="9"/>
        <v/>
      </c>
      <c r="Y27" s="36" t="str">
        <f t="shared" si="10"/>
        <v/>
      </c>
      <c r="Z27" s="36" t="str">
        <f t="shared" si="11"/>
        <v/>
      </c>
      <c r="AA27" s="152"/>
      <c r="AB27" s="152"/>
      <c r="AC27" s="181"/>
      <c r="AD27" s="2"/>
      <c r="AE27" s="2"/>
      <c r="AF27" s="2"/>
      <c r="AG27" s="2"/>
      <c r="AH27" s="2"/>
      <c r="AI27" s="2"/>
      <c r="AJ27" s="2"/>
      <c r="AK27" s="2"/>
      <c r="AL27" s="2"/>
      <c r="AM27" s="2"/>
      <c r="AN27" s="2"/>
      <c r="AO27" s="2"/>
      <c r="AP27" s="2"/>
      <c r="AQ27" s="1"/>
      <c r="AR27" s="1"/>
      <c r="AS27" s="1"/>
      <c r="AT27" s="1"/>
      <c r="AU27" s="1"/>
      <c r="AV27" s="1"/>
      <c r="AW27" s="1"/>
      <c r="AX27" s="1"/>
      <c r="AY27" s="1"/>
      <c r="AZ27" s="1"/>
      <c r="BA27" s="1"/>
    </row>
    <row r="28" spans="1:53" ht="17.25" thickBot="1" x14ac:dyDescent="0.35">
      <c r="A28" s="147">
        <v>17</v>
      </c>
      <c r="B28" s="105"/>
      <c r="C28" s="102"/>
      <c r="D28" s="102"/>
      <c r="E28" s="102"/>
      <c r="F28" s="149">
        <f t="shared" ref="F28" si="25">SUM(M28:M33,O28:O33,Q28:Q33,S28:S33,I28:I33,K28:K33)</f>
        <v>1125</v>
      </c>
      <c r="G28" s="149">
        <f t="shared" ref="G28" si="26">SUM(M28:M33,O28:O33,Q28:Q33,S28:S33,U28:U33,K28:K33,I28:I33)</f>
        <v>1125</v>
      </c>
      <c r="H28" s="99"/>
      <c r="I28" s="6">
        <f t="shared" si="12"/>
        <v>0</v>
      </c>
      <c r="J28" s="99"/>
      <c r="K28" s="6">
        <f t="shared" si="13"/>
        <v>0</v>
      </c>
      <c r="L28" s="99"/>
      <c r="M28" s="6">
        <f t="shared" si="14"/>
        <v>0</v>
      </c>
      <c r="N28" s="99"/>
      <c r="O28" s="6">
        <f t="shared" si="15"/>
        <v>0</v>
      </c>
      <c r="P28" s="99"/>
      <c r="Q28" s="6">
        <f t="shared" si="0"/>
        <v>0</v>
      </c>
      <c r="R28" s="99"/>
      <c r="S28" s="6">
        <f t="shared" si="1"/>
        <v>0</v>
      </c>
      <c r="T28" s="99"/>
      <c r="U28" s="6">
        <f t="shared" si="2"/>
        <v>0</v>
      </c>
      <c r="V28" s="8">
        <f t="shared" si="16"/>
        <v>0</v>
      </c>
      <c r="W28" s="8" t="str">
        <f t="shared" si="8"/>
        <v/>
      </c>
      <c r="X28" s="8" t="str">
        <f t="shared" si="9"/>
        <v/>
      </c>
      <c r="Y28" s="8" t="str">
        <f t="shared" si="10"/>
        <v/>
      </c>
      <c r="Z28" s="8" t="str">
        <f t="shared" si="11"/>
        <v/>
      </c>
      <c r="AA28" s="152">
        <f t="shared" ref="AA28" si="27">AVERAGE(W28:W33)</f>
        <v>46.982142857142861</v>
      </c>
      <c r="AB28" s="152">
        <f t="shared" ref="AB28" si="28">SUM(V28:V33)</f>
        <v>0.9765625</v>
      </c>
      <c r="AC28" s="179"/>
      <c r="AD28" s="2"/>
      <c r="AE28" s="2"/>
      <c r="AF28" s="2"/>
      <c r="AG28" s="2"/>
      <c r="AH28" s="2"/>
      <c r="AI28" s="2"/>
      <c r="AJ28" s="2"/>
      <c r="AK28" s="2"/>
      <c r="AL28" s="2"/>
      <c r="AM28" s="2"/>
      <c r="AN28" s="2"/>
      <c r="AO28" s="2"/>
      <c r="AP28" s="2"/>
      <c r="AQ28" s="1"/>
      <c r="AR28" s="1"/>
      <c r="AS28" s="1"/>
      <c r="AT28" s="1"/>
      <c r="AU28" s="1"/>
      <c r="AV28" s="1"/>
      <c r="AW28" s="1"/>
      <c r="AX28" s="1"/>
      <c r="AY28" s="1"/>
      <c r="AZ28" s="1"/>
      <c r="BA28" s="1"/>
    </row>
    <row r="29" spans="1:53" ht="17.25" thickBot="1" x14ac:dyDescent="0.35">
      <c r="A29" s="147"/>
      <c r="B29" s="97"/>
      <c r="C29" s="103"/>
      <c r="D29" s="103"/>
      <c r="E29" s="103"/>
      <c r="F29" s="150"/>
      <c r="G29" s="150"/>
      <c r="H29" s="100"/>
      <c r="I29" s="6">
        <f t="shared" si="12"/>
        <v>0</v>
      </c>
      <c r="J29" s="100"/>
      <c r="K29" s="6">
        <f t="shared" si="13"/>
        <v>0</v>
      </c>
      <c r="L29" s="100"/>
      <c r="M29" s="6">
        <f t="shared" si="14"/>
        <v>0</v>
      </c>
      <c r="N29" s="100"/>
      <c r="O29" s="6">
        <f t="shared" si="15"/>
        <v>0</v>
      </c>
      <c r="P29" s="100"/>
      <c r="Q29" s="6">
        <f t="shared" si="0"/>
        <v>0</v>
      </c>
      <c r="R29" s="100"/>
      <c r="S29" s="6">
        <f t="shared" si="1"/>
        <v>0</v>
      </c>
      <c r="T29" s="100"/>
      <c r="U29" s="6">
        <f t="shared" si="2"/>
        <v>0</v>
      </c>
      <c r="V29" s="8">
        <f t="shared" si="16"/>
        <v>0</v>
      </c>
      <c r="W29" s="8" t="str">
        <f t="shared" si="8"/>
        <v/>
      </c>
      <c r="X29" s="8" t="str">
        <f t="shared" si="9"/>
        <v/>
      </c>
      <c r="Y29" s="8" t="str">
        <f t="shared" si="10"/>
        <v/>
      </c>
      <c r="Z29" s="8" t="str">
        <f t="shared" si="11"/>
        <v/>
      </c>
      <c r="AA29" s="152"/>
      <c r="AB29" s="152"/>
      <c r="AC29" s="180"/>
      <c r="AD29" s="2"/>
      <c r="AE29" s="2"/>
      <c r="AF29" s="2"/>
      <c r="AG29" s="2"/>
      <c r="AH29" s="2"/>
      <c r="AI29" s="2"/>
      <c r="AJ29" s="2"/>
      <c r="AK29" s="2"/>
      <c r="AL29" s="2"/>
      <c r="AM29" s="2"/>
      <c r="AN29" s="2"/>
      <c r="AO29" s="2"/>
      <c r="AP29" s="2"/>
      <c r="AQ29" s="1"/>
      <c r="AR29" s="1"/>
      <c r="AS29" s="1"/>
      <c r="AT29" s="1"/>
      <c r="AU29" s="1"/>
      <c r="AV29" s="1"/>
      <c r="AW29" s="1"/>
      <c r="AX29" s="1"/>
      <c r="AY29" s="1"/>
      <c r="AZ29" s="1"/>
      <c r="BA29" s="1"/>
    </row>
    <row r="30" spans="1:53" ht="17.25" thickBot="1" x14ac:dyDescent="0.35">
      <c r="A30" s="147"/>
      <c r="B30" s="97"/>
      <c r="C30" s="103"/>
      <c r="D30" s="103"/>
      <c r="E30" s="103"/>
      <c r="F30" s="150"/>
      <c r="G30" s="150"/>
      <c r="H30" s="100"/>
      <c r="I30" s="6">
        <f t="shared" si="12"/>
        <v>0</v>
      </c>
      <c r="J30" s="100"/>
      <c r="K30" s="6">
        <f t="shared" si="13"/>
        <v>0</v>
      </c>
      <c r="L30" s="100"/>
      <c r="M30" s="6">
        <f t="shared" si="14"/>
        <v>0</v>
      </c>
      <c r="N30" s="100"/>
      <c r="O30" s="6">
        <f t="shared" si="15"/>
        <v>0</v>
      </c>
      <c r="P30" s="100"/>
      <c r="Q30" s="6">
        <f t="shared" si="0"/>
        <v>0</v>
      </c>
      <c r="R30" s="100"/>
      <c r="S30" s="6">
        <f t="shared" si="1"/>
        <v>0</v>
      </c>
      <c r="T30" s="100"/>
      <c r="U30" s="6">
        <f t="shared" si="2"/>
        <v>0</v>
      </c>
      <c r="V30" s="8">
        <f t="shared" si="16"/>
        <v>0</v>
      </c>
      <c r="W30" s="8" t="str">
        <f t="shared" si="8"/>
        <v/>
      </c>
      <c r="X30" s="8" t="str">
        <f t="shared" si="9"/>
        <v/>
      </c>
      <c r="Y30" s="8" t="str">
        <f t="shared" si="10"/>
        <v/>
      </c>
      <c r="Z30" s="8" t="str">
        <f t="shared" si="11"/>
        <v/>
      </c>
      <c r="AA30" s="152"/>
      <c r="AB30" s="152"/>
      <c r="AC30" s="180"/>
      <c r="AD30" s="2"/>
      <c r="AE30" s="2"/>
      <c r="AF30" s="2"/>
      <c r="AG30" s="2"/>
      <c r="AH30" s="2"/>
      <c r="AI30" s="2"/>
      <c r="AJ30" s="2"/>
      <c r="AK30" s="2"/>
      <c r="AL30" s="2"/>
      <c r="AM30" s="2"/>
      <c r="AN30" s="2"/>
      <c r="AO30" s="2"/>
      <c r="AP30" s="2"/>
      <c r="AQ30" s="1"/>
      <c r="AR30" s="1"/>
      <c r="AS30" s="1"/>
      <c r="AT30" s="1"/>
      <c r="AU30" s="1"/>
      <c r="AV30" s="1"/>
      <c r="AW30" s="1"/>
      <c r="AX30" s="1"/>
      <c r="AY30" s="1"/>
      <c r="AZ30" s="1"/>
      <c r="BA30" s="1"/>
    </row>
    <row r="31" spans="1:53" ht="17.25" thickBot="1" x14ac:dyDescent="0.35">
      <c r="A31" s="147"/>
      <c r="B31" s="97">
        <v>43580</v>
      </c>
      <c r="C31" s="103">
        <v>20</v>
      </c>
      <c r="D31" s="103"/>
      <c r="E31" s="103"/>
      <c r="F31" s="150"/>
      <c r="G31" s="150"/>
      <c r="H31" s="100">
        <v>193</v>
      </c>
      <c r="I31" s="6">
        <f t="shared" si="12"/>
        <v>965</v>
      </c>
      <c r="J31" s="100"/>
      <c r="K31" s="6">
        <f t="shared" si="13"/>
        <v>0</v>
      </c>
      <c r="L31" s="100"/>
      <c r="M31" s="6">
        <f t="shared" si="14"/>
        <v>0</v>
      </c>
      <c r="N31" s="100"/>
      <c r="O31" s="6">
        <f t="shared" si="15"/>
        <v>0</v>
      </c>
      <c r="P31" s="100"/>
      <c r="Q31" s="6">
        <f t="shared" si="0"/>
        <v>0</v>
      </c>
      <c r="R31" s="100"/>
      <c r="S31" s="6">
        <f t="shared" si="1"/>
        <v>0</v>
      </c>
      <c r="T31" s="100"/>
      <c r="U31" s="6">
        <f t="shared" si="2"/>
        <v>0</v>
      </c>
      <c r="V31" s="8">
        <f t="shared" si="16"/>
        <v>0.83767361111111116</v>
      </c>
      <c r="W31" s="8">
        <f t="shared" si="8"/>
        <v>48.25</v>
      </c>
      <c r="X31" s="8">
        <f t="shared" si="9"/>
        <v>48.25</v>
      </c>
      <c r="Y31" s="8" t="str">
        <f t="shared" si="10"/>
        <v/>
      </c>
      <c r="Z31" s="8" t="str">
        <f t="shared" si="11"/>
        <v/>
      </c>
      <c r="AA31" s="152"/>
      <c r="AB31" s="152"/>
      <c r="AC31" s="180"/>
      <c r="AD31" s="2"/>
      <c r="AE31" s="2"/>
      <c r="AF31" s="2"/>
      <c r="AG31" s="2"/>
      <c r="AH31" s="2"/>
      <c r="AI31" s="2"/>
      <c r="AJ31" s="2"/>
      <c r="AK31" s="2"/>
      <c r="AL31" s="2"/>
      <c r="AM31" s="2"/>
      <c r="AN31" s="2"/>
      <c r="AO31" s="2"/>
      <c r="AP31" s="2"/>
      <c r="AQ31" s="1"/>
      <c r="AR31" s="1"/>
      <c r="AS31" s="1"/>
      <c r="AT31" s="1"/>
      <c r="AU31" s="1"/>
      <c r="AV31" s="1"/>
      <c r="AW31" s="1"/>
      <c r="AX31" s="1"/>
      <c r="AY31" s="1"/>
      <c r="AZ31" s="1"/>
      <c r="BA31" s="1"/>
    </row>
    <row r="32" spans="1:53" ht="17.25" thickBot="1" x14ac:dyDescent="0.35">
      <c r="A32" s="147"/>
      <c r="B32" s="97">
        <v>43581</v>
      </c>
      <c r="C32" s="103">
        <v>3.5</v>
      </c>
      <c r="D32" s="103"/>
      <c r="E32" s="103"/>
      <c r="F32" s="150"/>
      <c r="G32" s="150"/>
      <c r="H32" s="100">
        <v>32</v>
      </c>
      <c r="I32" s="6">
        <f t="shared" si="12"/>
        <v>160</v>
      </c>
      <c r="J32" s="100"/>
      <c r="K32" s="6">
        <f t="shared" si="13"/>
        <v>0</v>
      </c>
      <c r="L32" s="100"/>
      <c r="M32" s="6">
        <f t="shared" si="14"/>
        <v>0</v>
      </c>
      <c r="N32" s="100"/>
      <c r="O32" s="6">
        <f t="shared" si="15"/>
        <v>0</v>
      </c>
      <c r="P32" s="100"/>
      <c r="Q32" s="6">
        <f t="shared" si="0"/>
        <v>0</v>
      </c>
      <c r="R32" s="100"/>
      <c r="S32" s="6">
        <f t="shared" si="1"/>
        <v>0</v>
      </c>
      <c r="T32" s="100"/>
      <c r="U32" s="6">
        <f t="shared" si="2"/>
        <v>0</v>
      </c>
      <c r="V32" s="8">
        <f t="shared" si="16"/>
        <v>0.1388888888888889</v>
      </c>
      <c r="W32" s="8">
        <f t="shared" si="8"/>
        <v>45.714285714285715</v>
      </c>
      <c r="X32" s="8">
        <f t="shared" si="9"/>
        <v>45.714285714285715</v>
      </c>
      <c r="Y32" s="8" t="str">
        <f t="shared" si="10"/>
        <v/>
      </c>
      <c r="Z32" s="8" t="str">
        <f t="shared" si="11"/>
        <v/>
      </c>
      <c r="AA32" s="152"/>
      <c r="AB32" s="152"/>
      <c r="AC32" s="180"/>
      <c r="AD32" s="2"/>
      <c r="AE32" s="2"/>
      <c r="AF32" s="2"/>
      <c r="AG32" s="2"/>
      <c r="AH32" s="2"/>
      <c r="AI32" s="2"/>
      <c r="AJ32" s="2"/>
      <c r="AK32" s="2"/>
      <c r="AL32" s="2"/>
      <c r="AM32" s="2"/>
      <c r="AN32" s="2"/>
      <c r="AO32" s="2"/>
      <c r="AP32" s="2"/>
      <c r="AQ32" s="1"/>
      <c r="AR32" s="1"/>
      <c r="AS32" s="1"/>
      <c r="AT32" s="1"/>
      <c r="AU32" s="1"/>
      <c r="AV32" s="1"/>
      <c r="AW32" s="1"/>
      <c r="AX32" s="1"/>
      <c r="AY32" s="1"/>
      <c r="AZ32" s="1"/>
      <c r="BA32" s="1"/>
    </row>
    <row r="33" spans="1:53" ht="17.25" thickBot="1" x14ac:dyDescent="0.35">
      <c r="A33" s="148"/>
      <c r="B33" s="98"/>
      <c r="C33" s="104"/>
      <c r="D33" s="104"/>
      <c r="E33" s="104"/>
      <c r="F33" s="151"/>
      <c r="G33" s="151"/>
      <c r="H33" s="101"/>
      <c r="I33" s="37">
        <f t="shared" si="12"/>
        <v>0</v>
      </c>
      <c r="J33" s="101"/>
      <c r="K33" s="37">
        <f t="shared" si="13"/>
        <v>0</v>
      </c>
      <c r="L33" s="101"/>
      <c r="M33" s="37">
        <f t="shared" si="14"/>
        <v>0</v>
      </c>
      <c r="N33" s="101"/>
      <c r="O33" s="37">
        <f t="shared" si="15"/>
        <v>0</v>
      </c>
      <c r="P33" s="101"/>
      <c r="Q33" s="37">
        <f t="shared" si="0"/>
        <v>0</v>
      </c>
      <c r="R33" s="101"/>
      <c r="S33" s="37">
        <f t="shared" si="1"/>
        <v>0</v>
      </c>
      <c r="T33" s="101"/>
      <c r="U33" s="37">
        <f t="shared" si="2"/>
        <v>0</v>
      </c>
      <c r="V33" s="36">
        <f t="shared" si="16"/>
        <v>0</v>
      </c>
      <c r="W33" s="36" t="str">
        <f t="shared" si="8"/>
        <v/>
      </c>
      <c r="X33" s="36" t="str">
        <f t="shared" si="9"/>
        <v/>
      </c>
      <c r="Y33" s="36" t="str">
        <f t="shared" si="10"/>
        <v/>
      </c>
      <c r="Z33" s="36" t="str">
        <f t="shared" si="11"/>
        <v/>
      </c>
      <c r="AA33" s="152"/>
      <c r="AB33" s="152"/>
      <c r="AC33" s="181"/>
      <c r="AD33" s="2"/>
      <c r="AE33" s="2"/>
      <c r="AF33" s="2"/>
      <c r="AG33" s="2"/>
      <c r="AH33" s="2"/>
      <c r="AI33" s="2"/>
      <c r="AJ33" s="2"/>
      <c r="AK33" s="2"/>
      <c r="AL33" s="2"/>
      <c r="AM33" s="2"/>
      <c r="AN33" s="2"/>
      <c r="AO33" s="2"/>
      <c r="AP33" s="2"/>
      <c r="AQ33" s="1"/>
      <c r="AR33" s="1"/>
      <c r="AS33" s="1"/>
      <c r="AT33" s="1"/>
      <c r="AU33" s="1"/>
      <c r="AV33" s="1"/>
      <c r="AW33" s="1"/>
      <c r="AX33" s="1"/>
      <c r="AY33" s="1"/>
      <c r="AZ33" s="1"/>
      <c r="BA33" s="1"/>
    </row>
    <row r="34" spans="1:53" ht="17.25" thickBot="1" x14ac:dyDescent="0.35">
      <c r="A34" s="146">
        <v>18</v>
      </c>
      <c r="B34" s="105"/>
      <c r="C34" s="102"/>
      <c r="D34" s="102"/>
      <c r="E34" s="102"/>
      <c r="F34" s="149">
        <f t="shared" ref="F34" si="29">SUM(M34:M39,O34:O39,Q34:Q39,S34:S39,I34:I39,K34:K39)</f>
        <v>0</v>
      </c>
      <c r="G34" s="149">
        <f t="shared" ref="G34" si="30">SUM(M34:M39,O34:O39,Q34:Q39,S34:S39,U34:U39,K34:K39,I34:I39)</f>
        <v>0</v>
      </c>
      <c r="H34" s="99"/>
      <c r="I34" s="38">
        <f t="shared" si="12"/>
        <v>0</v>
      </c>
      <c r="J34" s="99"/>
      <c r="K34" s="38">
        <f t="shared" si="13"/>
        <v>0</v>
      </c>
      <c r="L34" s="99"/>
      <c r="M34" s="38">
        <f t="shared" si="14"/>
        <v>0</v>
      </c>
      <c r="N34" s="99"/>
      <c r="O34" s="38">
        <f t="shared" si="15"/>
        <v>0</v>
      </c>
      <c r="P34" s="99"/>
      <c r="Q34" s="38">
        <f t="shared" si="0"/>
        <v>0</v>
      </c>
      <c r="R34" s="99"/>
      <c r="S34" s="38">
        <f t="shared" si="1"/>
        <v>0</v>
      </c>
      <c r="T34" s="99"/>
      <c r="U34" s="38">
        <f t="shared" si="2"/>
        <v>0</v>
      </c>
      <c r="V34" s="34">
        <f t="shared" si="16"/>
        <v>0</v>
      </c>
      <c r="W34" s="34" t="str">
        <f t="shared" si="8"/>
        <v/>
      </c>
      <c r="X34" s="34" t="str">
        <f t="shared" si="9"/>
        <v/>
      </c>
      <c r="Y34" s="34" t="str">
        <f t="shared" si="10"/>
        <v/>
      </c>
      <c r="Z34" s="34" t="str">
        <f t="shared" si="11"/>
        <v/>
      </c>
      <c r="AA34" s="152" t="e">
        <f>AVERAGE(W34:W39)</f>
        <v>#DIV/0!</v>
      </c>
      <c r="AB34" s="152">
        <f t="shared" ref="AB34" si="31">SUM(V34:V39)</f>
        <v>0</v>
      </c>
      <c r="AC34" s="179"/>
      <c r="AD34" s="2"/>
      <c r="AE34" s="2"/>
      <c r="AF34" s="2"/>
      <c r="AG34" s="2"/>
      <c r="AH34" s="2"/>
      <c r="AI34" s="2"/>
      <c r="AJ34" s="2"/>
      <c r="AK34" s="2"/>
      <c r="AL34" s="2"/>
      <c r="AM34" s="2"/>
      <c r="AN34" s="2"/>
      <c r="AO34" s="2"/>
      <c r="AP34" s="2"/>
      <c r="AQ34" s="1"/>
      <c r="AR34" s="1"/>
      <c r="AS34" s="1"/>
      <c r="AT34" s="1"/>
      <c r="AU34" s="1"/>
      <c r="AV34" s="1"/>
      <c r="AW34" s="1"/>
      <c r="AX34" s="1"/>
      <c r="AY34" s="1"/>
      <c r="AZ34" s="1"/>
      <c r="BA34" s="1"/>
    </row>
    <row r="35" spans="1:53" ht="17.25" thickBot="1" x14ac:dyDescent="0.35">
      <c r="A35" s="147"/>
      <c r="B35" s="97"/>
      <c r="C35" s="103"/>
      <c r="D35" s="103"/>
      <c r="E35" s="103"/>
      <c r="F35" s="150"/>
      <c r="G35" s="150"/>
      <c r="H35" s="100"/>
      <c r="I35" s="6">
        <f t="shared" si="12"/>
        <v>0</v>
      </c>
      <c r="J35" s="100"/>
      <c r="K35" s="6">
        <f t="shared" si="13"/>
        <v>0</v>
      </c>
      <c r="L35" s="100"/>
      <c r="M35" s="6">
        <f t="shared" si="14"/>
        <v>0</v>
      </c>
      <c r="N35" s="100"/>
      <c r="O35" s="6">
        <f t="shared" si="15"/>
        <v>0</v>
      </c>
      <c r="P35" s="100"/>
      <c r="Q35" s="6">
        <f t="shared" si="0"/>
        <v>0</v>
      </c>
      <c r="R35" s="100"/>
      <c r="S35" s="6">
        <f t="shared" si="1"/>
        <v>0</v>
      </c>
      <c r="T35" s="100"/>
      <c r="U35" s="6">
        <f t="shared" si="2"/>
        <v>0</v>
      </c>
      <c r="V35" s="8">
        <f t="shared" si="16"/>
        <v>0</v>
      </c>
      <c r="W35" s="8" t="str">
        <f t="shared" si="8"/>
        <v/>
      </c>
      <c r="X35" s="8" t="str">
        <f t="shared" si="9"/>
        <v/>
      </c>
      <c r="Y35" s="8" t="str">
        <f t="shared" si="10"/>
        <v/>
      </c>
      <c r="Z35" s="8" t="str">
        <f t="shared" si="11"/>
        <v/>
      </c>
      <c r="AA35" s="152"/>
      <c r="AB35" s="152"/>
      <c r="AC35" s="180"/>
      <c r="AD35" s="2"/>
      <c r="AE35" s="2"/>
      <c r="AF35" s="2"/>
      <c r="AG35" s="2"/>
      <c r="AH35" s="2"/>
      <c r="AI35" s="2"/>
      <c r="AJ35" s="2"/>
      <c r="AK35" s="2"/>
      <c r="AL35" s="2"/>
      <c r="AM35" s="2"/>
      <c r="AN35" s="2"/>
      <c r="AO35" s="2"/>
      <c r="AP35" s="2"/>
      <c r="AQ35" s="1"/>
      <c r="AR35" s="1"/>
      <c r="AS35" s="1"/>
      <c r="AT35" s="1"/>
      <c r="AU35" s="1"/>
      <c r="AV35" s="1"/>
      <c r="AW35" s="1"/>
      <c r="AX35" s="1"/>
      <c r="AY35" s="1"/>
      <c r="AZ35" s="1"/>
      <c r="BA35" s="1"/>
    </row>
    <row r="36" spans="1:53" ht="17.25" thickBot="1" x14ac:dyDescent="0.35">
      <c r="A36" s="147"/>
      <c r="B36" s="97"/>
      <c r="C36" s="103"/>
      <c r="D36" s="103"/>
      <c r="E36" s="103"/>
      <c r="F36" s="150"/>
      <c r="G36" s="150"/>
      <c r="H36" s="100"/>
      <c r="I36" s="6">
        <f t="shared" si="12"/>
        <v>0</v>
      </c>
      <c r="J36" s="100"/>
      <c r="K36" s="6">
        <f t="shared" si="13"/>
        <v>0</v>
      </c>
      <c r="L36" s="100"/>
      <c r="M36" s="6">
        <f t="shared" si="14"/>
        <v>0</v>
      </c>
      <c r="N36" s="100"/>
      <c r="O36" s="6">
        <f t="shared" si="15"/>
        <v>0</v>
      </c>
      <c r="P36" s="100"/>
      <c r="Q36" s="6">
        <f t="shared" si="0"/>
        <v>0</v>
      </c>
      <c r="R36" s="100"/>
      <c r="S36" s="6">
        <f t="shared" si="1"/>
        <v>0</v>
      </c>
      <c r="T36" s="100"/>
      <c r="U36" s="6">
        <f t="shared" si="2"/>
        <v>0</v>
      </c>
      <c r="V36" s="8">
        <f t="shared" si="16"/>
        <v>0</v>
      </c>
      <c r="W36" s="8" t="str">
        <f t="shared" si="8"/>
        <v/>
      </c>
      <c r="X36" s="8" t="str">
        <f t="shared" si="9"/>
        <v/>
      </c>
      <c r="Y36" s="8" t="str">
        <f t="shared" si="10"/>
        <v/>
      </c>
      <c r="Z36" s="8" t="str">
        <f t="shared" si="11"/>
        <v/>
      </c>
      <c r="AA36" s="152"/>
      <c r="AB36" s="152"/>
      <c r="AC36" s="180"/>
      <c r="AD36" s="2"/>
      <c r="AE36" s="2"/>
      <c r="AF36" s="2"/>
      <c r="AG36" s="2"/>
      <c r="AH36" s="2"/>
      <c r="AI36" s="2"/>
      <c r="AJ36" s="2"/>
      <c r="AK36" s="2"/>
      <c r="AL36" s="2"/>
      <c r="AM36" s="2"/>
      <c r="AN36" s="2"/>
      <c r="AO36" s="2"/>
      <c r="AP36" s="2"/>
      <c r="AQ36" s="1"/>
      <c r="AR36" s="1"/>
      <c r="AS36" s="1"/>
      <c r="AT36" s="1"/>
      <c r="AU36" s="1"/>
      <c r="AV36" s="1"/>
      <c r="AW36" s="1"/>
      <c r="AX36" s="1"/>
      <c r="AY36" s="1"/>
      <c r="AZ36" s="1"/>
      <c r="BA36" s="1"/>
    </row>
    <row r="37" spans="1:53" ht="17.25" thickBot="1" x14ac:dyDescent="0.35">
      <c r="A37" s="147"/>
      <c r="B37" s="97"/>
      <c r="C37" s="103"/>
      <c r="D37" s="103"/>
      <c r="E37" s="103"/>
      <c r="F37" s="150"/>
      <c r="G37" s="150"/>
      <c r="H37" s="100"/>
      <c r="I37" s="6">
        <f t="shared" si="12"/>
        <v>0</v>
      </c>
      <c r="J37" s="100"/>
      <c r="K37" s="6">
        <f t="shared" si="13"/>
        <v>0</v>
      </c>
      <c r="L37" s="100"/>
      <c r="M37" s="6">
        <f t="shared" si="14"/>
        <v>0</v>
      </c>
      <c r="N37" s="100"/>
      <c r="O37" s="6">
        <f t="shared" si="15"/>
        <v>0</v>
      </c>
      <c r="P37" s="100"/>
      <c r="Q37" s="6">
        <f t="shared" si="0"/>
        <v>0</v>
      </c>
      <c r="R37" s="100"/>
      <c r="S37" s="6">
        <f t="shared" si="1"/>
        <v>0</v>
      </c>
      <c r="T37" s="100"/>
      <c r="U37" s="6">
        <f t="shared" si="2"/>
        <v>0</v>
      </c>
      <c r="V37" s="8">
        <f t="shared" si="16"/>
        <v>0</v>
      </c>
      <c r="W37" s="8" t="str">
        <f t="shared" si="8"/>
        <v/>
      </c>
      <c r="X37" s="8" t="str">
        <f t="shared" si="9"/>
        <v/>
      </c>
      <c r="Y37" s="8" t="str">
        <f t="shared" si="10"/>
        <v/>
      </c>
      <c r="Z37" s="8" t="str">
        <f t="shared" si="11"/>
        <v/>
      </c>
      <c r="AA37" s="152"/>
      <c r="AB37" s="152"/>
      <c r="AC37" s="180"/>
      <c r="AD37" s="2"/>
      <c r="AE37" s="2"/>
      <c r="AF37" s="2"/>
      <c r="AG37" s="2"/>
      <c r="AH37" s="2"/>
      <c r="AI37" s="2"/>
      <c r="AJ37" s="2"/>
      <c r="AK37" s="2"/>
      <c r="AL37" s="2"/>
      <c r="AM37" s="2"/>
      <c r="AN37" s="2"/>
      <c r="AO37" s="2"/>
      <c r="AP37" s="2"/>
      <c r="AQ37" s="1"/>
      <c r="AR37" s="1"/>
      <c r="AS37" s="1"/>
      <c r="AT37" s="1"/>
      <c r="AU37" s="1"/>
      <c r="AV37" s="1"/>
      <c r="AW37" s="1"/>
      <c r="AX37" s="1"/>
      <c r="AY37" s="1"/>
      <c r="AZ37" s="1"/>
      <c r="BA37" s="1"/>
    </row>
    <row r="38" spans="1:53" ht="17.25" thickBot="1" x14ac:dyDescent="0.35">
      <c r="A38" s="147"/>
      <c r="B38" s="97"/>
      <c r="C38" s="103"/>
      <c r="D38" s="103"/>
      <c r="E38" s="103"/>
      <c r="F38" s="150"/>
      <c r="G38" s="150"/>
      <c r="H38" s="100"/>
      <c r="I38" s="6">
        <f t="shared" si="12"/>
        <v>0</v>
      </c>
      <c r="J38" s="100"/>
      <c r="K38" s="6">
        <f t="shared" si="13"/>
        <v>0</v>
      </c>
      <c r="L38" s="100"/>
      <c r="M38" s="6">
        <f t="shared" si="14"/>
        <v>0</v>
      </c>
      <c r="N38" s="100"/>
      <c r="O38" s="6">
        <f t="shared" si="15"/>
        <v>0</v>
      </c>
      <c r="P38" s="100"/>
      <c r="Q38" s="6">
        <f t="shared" si="0"/>
        <v>0</v>
      </c>
      <c r="R38" s="100"/>
      <c r="S38" s="6">
        <f t="shared" si="1"/>
        <v>0</v>
      </c>
      <c r="T38" s="100"/>
      <c r="U38" s="6">
        <f t="shared" si="2"/>
        <v>0</v>
      </c>
      <c r="V38" s="8">
        <f t="shared" si="16"/>
        <v>0</v>
      </c>
      <c r="W38" s="8" t="str">
        <f t="shared" si="8"/>
        <v/>
      </c>
      <c r="X38" s="8" t="str">
        <f t="shared" si="9"/>
        <v/>
      </c>
      <c r="Y38" s="8" t="str">
        <f t="shared" si="10"/>
        <v/>
      </c>
      <c r="Z38" s="8" t="str">
        <f t="shared" si="11"/>
        <v/>
      </c>
      <c r="AA38" s="152"/>
      <c r="AB38" s="152"/>
      <c r="AC38" s="180"/>
      <c r="AD38" s="2"/>
      <c r="AE38" s="2"/>
      <c r="AF38" s="2"/>
      <c r="AG38" s="2"/>
      <c r="AH38" s="2"/>
      <c r="AI38" s="2"/>
      <c r="AJ38" s="2"/>
      <c r="AK38" s="2"/>
      <c r="AL38" s="2"/>
      <c r="AM38" s="2"/>
      <c r="AN38" s="2"/>
      <c r="AO38" s="2"/>
      <c r="AP38" s="2"/>
      <c r="AQ38" s="1"/>
      <c r="AR38" s="1"/>
      <c r="AS38" s="1"/>
      <c r="AT38" s="1"/>
      <c r="AU38" s="1"/>
      <c r="AV38" s="1"/>
      <c r="AW38" s="1"/>
      <c r="AX38" s="1"/>
      <c r="AY38" s="1"/>
      <c r="AZ38" s="1"/>
      <c r="BA38" s="1"/>
    </row>
    <row r="39" spans="1:53" ht="17.25" thickBot="1" x14ac:dyDescent="0.35">
      <c r="A39" s="148"/>
      <c r="B39" s="98"/>
      <c r="C39" s="104"/>
      <c r="D39" s="104"/>
      <c r="E39" s="104"/>
      <c r="F39" s="151"/>
      <c r="G39" s="151"/>
      <c r="H39" s="101"/>
      <c r="I39" s="39">
        <f t="shared" si="12"/>
        <v>0</v>
      </c>
      <c r="J39" s="101"/>
      <c r="K39" s="39">
        <f t="shared" si="13"/>
        <v>0</v>
      </c>
      <c r="L39" s="101"/>
      <c r="M39" s="39">
        <f t="shared" si="14"/>
        <v>0</v>
      </c>
      <c r="N39" s="101"/>
      <c r="O39" s="39">
        <f t="shared" si="15"/>
        <v>0</v>
      </c>
      <c r="P39" s="101"/>
      <c r="Q39" s="39">
        <f t="shared" si="0"/>
        <v>0</v>
      </c>
      <c r="R39" s="101"/>
      <c r="S39" s="39">
        <f t="shared" si="1"/>
        <v>0</v>
      </c>
      <c r="T39" s="101"/>
      <c r="U39" s="39">
        <f t="shared" si="2"/>
        <v>0</v>
      </c>
      <c r="V39" s="36">
        <f t="shared" si="16"/>
        <v>0</v>
      </c>
      <c r="W39" s="36" t="str">
        <f t="shared" si="8"/>
        <v/>
      </c>
      <c r="X39" s="36" t="str">
        <f t="shared" si="9"/>
        <v/>
      </c>
      <c r="Y39" s="36" t="str">
        <f t="shared" si="10"/>
        <v/>
      </c>
      <c r="Z39" s="36" t="str">
        <f t="shared" si="11"/>
        <v/>
      </c>
      <c r="AA39" s="152"/>
      <c r="AB39" s="152"/>
      <c r="AC39" s="181"/>
      <c r="AD39" s="2"/>
      <c r="AE39" s="2"/>
      <c r="AF39" s="2"/>
      <c r="AG39" s="2"/>
      <c r="AH39" s="2"/>
      <c r="AI39" s="2"/>
      <c r="AJ39" s="2"/>
      <c r="AK39" s="2"/>
      <c r="AL39" s="2"/>
      <c r="AM39" s="2"/>
      <c r="AN39" s="2"/>
      <c r="AO39" s="2"/>
      <c r="AP39" s="2"/>
      <c r="AQ39" s="1"/>
      <c r="AR39" s="1"/>
      <c r="AS39" s="1"/>
      <c r="AT39" s="1"/>
      <c r="AU39" s="1"/>
      <c r="AV39" s="1"/>
      <c r="AW39" s="1"/>
      <c r="AX39" s="1"/>
      <c r="AY39" s="1"/>
      <c r="AZ39" s="1"/>
      <c r="BA39" s="1"/>
    </row>
    <row r="40" spans="1:53" ht="17.25" thickBot="1" x14ac:dyDescent="0.35">
      <c r="A40" s="147">
        <v>19</v>
      </c>
      <c r="B40" s="105">
        <v>43591</v>
      </c>
      <c r="C40" s="102">
        <v>30</v>
      </c>
      <c r="D40" s="102"/>
      <c r="E40" s="102"/>
      <c r="F40" s="149">
        <f t="shared" ref="F40" si="32">SUM(M40:M45,O40:O45,Q40:Q45,S40:S45,I40:I45,K40:K45)</f>
        <v>1640</v>
      </c>
      <c r="G40" s="149">
        <f t="shared" ref="G40" si="33">SUM(M40:M45,O40:O45,Q40:Q45,S40:S45,U40:U45,K40:K45,I40:I45)</f>
        <v>1640</v>
      </c>
      <c r="H40" s="99">
        <v>281</v>
      </c>
      <c r="I40" s="7">
        <f t="shared" si="12"/>
        <v>1405</v>
      </c>
      <c r="J40" s="99"/>
      <c r="K40" s="7">
        <f t="shared" si="13"/>
        <v>0</v>
      </c>
      <c r="L40" s="99"/>
      <c r="M40" s="7">
        <f t="shared" si="14"/>
        <v>0</v>
      </c>
      <c r="N40" s="99"/>
      <c r="O40" s="7">
        <f t="shared" si="15"/>
        <v>0</v>
      </c>
      <c r="P40" s="99"/>
      <c r="Q40" s="7">
        <f t="shared" si="0"/>
        <v>0</v>
      </c>
      <c r="R40" s="99"/>
      <c r="S40" s="7">
        <f t="shared" si="1"/>
        <v>0</v>
      </c>
      <c r="T40" s="99"/>
      <c r="U40" s="7">
        <f t="shared" si="2"/>
        <v>0</v>
      </c>
      <c r="V40" s="8">
        <f t="shared" si="16"/>
        <v>1.2196180555555556</v>
      </c>
      <c r="W40" s="8">
        <f t="shared" si="8"/>
        <v>46.833333333333336</v>
      </c>
      <c r="X40" s="8">
        <f t="shared" si="9"/>
        <v>46.833333333333336</v>
      </c>
      <c r="Y40" s="8" t="str">
        <f t="shared" si="10"/>
        <v/>
      </c>
      <c r="Z40" s="8" t="str">
        <f t="shared" si="11"/>
        <v/>
      </c>
      <c r="AA40" s="152">
        <f t="shared" ref="AA40" si="34">AVERAGE(W40:W45)</f>
        <v>44.780303030303031</v>
      </c>
      <c r="AB40" s="152">
        <f t="shared" ref="AB40" si="35">SUM(V40:V45)</f>
        <v>1.4236111111111112</v>
      </c>
      <c r="AC40" s="179"/>
      <c r="AD40" s="2"/>
      <c r="AE40" s="2"/>
      <c r="AF40" s="2"/>
      <c r="AG40" s="2"/>
      <c r="AH40" s="2"/>
      <c r="AI40" s="2"/>
      <c r="AJ40" s="2"/>
      <c r="AK40" s="2"/>
      <c r="AL40" s="2"/>
      <c r="AM40" s="2"/>
      <c r="AN40" s="2"/>
      <c r="AO40" s="1"/>
      <c r="AP40" s="1"/>
      <c r="AQ40" s="1"/>
      <c r="AR40" s="1"/>
      <c r="AS40" s="1"/>
      <c r="AT40" s="1"/>
      <c r="AU40" s="1"/>
      <c r="AV40" s="1"/>
      <c r="AW40" s="1"/>
      <c r="AX40" s="1"/>
      <c r="AY40" s="1"/>
    </row>
    <row r="41" spans="1:53" ht="17.25" thickBot="1" x14ac:dyDescent="0.35">
      <c r="A41" s="147"/>
      <c r="B41" s="97">
        <v>43592</v>
      </c>
      <c r="C41" s="103">
        <v>5.5</v>
      </c>
      <c r="D41" s="103"/>
      <c r="E41" s="103"/>
      <c r="F41" s="150"/>
      <c r="G41" s="150"/>
      <c r="H41" s="100">
        <v>47</v>
      </c>
      <c r="I41" s="7">
        <f t="shared" si="12"/>
        <v>235</v>
      </c>
      <c r="J41" s="100"/>
      <c r="K41" s="7">
        <f t="shared" si="13"/>
        <v>0</v>
      </c>
      <c r="L41" s="100"/>
      <c r="M41" s="7">
        <f t="shared" si="14"/>
        <v>0</v>
      </c>
      <c r="N41" s="100"/>
      <c r="O41" s="7">
        <f t="shared" si="15"/>
        <v>0</v>
      </c>
      <c r="P41" s="100"/>
      <c r="Q41" s="7">
        <f t="shared" si="0"/>
        <v>0</v>
      </c>
      <c r="R41" s="100"/>
      <c r="S41" s="7">
        <f t="shared" si="1"/>
        <v>0</v>
      </c>
      <c r="T41" s="100"/>
      <c r="U41" s="7">
        <f t="shared" si="2"/>
        <v>0</v>
      </c>
      <c r="V41" s="8">
        <f t="shared" si="16"/>
        <v>0.20399305555555555</v>
      </c>
      <c r="W41" s="8">
        <f t="shared" si="8"/>
        <v>42.727272727272727</v>
      </c>
      <c r="X41" s="8">
        <f t="shared" si="9"/>
        <v>42.727272727272727</v>
      </c>
      <c r="Y41" s="8" t="str">
        <f t="shared" si="10"/>
        <v/>
      </c>
      <c r="Z41" s="8" t="str">
        <f t="shared" si="11"/>
        <v/>
      </c>
      <c r="AA41" s="152"/>
      <c r="AB41" s="152"/>
      <c r="AC41" s="180"/>
      <c r="AD41" s="2"/>
      <c r="AE41" s="2"/>
      <c r="AF41" s="2"/>
      <c r="AG41" s="2"/>
      <c r="AH41" s="2"/>
      <c r="AI41" s="2"/>
      <c r="AJ41" s="2"/>
      <c r="AK41" s="2"/>
      <c r="AL41" s="2"/>
      <c r="AM41" s="2"/>
      <c r="AN41" s="2"/>
      <c r="AO41" s="1"/>
      <c r="AP41" s="1"/>
      <c r="AQ41" s="1"/>
      <c r="AR41" s="1"/>
      <c r="AS41" s="1"/>
      <c r="AT41" s="1"/>
      <c r="AU41" s="1"/>
      <c r="AV41" s="1"/>
      <c r="AW41" s="1"/>
      <c r="AX41" s="1"/>
      <c r="AY41" s="1"/>
    </row>
    <row r="42" spans="1:53" ht="17.25" thickBot="1" x14ac:dyDescent="0.35">
      <c r="A42" s="147"/>
      <c r="B42" s="97"/>
      <c r="C42" s="103"/>
      <c r="D42" s="103"/>
      <c r="E42" s="103"/>
      <c r="F42" s="150"/>
      <c r="G42" s="150"/>
      <c r="H42" s="100"/>
      <c r="I42" s="7">
        <f t="shared" si="12"/>
        <v>0</v>
      </c>
      <c r="J42" s="100"/>
      <c r="K42" s="7">
        <f t="shared" si="13"/>
        <v>0</v>
      </c>
      <c r="L42" s="100"/>
      <c r="M42" s="7">
        <f t="shared" si="14"/>
        <v>0</v>
      </c>
      <c r="N42" s="100"/>
      <c r="O42" s="7">
        <f t="shared" si="15"/>
        <v>0</v>
      </c>
      <c r="P42" s="100"/>
      <c r="Q42" s="7">
        <f t="shared" si="0"/>
        <v>0</v>
      </c>
      <c r="R42" s="100"/>
      <c r="S42" s="7">
        <f t="shared" si="1"/>
        <v>0</v>
      </c>
      <c r="T42" s="100"/>
      <c r="U42" s="7">
        <f t="shared" si="2"/>
        <v>0</v>
      </c>
      <c r="V42" s="8">
        <f t="shared" si="16"/>
        <v>0</v>
      </c>
      <c r="W42" s="8" t="str">
        <f t="shared" si="8"/>
        <v/>
      </c>
      <c r="X42" s="8" t="str">
        <f t="shared" si="9"/>
        <v/>
      </c>
      <c r="Y42" s="8" t="str">
        <f t="shared" si="10"/>
        <v/>
      </c>
      <c r="Z42" s="8" t="str">
        <f t="shared" si="11"/>
        <v/>
      </c>
      <c r="AA42" s="152"/>
      <c r="AB42" s="152"/>
      <c r="AC42" s="180"/>
      <c r="AD42" s="2"/>
      <c r="AE42" s="2"/>
      <c r="AF42" s="2"/>
      <c r="AG42" s="2"/>
      <c r="AH42" s="2"/>
      <c r="AI42" s="2"/>
      <c r="AJ42" s="2"/>
      <c r="AK42" s="2"/>
      <c r="AL42" s="2"/>
      <c r="AM42" s="2"/>
      <c r="AN42" s="2"/>
      <c r="AO42" s="1"/>
      <c r="AP42" s="1"/>
      <c r="AQ42" s="1"/>
      <c r="AR42" s="1"/>
      <c r="AS42" s="1"/>
      <c r="AT42" s="1"/>
      <c r="AU42" s="1"/>
      <c r="AV42" s="1"/>
      <c r="AW42" s="1"/>
      <c r="AX42" s="1"/>
      <c r="AY42" s="1"/>
    </row>
    <row r="43" spans="1:53" ht="17.25" thickBot="1" x14ac:dyDescent="0.35">
      <c r="A43" s="147"/>
      <c r="B43" s="97"/>
      <c r="C43" s="103"/>
      <c r="D43" s="103"/>
      <c r="E43" s="103"/>
      <c r="F43" s="150"/>
      <c r="G43" s="150"/>
      <c r="H43" s="100"/>
      <c r="I43" s="7">
        <f t="shared" si="12"/>
        <v>0</v>
      </c>
      <c r="J43" s="100"/>
      <c r="K43" s="7">
        <f t="shared" si="13"/>
        <v>0</v>
      </c>
      <c r="L43" s="100"/>
      <c r="M43" s="7">
        <f t="shared" si="14"/>
        <v>0</v>
      </c>
      <c r="N43" s="100"/>
      <c r="O43" s="7">
        <f t="shared" si="15"/>
        <v>0</v>
      </c>
      <c r="P43" s="100"/>
      <c r="Q43" s="7">
        <f t="shared" si="0"/>
        <v>0</v>
      </c>
      <c r="R43" s="100"/>
      <c r="S43" s="7">
        <f t="shared" si="1"/>
        <v>0</v>
      </c>
      <c r="T43" s="100"/>
      <c r="U43" s="7">
        <f t="shared" si="2"/>
        <v>0</v>
      </c>
      <c r="V43" s="8">
        <f t="shared" si="16"/>
        <v>0</v>
      </c>
      <c r="W43" s="8" t="str">
        <f t="shared" si="8"/>
        <v/>
      </c>
      <c r="X43" s="8" t="str">
        <f t="shared" si="9"/>
        <v/>
      </c>
      <c r="Y43" s="8" t="str">
        <f t="shared" si="10"/>
        <v/>
      </c>
      <c r="Z43" s="8" t="str">
        <f t="shared" si="11"/>
        <v/>
      </c>
      <c r="AA43" s="152"/>
      <c r="AB43" s="152"/>
      <c r="AC43" s="180"/>
      <c r="AD43" s="2"/>
      <c r="AE43" s="2"/>
      <c r="AF43" s="2"/>
      <c r="AG43" s="2"/>
      <c r="AH43" s="2"/>
      <c r="AI43" s="2"/>
      <c r="AJ43" s="2"/>
      <c r="AK43" s="2"/>
      <c r="AL43" s="2"/>
      <c r="AM43" s="2"/>
      <c r="AN43" s="2"/>
      <c r="AO43" s="1"/>
      <c r="AP43" s="1"/>
      <c r="AQ43" s="1"/>
      <c r="AR43" s="1"/>
      <c r="AS43" s="1"/>
      <c r="AT43" s="1"/>
      <c r="AU43" s="1"/>
      <c r="AV43" s="1"/>
      <c r="AW43" s="1"/>
      <c r="AX43" s="1"/>
      <c r="AY43" s="1"/>
    </row>
    <row r="44" spans="1:53" ht="17.25" thickBot="1" x14ac:dyDescent="0.35">
      <c r="A44" s="147"/>
      <c r="B44" s="97"/>
      <c r="C44" s="103"/>
      <c r="D44" s="103"/>
      <c r="E44" s="103"/>
      <c r="F44" s="150"/>
      <c r="G44" s="150"/>
      <c r="H44" s="100"/>
      <c r="I44" s="7">
        <f t="shared" si="12"/>
        <v>0</v>
      </c>
      <c r="J44" s="100"/>
      <c r="K44" s="7">
        <f t="shared" si="13"/>
        <v>0</v>
      </c>
      <c r="L44" s="100"/>
      <c r="M44" s="7">
        <f t="shared" si="14"/>
        <v>0</v>
      </c>
      <c r="N44" s="100"/>
      <c r="O44" s="7">
        <f t="shared" si="15"/>
        <v>0</v>
      </c>
      <c r="P44" s="100"/>
      <c r="Q44" s="7">
        <f t="shared" si="0"/>
        <v>0</v>
      </c>
      <c r="R44" s="100"/>
      <c r="S44" s="7">
        <f t="shared" si="1"/>
        <v>0</v>
      </c>
      <c r="T44" s="100"/>
      <c r="U44" s="7">
        <f t="shared" si="2"/>
        <v>0</v>
      </c>
      <c r="V44" s="8">
        <f t="shared" si="16"/>
        <v>0</v>
      </c>
      <c r="W44" s="8" t="str">
        <f t="shared" si="8"/>
        <v/>
      </c>
      <c r="X44" s="8" t="str">
        <f t="shared" si="9"/>
        <v/>
      </c>
      <c r="Y44" s="8" t="str">
        <f t="shared" si="10"/>
        <v/>
      </c>
      <c r="Z44" s="8" t="str">
        <f t="shared" si="11"/>
        <v/>
      </c>
      <c r="AA44" s="152"/>
      <c r="AB44" s="152"/>
      <c r="AC44" s="180"/>
      <c r="AD44" s="2"/>
      <c r="AE44" s="2"/>
      <c r="AF44" s="2"/>
      <c r="AG44" s="2"/>
      <c r="AH44" s="2"/>
      <c r="AI44" s="2"/>
      <c r="AJ44" s="2"/>
      <c r="AK44" s="2"/>
      <c r="AL44" s="2"/>
      <c r="AM44" s="2"/>
      <c r="AN44" s="2"/>
      <c r="AO44" s="1"/>
      <c r="AP44" s="1"/>
      <c r="AQ44" s="1"/>
      <c r="AR44" s="1"/>
      <c r="AS44" s="1"/>
      <c r="AT44" s="1"/>
      <c r="AU44" s="1"/>
      <c r="AV44" s="1"/>
      <c r="AW44" s="1"/>
      <c r="AX44" s="1"/>
      <c r="AY44" s="1"/>
    </row>
    <row r="45" spans="1:53" ht="17.25" thickBot="1" x14ac:dyDescent="0.35">
      <c r="A45" s="147"/>
      <c r="B45" s="98"/>
      <c r="C45" s="104"/>
      <c r="D45" s="104"/>
      <c r="E45" s="104"/>
      <c r="F45" s="151"/>
      <c r="G45" s="151"/>
      <c r="H45" s="101"/>
      <c r="I45" s="7">
        <f t="shared" si="12"/>
        <v>0</v>
      </c>
      <c r="J45" s="101"/>
      <c r="K45" s="7">
        <f t="shared" si="13"/>
        <v>0</v>
      </c>
      <c r="L45" s="101"/>
      <c r="M45" s="7">
        <f t="shared" si="14"/>
        <v>0</v>
      </c>
      <c r="N45" s="101"/>
      <c r="O45" s="7">
        <f t="shared" si="15"/>
        <v>0</v>
      </c>
      <c r="P45" s="101"/>
      <c r="Q45" s="7">
        <f t="shared" si="0"/>
        <v>0</v>
      </c>
      <c r="R45" s="101"/>
      <c r="S45" s="7">
        <f t="shared" si="1"/>
        <v>0</v>
      </c>
      <c r="T45" s="101"/>
      <c r="U45" s="7">
        <f t="shared" si="2"/>
        <v>0</v>
      </c>
      <c r="V45" s="8">
        <f t="shared" si="16"/>
        <v>0</v>
      </c>
      <c r="W45" s="8" t="str">
        <f t="shared" si="8"/>
        <v/>
      </c>
      <c r="X45" s="8" t="str">
        <f t="shared" si="9"/>
        <v/>
      </c>
      <c r="Y45" s="8" t="str">
        <f t="shared" si="10"/>
        <v/>
      </c>
      <c r="Z45" s="8" t="str">
        <f t="shared" si="11"/>
        <v/>
      </c>
      <c r="AA45" s="152"/>
      <c r="AB45" s="152"/>
      <c r="AC45" s="181"/>
      <c r="AD45" s="2"/>
      <c r="AE45" s="2"/>
      <c r="AF45" s="2"/>
      <c r="AG45" s="2"/>
      <c r="AH45" s="2"/>
      <c r="AI45" s="2"/>
      <c r="AJ45" s="2"/>
      <c r="AK45" s="2"/>
      <c r="AL45" s="2"/>
      <c r="AM45" s="2"/>
      <c r="AN45" s="2"/>
      <c r="AO45" s="1"/>
      <c r="AP45" s="1"/>
      <c r="AQ45" s="1"/>
      <c r="AR45" s="1"/>
      <c r="AS45" s="1"/>
      <c r="AT45" s="1"/>
      <c r="AU45" s="1"/>
      <c r="AV45" s="1"/>
      <c r="AW45" s="1"/>
      <c r="AX45" s="1"/>
      <c r="AY45" s="1"/>
    </row>
    <row r="46" spans="1:53" ht="17.25" thickBot="1" x14ac:dyDescent="0.35">
      <c r="A46" s="146">
        <v>20</v>
      </c>
      <c r="B46" s="105"/>
      <c r="C46" s="102"/>
      <c r="D46" s="102"/>
      <c r="E46" s="102"/>
      <c r="F46" s="149">
        <f t="shared" ref="F46" si="36">SUM(M46:M51,O46:O51,Q46:Q51,S46:S51,I46:I51,K46:K51)</f>
        <v>1660</v>
      </c>
      <c r="G46" s="149">
        <f t="shared" ref="G46" si="37">SUM(M46:M51,O46:O51,Q46:Q51,S46:S51,U46:U51,K46:K51,I46:I51)</f>
        <v>1660</v>
      </c>
      <c r="H46" s="99"/>
      <c r="I46" s="40">
        <f t="shared" si="12"/>
        <v>0</v>
      </c>
      <c r="J46" s="99"/>
      <c r="K46" s="40">
        <f t="shared" si="13"/>
        <v>0</v>
      </c>
      <c r="L46" s="99"/>
      <c r="M46" s="40">
        <f t="shared" si="14"/>
        <v>0</v>
      </c>
      <c r="N46" s="99"/>
      <c r="O46" s="40">
        <f t="shared" si="15"/>
        <v>0</v>
      </c>
      <c r="P46" s="99"/>
      <c r="Q46" s="40">
        <f t="shared" si="0"/>
        <v>0</v>
      </c>
      <c r="R46" s="99"/>
      <c r="S46" s="40">
        <f t="shared" si="1"/>
        <v>0</v>
      </c>
      <c r="T46" s="99"/>
      <c r="U46" s="40">
        <f t="shared" si="2"/>
        <v>0</v>
      </c>
      <c r="V46" s="34">
        <f t="shared" si="16"/>
        <v>0</v>
      </c>
      <c r="W46" s="34" t="str">
        <f t="shared" si="8"/>
        <v/>
      </c>
      <c r="X46" s="34" t="str">
        <f t="shared" si="9"/>
        <v/>
      </c>
      <c r="Y46" s="34" t="str">
        <f t="shared" si="10"/>
        <v/>
      </c>
      <c r="Z46" s="34" t="str">
        <f t="shared" si="11"/>
        <v/>
      </c>
      <c r="AA46" s="152">
        <f>AVERAGE(W46:W51)</f>
        <v>34.75</v>
      </c>
      <c r="AB46" s="152">
        <f t="shared" ref="AB46" si="38">SUM(V46:V51)</f>
        <v>1.4409722222222223</v>
      </c>
      <c r="AC46" s="179"/>
      <c r="AD46" s="2"/>
      <c r="AE46" s="2"/>
      <c r="AF46" s="2"/>
      <c r="AG46" s="2"/>
      <c r="AH46" s="2"/>
      <c r="AI46" s="2"/>
      <c r="AJ46" s="2"/>
      <c r="AK46" s="2"/>
      <c r="AL46" s="2"/>
      <c r="AM46" s="2"/>
      <c r="AN46" s="2"/>
      <c r="AO46" s="1"/>
      <c r="AP46" s="1"/>
      <c r="AQ46" s="1"/>
      <c r="AR46" s="1"/>
      <c r="AS46" s="1"/>
      <c r="AT46" s="1"/>
      <c r="AU46" s="1"/>
      <c r="AV46" s="1"/>
      <c r="AW46" s="1"/>
      <c r="AX46" s="1"/>
      <c r="AY46" s="1"/>
    </row>
    <row r="47" spans="1:53" ht="17.25" thickBot="1" x14ac:dyDescent="0.35">
      <c r="A47" s="147"/>
      <c r="B47" s="97"/>
      <c r="C47" s="103"/>
      <c r="D47" s="103"/>
      <c r="E47" s="103"/>
      <c r="F47" s="150"/>
      <c r="G47" s="150"/>
      <c r="H47" s="100"/>
      <c r="I47" s="7">
        <f t="shared" si="12"/>
        <v>0</v>
      </c>
      <c r="J47" s="100"/>
      <c r="K47" s="7">
        <f t="shared" si="13"/>
        <v>0</v>
      </c>
      <c r="L47" s="100"/>
      <c r="M47" s="7">
        <f t="shared" si="14"/>
        <v>0</v>
      </c>
      <c r="N47" s="100"/>
      <c r="O47" s="7">
        <f t="shared" si="15"/>
        <v>0</v>
      </c>
      <c r="P47" s="100"/>
      <c r="Q47" s="7">
        <f t="shared" si="0"/>
        <v>0</v>
      </c>
      <c r="R47" s="100"/>
      <c r="S47" s="7">
        <f t="shared" si="1"/>
        <v>0</v>
      </c>
      <c r="T47" s="100"/>
      <c r="U47" s="7">
        <f t="shared" si="2"/>
        <v>0</v>
      </c>
      <c r="V47" s="8">
        <f t="shared" si="16"/>
        <v>0</v>
      </c>
      <c r="W47" s="8" t="str">
        <f t="shared" si="8"/>
        <v/>
      </c>
      <c r="X47" s="8" t="str">
        <f t="shared" si="9"/>
        <v/>
      </c>
      <c r="Y47" s="8" t="str">
        <f t="shared" si="10"/>
        <v/>
      </c>
      <c r="Z47" s="8" t="str">
        <f t="shared" si="11"/>
        <v/>
      </c>
      <c r="AA47" s="152"/>
      <c r="AB47" s="152"/>
      <c r="AC47" s="180"/>
      <c r="AD47" s="2"/>
      <c r="AE47" s="2"/>
      <c r="AF47" s="2"/>
      <c r="AG47" s="2"/>
      <c r="AH47" s="2"/>
      <c r="AI47" s="2"/>
      <c r="AJ47" s="2"/>
      <c r="AK47" s="2"/>
      <c r="AL47" s="2"/>
      <c r="AM47" s="2"/>
      <c r="AN47" s="2"/>
      <c r="AO47" s="1"/>
      <c r="AP47" s="1"/>
      <c r="AQ47" s="1"/>
      <c r="AR47" s="1"/>
      <c r="AS47" s="1"/>
      <c r="AT47" s="1"/>
      <c r="AU47" s="1"/>
      <c r="AV47" s="1"/>
      <c r="AW47" s="1"/>
      <c r="AX47" s="1"/>
      <c r="AY47" s="1"/>
    </row>
    <row r="48" spans="1:53" ht="17.25" thickBot="1" x14ac:dyDescent="0.35">
      <c r="A48" s="147"/>
      <c r="B48" s="97"/>
      <c r="C48" s="103"/>
      <c r="D48" s="103"/>
      <c r="E48" s="103"/>
      <c r="F48" s="150"/>
      <c r="G48" s="150"/>
      <c r="H48" s="100"/>
      <c r="I48" s="7">
        <f t="shared" si="12"/>
        <v>0</v>
      </c>
      <c r="J48" s="100"/>
      <c r="K48" s="7">
        <f t="shared" si="13"/>
        <v>0</v>
      </c>
      <c r="L48" s="100"/>
      <c r="M48" s="7">
        <f t="shared" si="14"/>
        <v>0</v>
      </c>
      <c r="N48" s="100"/>
      <c r="O48" s="7">
        <f t="shared" si="15"/>
        <v>0</v>
      </c>
      <c r="P48" s="100"/>
      <c r="Q48" s="7">
        <f t="shared" si="0"/>
        <v>0</v>
      </c>
      <c r="R48" s="100"/>
      <c r="S48" s="7">
        <f t="shared" si="1"/>
        <v>0</v>
      </c>
      <c r="T48" s="100"/>
      <c r="U48" s="7">
        <f t="shared" si="2"/>
        <v>0</v>
      </c>
      <c r="V48" s="8">
        <f t="shared" si="16"/>
        <v>0</v>
      </c>
      <c r="W48" s="8" t="str">
        <f t="shared" si="8"/>
        <v/>
      </c>
      <c r="X48" s="8" t="str">
        <f t="shared" si="9"/>
        <v/>
      </c>
      <c r="Y48" s="8" t="str">
        <f t="shared" si="10"/>
        <v/>
      </c>
      <c r="Z48" s="8" t="str">
        <f t="shared" si="11"/>
        <v/>
      </c>
      <c r="AA48" s="152"/>
      <c r="AB48" s="152"/>
      <c r="AC48" s="180"/>
      <c r="AD48" s="2"/>
      <c r="AE48" s="2"/>
      <c r="AF48" s="2"/>
      <c r="AG48" s="2"/>
      <c r="AH48" s="2"/>
      <c r="AI48" s="2"/>
      <c r="AJ48" s="2"/>
      <c r="AK48" s="2"/>
      <c r="AL48" s="2"/>
      <c r="AM48" s="2"/>
      <c r="AN48" s="2"/>
      <c r="AO48" s="1"/>
      <c r="AP48" s="1"/>
      <c r="AQ48" s="1"/>
      <c r="AR48" s="1"/>
      <c r="AS48" s="1"/>
      <c r="AT48" s="1"/>
      <c r="AU48" s="1"/>
      <c r="AV48" s="1"/>
      <c r="AW48" s="1"/>
      <c r="AX48" s="1"/>
      <c r="AY48" s="1"/>
    </row>
    <row r="49" spans="1:51" ht="17.25" thickBot="1" x14ac:dyDescent="0.35">
      <c r="A49" s="147"/>
      <c r="B49" s="97">
        <v>43601</v>
      </c>
      <c r="C49" s="103">
        <v>20</v>
      </c>
      <c r="D49" s="103"/>
      <c r="E49" s="103"/>
      <c r="F49" s="150"/>
      <c r="G49" s="150"/>
      <c r="H49" s="100">
        <v>143</v>
      </c>
      <c r="I49" s="7">
        <f t="shared" si="12"/>
        <v>715</v>
      </c>
      <c r="J49" s="100"/>
      <c r="K49" s="7">
        <f t="shared" si="13"/>
        <v>0</v>
      </c>
      <c r="L49" s="100"/>
      <c r="M49" s="7">
        <f t="shared" si="14"/>
        <v>0</v>
      </c>
      <c r="N49" s="100"/>
      <c r="O49" s="7">
        <f t="shared" si="15"/>
        <v>0</v>
      </c>
      <c r="P49" s="100"/>
      <c r="Q49" s="7">
        <f t="shared" si="0"/>
        <v>0</v>
      </c>
      <c r="R49" s="100"/>
      <c r="S49" s="7">
        <f t="shared" si="1"/>
        <v>0</v>
      </c>
      <c r="T49" s="100"/>
      <c r="U49" s="7">
        <f t="shared" si="2"/>
        <v>0</v>
      </c>
      <c r="V49" s="8">
        <f t="shared" si="16"/>
        <v>0.62065972222222221</v>
      </c>
      <c r="W49" s="8">
        <f t="shared" si="8"/>
        <v>35.75</v>
      </c>
      <c r="X49" s="8">
        <f t="shared" si="9"/>
        <v>35.75</v>
      </c>
      <c r="Y49" s="8" t="str">
        <f t="shared" si="10"/>
        <v/>
      </c>
      <c r="Z49" s="8" t="str">
        <f t="shared" si="11"/>
        <v/>
      </c>
      <c r="AA49" s="152"/>
      <c r="AB49" s="152"/>
      <c r="AC49" s="180"/>
      <c r="AD49" s="2"/>
      <c r="AE49" s="2"/>
      <c r="AF49" s="2"/>
      <c r="AG49" s="2"/>
      <c r="AH49" s="2"/>
      <c r="AI49" s="2"/>
      <c r="AJ49" s="2"/>
      <c r="AK49" s="2"/>
      <c r="AL49" s="2"/>
      <c r="AM49" s="2"/>
      <c r="AN49" s="2"/>
      <c r="AO49" s="1"/>
      <c r="AP49" s="1"/>
      <c r="AQ49" s="1"/>
      <c r="AR49" s="1"/>
      <c r="AS49" s="1"/>
      <c r="AT49" s="1"/>
      <c r="AU49" s="1"/>
      <c r="AV49" s="1"/>
      <c r="AW49" s="1"/>
      <c r="AX49" s="1"/>
      <c r="AY49" s="1"/>
    </row>
    <row r="50" spans="1:51" ht="17.25" thickBot="1" x14ac:dyDescent="0.35">
      <c r="A50" s="147"/>
      <c r="B50" s="97">
        <v>43602</v>
      </c>
      <c r="C50" s="103">
        <v>28</v>
      </c>
      <c r="D50" s="103"/>
      <c r="E50" s="103"/>
      <c r="F50" s="150"/>
      <c r="G50" s="150"/>
      <c r="H50" s="100">
        <v>189</v>
      </c>
      <c r="I50" s="7">
        <f t="shared" si="12"/>
        <v>945</v>
      </c>
      <c r="J50" s="100"/>
      <c r="K50" s="7">
        <f t="shared" si="13"/>
        <v>0</v>
      </c>
      <c r="L50" s="100"/>
      <c r="M50" s="7">
        <f t="shared" si="14"/>
        <v>0</v>
      </c>
      <c r="N50" s="100"/>
      <c r="O50" s="7">
        <f t="shared" si="15"/>
        <v>0</v>
      </c>
      <c r="P50" s="100"/>
      <c r="Q50" s="7">
        <f t="shared" si="0"/>
        <v>0</v>
      </c>
      <c r="R50" s="100"/>
      <c r="S50" s="7">
        <f t="shared" si="1"/>
        <v>0</v>
      </c>
      <c r="T50" s="100"/>
      <c r="U50" s="7">
        <f t="shared" si="2"/>
        <v>0</v>
      </c>
      <c r="V50" s="8">
        <f t="shared" si="16"/>
        <v>0.8203125</v>
      </c>
      <c r="W50" s="8">
        <f t="shared" si="8"/>
        <v>33.75</v>
      </c>
      <c r="X50" s="8">
        <f t="shared" si="9"/>
        <v>33.75</v>
      </c>
      <c r="Y50" s="8" t="str">
        <f t="shared" si="10"/>
        <v/>
      </c>
      <c r="Z50" s="8" t="str">
        <f t="shared" si="11"/>
        <v/>
      </c>
      <c r="AA50" s="152"/>
      <c r="AB50" s="152"/>
      <c r="AC50" s="180"/>
      <c r="AD50" s="2"/>
      <c r="AE50" s="2"/>
      <c r="AF50" s="2"/>
      <c r="AG50" s="2"/>
      <c r="AH50" s="2"/>
      <c r="AI50" s="2"/>
      <c r="AJ50" s="2"/>
      <c r="AK50" s="2"/>
      <c r="AL50" s="2"/>
      <c r="AM50" s="2"/>
      <c r="AN50" s="2"/>
      <c r="AO50" s="1"/>
      <c r="AP50" s="1"/>
      <c r="AQ50" s="1"/>
      <c r="AR50" s="1"/>
      <c r="AS50" s="1"/>
      <c r="AT50" s="1"/>
      <c r="AU50" s="1"/>
      <c r="AV50" s="1"/>
      <c r="AW50" s="1"/>
      <c r="AX50" s="1"/>
      <c r="AY50" s="1"/>
    </row>
    <row r="51" spans="1:51" ht="17.25" thickBot="1" x14ac:dyDescent="0.35">
      <c r="A51" s="148"/>
      <c r="B51" s="98"/>
      <c r="C51" s="104"/>
      <c r="D51" s="104"/>
      <c r="E51" s="104"/>
      <c r="F51" s="151"/>
      <c r="G51" s="151"/>
      <c r="H51" s="101"/>
      <c r="I51" s="39">
        <f t="shared" si="12"/>
        <v>0</v>
      </c>
      <c r="J51" s="101"/>
      <c r="K51" s="39">
        <f t="shared" si="13"/>
        <v>0</v>
      </c>
      <c r="L51" s="101"/>
      <c r="M51" s="39">
        <f t="shared" si="14"/>
        <v>0</v>
      </c>
      <c r="N51" s="101"/>
      <c r="O51" s="39">
        <f t="shared" si="15"/>
        <v>0</v>
      </c>
      <c r="P51" s="101"/>
      <c r="Q51" s="39">
        <f t="shared" si="0"/>
        <v>0</v>
      </c>
      <c r="R51" s="101"/>
      <c r="S51" s="39">
        <f t="shared" si="1"/>
        <v>0</v>
      </c>
      <c r="T51" s="101"/>
      <c r="U51" s="39">
        <f t="shared" si="2"/>
        <v>0</v>
      </c>
      <c r="V51" s="36">
        <f t="shared" si="16"/>
        <v>0</v>
      </c>
      <c r="W51" s="36" t="str">
        <f t="shared" si="8"/>
        <v/>
      </c>
      <c r="X51" s="36" t="str">
        <f t="shared" si="9"/>
        <v/>
      </c>
      <c r="Y51" s="36" t="str">
        <f t="shared" si="10"/>
        <v/>
      </c>
      <c r="Z51" s="36" t="str">
        <f t="shared" si="11"/>
        <v/>
      </c>
      <c r="AA51" s="152"/>
      <c r="AB51" s="152"/>
      <c r="AC51" s="181"/>
      <c r="AD51" s="2"/>
      <c r="AE51" s="2"/>
      <c r="AF51" s="2"/>
      <c r="AG51" s="2"/>
      <c r="AH51" s="2"/>
      <c r="AI51" s="2"/>
      <c r="AJ51" s="2"/>
      <c r="AK51" s="2"/>
      <c r="AL51" s="2"/>
      <c r="AM51" s="2"/>
      <c r="AN51" s="2"/>
      <c r="AO51" s="1"/>
      <c r="AP51" s="1"/>
      <c r="AQ51" s="1"/>
      <c r="AR51" s="1"/>
      <c r="AS51" s="1"/>
      <c r="AT51" s="1"/>
      <c r="AU51" s="1"/>
      <c r="AV51" s="1"/>
      <c r="AW51" s="1"/>
      <c r="AX51" s="1"/>
      <c r="AY51" s="1"/>
    </row>
    <row r="52" spans="1:51" ht="17.25" thickBot="1" x14ac:dyDescent="0.35">
      <c r="A52" s="147">
        <v>21</v>
      </c>
      <c r="B52" s="105"/>
      <c r="C52" s="102"/>
      <c r="D52" s="102"/>
      <c r="E52" s="102"/>
      <c r="F52" s="149">
        <f t="shared" ref="F52" si="39">SUM(M52:M57,O52:O57,Q52:Q57,S52:S57,I52:I57,K52:K57)</f>
        <v>0</v>
      </c>
      <c r="G52" s="149">
        <f t="shared" ref="G52" si="40">SUM(M52:M57,O52:O57,Q52:Q57,S52:S57,U52:U57,K52:K57,I52:I57)</f>
        <v>0</v>
      </c>
      <c r="H52" s="99"/>
      <c r="I52" s="7">
        <f t="shared" si="12"/>
        <v>0</v>
      </c>
      <c r="J52" s="99"/>
      <c r="K52" s="7">
        <f t="shared" si="13"/>
        <v>0</v>
      </c>
      <c r="L52" s="99"/>
      <c r="M52" s="7">
        <f t="shared" si="14"/>
        <v>0</v>
      </c>
      <c r="N52" s="99"/>
      <c r="O52" s="7">
        <f t="shared" si="15"/>
        <v>0</v>
      </c>
      <c r="P52" s="99"/>
      <c r="Q52" s="7">
        <f t="shared" si="0"/>
        <v>0</v>
      </c>
      <c r="R52" s="99"/>
      <c r="S52" s="7">
        <f t="shared" si="1"/>
        <v>0</v>
      </c>
      <c r="T52" s="99"/>
      <c r="U52" s="7">
        <f t="shared" si="2"/>
        <v>0</v>
      </c>
      <c r="V52" s="8">
        <f t="shared" si="16"/>
        <v>0</v>
      </c>
      <c r="W52" s="8" t="str">
        <f t="shared" si="8"/>
        <v/>
      </c>
      <c r="X52" s="8" t="str">
        <f t="shared" si="9"/>
        <v/>
      </c>
      <c r="Y52" s="8" t="str">
        <f t="shared" si="10"/>
        <v/>
      </c>
      <c r="Z52" s="8" t="str">
        <f t="shared" si="11"/>
        <v/>
      </c>
      <c r="AA52" s="152" t="e">
        <f t="shared" ref="AA52" si="41">AVERAGE(W52:W57)</f>
        <v>#DIV/0!</v>
      </c>
      <c r="AB52" s="152">
        <f t="shared" ref="AB52" si="42">SUM(V52:V57)</f>
        <v>0</v>
      </c>
      <c r="AC52" s="179"/>
      <c r="AD52" s="2"/>
      <c r="AE52" s="2"/>
      <c r="AF52" s="2"/>
      <c r="AG52" s="2"/>
      <c r="AH52" s="2"/>
      <c r="AI52" s="2"/>
      <c r="AJ52" s="2"/>
      <c r="AK52" s="2"/>
      <c r="AL52" s="2"/>
      <c r="AM52" s="2"/>
      <c r="AN52" s="2"/>
      <c r="AO52" s="1"/>
      <c r="AP52" s="1"/>
      <c r="AQ52" s="1"/>
      <c r="AR52" s="1"/>
      <c r="AS52" s="1"/>
      <c r="AT52" s="1"/>
      <c r="AU52" s="1"/>
      <c r="AV52" s="1"/>
      <c r="AW52" s="1"/>
      <c r="AX52" s="1"/>
      <c r="AY52" s="1"/>
    </row>
    <row r="53" spans="1:51" ht="17.25" thickBot="1" x14ac:dyDescent="0.35">
      <c r="A53" s="147"/>
      <c r="B53" s="97"/>
      <c r="C53" s="103"/>
      <c r="D53" s="103"/>
      <c r="E53" s="103"/>
      <c r="F53" s="150"/>
      <c r="G53" s="150"/>
      <c r="H53" s="100"/>
      <c r="I53" s="7">
        <f t="shared" si="12"/>
        <v>0</v>
      </c>
      <c r="J53" s="100"/>
      <c r="K53" s="7">
        <f t="shared" si="13"/>
        <v>0</v>
      </c>
      <c r="L53" s="100"/>
      <c r="M53" s="7">
        <f t="shared" si="14"/>
        <v>0</v>
      </c>
      <c r="N53" s="100"/>
      <c r="O53" s="7">
        <f t="shared" si="15"/>
        <v>0</v>
      </c>
      <c r="P53" s="100"/>
      <c r="Q53" s="7">
        <f t="shared" si="0"/>
        <v>0</v>
      </c>
      <c r="R53" s="100"/>
      <c r="S53" s="7">
        <f t="shared" si="1"/>
        <v>0</v>
      </c>
      <c r="T53" s="100"/>
      <c r="U53" s="7">
        <f t="shared" si="2"/>
        <v>0</v>
      </c>
      <c r="V53" s="8">
        <f t="shared" si="16"/>
        <v>0</v>
      </c>
      <c r="W53" s="8" t="str">
        <f t="shared" si="8"/>
        <v/>
      </c>
      <c r="X53" s="8" t="str">
        <f t="shared" si="9"/>
        <v/>
      </c>
      <c r="Y53" s="8" t="str">
        <f t="shared" si="10"/>
        <v/>
      </c>
      <c r="Z53" s="8" t="str">
        <f t="shared" si="11"/>
        <v/>
      </c>
      <c r="AA53" s="152"/>
      <c r="AB53" s="152"/>
      <c r="AC53" s="180"/>
      <c r="AD53" s="2"/>
      <c r="AE53" s="2"/>
      <c r="AF53" s="2"/>
      <c r="AG53" s="2"/>
      <c r="AH53" s="2"/>
      <c r="AI53" s="2"/>
      <c r="AJ53" s="2"/>
      <c r="AK53" s="2"/>
      <c r="AL53" s="2"/>
      <c r="AM53" s="2"/>
      <c r="AN53" s="2"/>
      <c r="AO53" s="1"/>
      <c r="AP53" s="1"/>
      <c r="AQ53" s="1"/>
      <c r="AR53" s="1"/>
      <c r="AS53" s="1"/>
      <c r="AT53" s="1"/>
      <c r="AU53" s="1"/>
      <c r="AV53" s="1"/>
      <c r="AW53" s="1"/>
      <c r="AX53" s="1"/>
      <c r="AY53" s="1"/>
    </row>
    <row r="54" spans="1:51" ht="17.25" thickBot="1" x14ac:dyDescent="0.35">
      <c r="A54" s="147"/>
      <c r="B54" s="97"/>
      <c r="C54" s="103"/>
      <c r="D54" s="103"/>
      <c r="E54" s="103"/>
      <c r="F54" s="150"/>
      <c r="G54" s="150"/>
      <c r="H54" s="100"/>
      <c r="I54" s="7">
        <f t="shared" si="12"/>
        <v>0</v>
      </c>
      <c r="J54" s="100"/>
      <c r="K54" s="7">
        <f t="shared" si="13"/>
        <v>0</v>
      </c>
      <c r="L54" s="100"/>
      <c r="M54" s="7">
        <f t="shared" si="14"/>
        <v>0</v>
      </c>
      <c r="N54" s="100"/>
      <c r="O54" s="7">
        <f t="shared" si="15"/>
        <v>0</v>
      </c>
      <c r="P54" s="100"/>
      <c r="Q54" s="7">
        <f t="shared" si="0"/>
        <v>0</v>
      </c>
      <c r="R54" s="100"/>
      <c r="S54" s="7">
        <f t="shared" si="1"/>
        <v>0</v>
      </c>
      <c r="T54" s="100"/>
      <c r="U54" s="7">
        <f t="shared" si="2"/>
        <v>0</v>
      </c>
      <c r="V54" s="8">
        <f t="shared" si="16"/>
        <v>0</v>
      </c>
      <c r="W54" s="8" t="str">
        <f t="shared" si="8"/>
        <v/>
      </c>
      <c r="X54" s="8" t="str">
        <f t="shared" si="9"/>
        <v/>
      </c>
      <c r="Y54" s="8" t="str">
        <f t="shared" si="10"/>
        <v/>
      </c>
      <c r="Z54" s="8" t="str">
        <f t="shared" si="11"/>
        <v/>
      </c>
      <c r="AA54" s="152"/>
      <c r="AB54" s="152"/>
      <c r="AC54" s="180"/>
      <c r="AD54" s="2"/>
      <c r="AE54" s="2"/>
      <c r="AF54" s="2"/>
      <c r="AG54" s="2"/>
      <c r="AH54" s="2"/>
      <c r="AI54" s="2"/>
      <c r="AJ54" s="2"/>
      <c r="AK54" s="2"/>
      <c r="AL54" s="2"/>
      <c r="AM54" s="2"/>
      <c r="AN54" s="2"/>
      <c r="AO54" s="1"/>
      <c r="AP54" s="1"/>
      <c r="AQ54" s="1"/>
      <c r="AR54" s="1"/>
      <c r="AS54" s="1"/>
      <c r="AT54" s="1"/>
      <c r="AU54" s="1"/>
      <c r="AV54" s="1"/>
      <c r="AW54" s="1"/>
      <c r="AX54" s="1"/>
      <c r="AY54" s="1"/>
    </row>
    <row r="55" spans="1:51" ht="17.25" thickBot="1" x14ac:dyDescent="0.35">
      <c r="A55" s="147"/>
      <c r="B55" s="97"/>
      <c r="C55" s="103"/>
      <c r="D55" s="103"/>
      <c r="E55" s="103"/>
      <c r="F55" s="150"/>
      <c r="G55" s="150"/>
      <c r="H55" s="100"/>
      <c r="I55" s="7">
        <f t="shared" si="12"/>
        <v>0</v>
      </c>
      <c r="J55" s="100"/>
      <c r="K55" s="7">
        <f t="shared" si="13"/>
        <v>0</v>
      </c>
      <c r="L55" s="100"/>
      <c r="M55" s="7">
        <f t="shared" si="14"/>
        <v>0</v>
      </c>
      <c r="N55" s="100"/>
      <c r="O55" s="7">
        <f t="shared" si="15"/>
        <v>0</v>
      </c>
      <c r="P55" s="100"/>
      <c r="Q55" s="7">
        <f t="shared" si="0"/>
        <v>0</v>
      </c>
      <c r="R55" s="100"/>
      <c r="S55" s="7">
        <f t="shared" si="1"/>
        <v>0</v>
      </c>
      <c r="T55" s="100"/>
      <c r="U55" s="7">
        <f t="shared" si="2"/>
        <v>0</v>
      </c>
      <c r="V55" s="8">
        <f t="shared" si="16"/>
        <v>0</v>
      </c>
      <c r="W55" s="8" t="str">
        <f t="shared" si="8"/>
        <v/>
      </c>
      <c r="X55" s="8" t="str">
        <f t="shared" si="9"/>
        <v/>
      </c>
      <c r="Y55" s="8" t="str">
        <f t="shared" si="10"/>
        <v/>
      </c>
      <c r="Z55" s="8" t="str">
        <f t="shared" si="11"/>
        <v/>
      </c>
      <c r="AA55" s="152"/>
      <c r="AB55" s="152"/>
      <c r="AC55" s="180"/>
      <c r="AD55" s="2"/>
      <c r="AE55" s="2"/>
      <c r="AF55" s="2"/>
      <c r="AG55" s="2"/>
      <c r="AH55" s="2"/>
      <c r="AI55" s="2"/>
      <c r="AJ55" s="2"/>
      <c r="AK55" s="2"/>
      <c r="AL55" s="2"/>
      <c r="AM55" s="2"/>
      <c r="AN55" s="2"/>
      <c r="AO55" s="1"/>
      <c r="AP55" s="1"/>
      <c r="AQ55" s="1"/>
      <c r="AR55" s="1"/>
      <c r="AS55" s="1"/>
      <c r="AT55" s="1"/>
      <c r="AU55" s="1"/>
      <c r="AV55" s="1"/>
      <c r="AW55" s="1"/>
      <c r="AX55" s="1"/>
      <c r="AY55" s="1"/>
    </row>
    <row r="56" spans="1:51" ht="17.25" thickBot="1" x14ac:dyDescent="0.35">
      <c r="A56" s="147"/>
      <c r="B56" s="97"/>
      <c r="C56" s="103"/>
      <c r="D56" s="103"/>
      <c r="E56" s="103"/>
      <c r="F56" s="150"/>
      <c r="G56" s="150"/>
      <c r="H56" s="100"/>
      <c r="I56" s="7">
        <f t="shared" si="12"/>
        <v>0</v>
      </c>
      <c r="J56" s="100"/>
      <c r="K56" s="7">
        <f t="shared" si="13"/>
        <v>0</v>
      </c>
      <c r="L56" s="100"/>
      <c r="M56" s="7">
        <f t="shared" si="14"/>
        <v>0</v>
      </c>
      <c r="N56" s="100"/>
      <c r="O56" s="7">
        <f t="shared" si="15"/>
        <v>0</v>
      </c>
      <c r="P56" s="100"/>
      <c r="Q56" s="7">
        <f t="shared" si="0"/>
        <v>0</v>
      </c>
      <c r="R56" s="100"/>
      <c r="S56" s="7">
        <f t="shared" si="1"/>
        <v>0</v>
      </c>
      <c r="T56" s="100"/>
      <c r="U56" s="7">
        <f t="shared" si="2"/>
        <v>0</v>
      </c>
      <c r="V56" s="8">
        <f t="shared" si="16"/>
        <v>0</v>
      </c>
      <c r="W56" s="8" t="str">
        <f t="shared" si="8"/>
        <v/>
      </c>
      <c r="X56" s="8" t="str">
        <f t="shared" si="9"/>
        <v/>
      </c>
      <c r="Y56" s="8" t="str">
        <f t="shared" si="10"/>
        <v/>
      </c>
      <c r="Z56" s="8" t="str">
        <f t="shared" si="11"/>
        <v/>
      </c>
      <c r="AA56" s="152"/>
      <c r="AB56" s="152"/>
      <c r="AC56" s="180"/>
      <c r="AD56" s="2"/>
      <c r="AE56" s="2"/>
      <c r="AF56" s="2"/>
      <c r="AG56" s="2"/>
      <c r="AH56" s="2"/>
      <c r="AI56" s="2"/>
      <c r="AJ56" s="2"/>
      <c r="AK56" s="2"/>
      <c r="AL56" s="2"/>
      <c r="AM56" s="2"/>
      <c r="AN56" s="2"/>
      <c r="AO56" s="1"/>
      <c r="AP56" s="1"/>
      <c r="AQ56" s="1"/>
      <c r="AR56" s="1"/>
      <c r="AS56" s="1"/>
      <c r="AT56" s="1"/>
      <c r="AU56" s="1"/>
      <c r="AV56" s="1"/>
      <c r="AW56" s="1"/>
      <c r="AX56" s="1"/>
      <c r="AY56" s="1"/>
    </row>
    <row r="57" spans="1:51" ht="17.25" thickBot="1" x14ac:dyDescent="0.35">
      <c r="A57" s="147"/>
      <c r="B57" s="98"/>
      <c r="C57" s="104"/>
      <c r="D57" s="104"/>
      <c r="E57" s="104"/>
      <c r="F57" s="151"/>
      <c r="G57" s="151"/>
      <c r="H57" s="101"/>
      <c r="I57" s="7">
        <f t="shared" si="12"/>
        <v>0</v>
      </c>
      <c r="J57" s="101"/>
      <c r="K57" s="7">
        <f t="shared" si="13"/>
        <v>0</v>
      </c>
      <c r="L57" s="101"/>
      <c r="M57" s="7">
        <f t="shared" si="14"/>
        <v>0</v>
      </c>
      <c r="N57" s="101"/>
      <c r="O57" s="7">
        <f t="shared" si="15"/>
        <v>0</v>
      </c>
      <c r="P57" s="101"/>
      <c r="Q57" s="7">
        <f t="shared" si="0"/>
        <v>0</v>
      </c>
      <c r="R57" s="101"/>
      <c r="S57" s="7">
        <f t="shared" si="1"/>
        <v>0</v>
      </c>
      <c r="T57" s="101"/>
      <c r="U57" s="7">
        <f t="shared" si="2"/>
        <v>0</v>
      </c>
      <c r="V57" s="8">
        <f t="shared" si="16"/>
        <v>0</v>
      </c>
      <c r="W57" s="8" t="str">
        <f t="shared" si="8"/>
        <v/>
      </c>
      <c r="X57" s="8" t="str">
        <f t="shared" si="9"/>
        <v/>
      </c>
      <c r="Y57" s="8" t="str">
        <f t="shared" si="10"/>
        <v/>
      </c>
      <c r="Z57" s="8" t="str">
        <f t="shared" si="11"/>
        <v/>
      </c>
      <c r="AA57" s="152"/>
      <c r="AB57" s="152"/>
      <c r="AC57" s="181"/>
      <c r="AD57" s="2"/>
      <c r="AE57" s="2"/>
      <c r="AF57" s="2"/>
      <c r="AG57" s="2"/>
      <c r="AH57" s="2"/>
      <c r="AI57" s="2"/>
      <c r="AJ57" s="2"/>
      <c r="AK57" s="2"/>
      <c r="AL57" s="2"/>
      <c r="AM57" s="2"/>
      <c r="AN57" s="2"/>
      <c r="AO57" s="1"/>
      <c r="AP57" s="1"/>
      <c r="AQ57" s="1"/>
      <c r="AR57" s="1"/>
      <c r="AS57" s="1"/>
      <c r="AT57" s="1"/>
      <c r="AU57" s="1"/>
      <c r="AV57" s="1"/>
      <c r="AW57" s="1"/>
      <c r="AX57" s="1"/>
      <c r="AY57" s="1"/>
    </row>
    <row r="58" spans="1:51" ht="17.25" thickBot="1" x14ac:dyDescent="0.35">
      <c r="A58" s="146">
        <v>22</v>
      </c>
      <c r="B58" s="105"/>
      <c r="C58" s="102"/>
      <c r="D58" s="102"/>
      <c r="E58" s="102"/>
      <c r="F58" s="149">
        <f t="shared" ref="F58" si="43">SUM(M58:M63,O58:O63,Q58:Q63,S58:S63,I58:I63,K58:K63)</f>
        <v>2300</v>
      </c>
      <c r="G58" s="149">
        <f t="shared" ref="G58" si="44">SUM(M58:M63,O58:O63,Q58:Q63,S58:S63,U58:U63,K58:K63,I58:I63)</f>
        <v>2300</v>
      </c>
      <c r="H58" s="99"/>
      <c r="I58" s="40">
        <f t="shared" si="12"/>
        <v>0</v>
      </c>
      <c r="J58" s="99"/>
      <c r="K58" s="40">
        <f t="shared" si="13"/>
        <v>0</v>
      </c>
      <c r="L58" s="99"/>
      <c r="M58" s="40">
        <f t="shared" si="14"/>
        <v>0</v>
      </c>
      <c r="N58" s="99"/>
      <c r="O58" s="40">
        <f t="shared" si="15"/>
        <v>0</v>
      </c>
      <c r="P58" s="99"/>
      <c r="Q58" s="40">
        <f t="shared" si="0"/>
        <v>0</v>
      </c>
      <c r="R58" s="99"/>
      <c r="S58" s="40">
        <f t="shared" si="1"/>
        <v>0</v>
      </c>
      <c r="T58" s="99"/>
      <c r="U58" s="40">
        <f t="shared" si="2"/>
        <v>0</v>
      </c>
      <c r="V58" s="34">
        <f t="shared" si="16"/>
        <v>0</v>
      </c>
      <c r="W58" s="34" t="str">
        <f t="shared" si="8"/>
        <v/>
      </c>
      <c r="X58" s="34" t="str">
        <f t="shared" si="9"/>
        <v/>
      </c>
      <c r="Y58" s="34" t="str">
        <f t="shared" si="10"/>
        <v/>
      </c>
      <c r="Z58" s="34" t="str">
        <f t="shared" si="11"/>
        <v/>
      </c>
      <c r="AA58" s="152">
        <f>AVERAGE(W58:W63)</f>
        <v>38.333333333333336</v>
      </c>
      <c r="AB58" s="152">
        <f t="shared" ref="AB58" si="45">SUM(V58:V63)</f>
        <v>1.9965277777777779</v>
      </c>
      <c r="AC58" s="179"/>
      <c r="AD58" s="2"/>
      <c r="AE58" s="2"/>
      <c r="AF58" s="2"/>
      <c r="AG58" s="2"/>
      <c r="AH58" s="2"/>
      <c r="AI58" s="2"/>
      <c r="AJ58" s="2"/>
      <c r="AK58" s="2"/>
      <c r="AL58" s="2"/>
      <c r="AM58" s="2"/>
      <c r="AN58" s="2"/>
      <c r="AO58" s="1"/>
      <c r="AP58" s="1"/>
      <c r="AQ58" s="1"/>
      <c r="AR58" s="1"/>
      <c r="AS58" s="1"/>
      <c r="AT58" s="1"/>
      <c r="AU58" s="1"/>
      <c r="AV58" s="1"/>
      <c r="AW58" s="1"/>
      <c r="AX58" s="1"/>
      <c r="AY58" s="1"/>
    </row>
    <row r="59" spans="1:51" ht="17.25" thickBot="1" x14ac:dyDescent="0.35">
      <c r="A59" s="147"/>
      <c r="B59" s="97">
        <v>43613</v>
      </c>
      <c r="C59" s="103">
        <v>20</v>
      </c>
      <c r="D59" s="103"/>
      <c r="E59" s="103"/>
      <c r="F59" s="150"/>
      <c r="G59" s="150"/>
      <c r="H59" s="100">
        <v>148</v>
      </c>
      <c r="I59" s="7">
        <f t="shared" si="12"/>
        <v>740</v>
      </c>
      <c r="J59" s="100"/>
      <c r="K59" s="7">
        <f t="shared" si="13"/>
        <v>0</v>
      </c>
      <c r="L59" s="100"/>
      <c r="M59" s="7">
        <f t="shared" si="14"/>
        <v>0</v>
      </c>
      <c r="N59" s="100"/>
      <c r="O59" s="7">
        <f t="shared" si="15"/>
        <v>0</v>
      </c>
      <c r="P59" s="100"/>
      <c r="Q59" s="7">
        <f t="shared" si="0"/>
        <v>0</v>
      </c>
      <c r="R59" s="100"/>
      <c r="S59" s="7">
        <f t="shared" si="1"/>
        <v>0</v>
      </c>
      <c r="T59" s="100"/>
      <c r="U59" s="7">
        <f t="shared" si="2"/>
        <v>0</v>
      </c>
      <c r="V59" s="8">
        <f t="shared" si="16"/>
        <v>0.64236111111111116</v>
      </c>
      <c r="W59" s="8">
        <f t="shared" si="8"/>
        <v>37</v>
      </c>
      <c r="X59" s="8">
        <f t="shared" si="9"/>
        <v>37</v>
      </c>
      <c r="Y59" s="8" t="str">
        <f t="shared" si="10"/>
        <v/>
      </c>
      <c r="Z59" s="8" t="str">
        <f t="shared" si="11"/>
        <v/>
      </c>
      <c r="AA59" s="152"/>
      <c r="AB59" s="152"/>
      <c r="AC59" s="180"/>
      <c r="AD59" s="2"/>
      <c r="AE59" s="2"/>
      <c r="AF59" s="2"/>
      <c r="AG59" s="2"/>
      <c r="AH59" s="2"/>
      <c r="AI59" s="2"/>
      <c r="AJ59" s="2"/>
      <c r="AK59" s="2"/>
      <c r="AL59" s="2"/>
      <c r="AM59" s="2"/>
      <c r="AN59" s="2"/>
      <c r="AO59" s="1"/>
      <c r="AP59" s="1"/>
      <c r="AQ59" s="1"/>
      <c r="AR59" s="1"/>
      <c r="AS59" s="1"/>
      <c r="AT59" s="1"/>
      <c r="AU59" s="1"/>
      <c r="AV59" s="1"/>
      <c r="AW59" s="1"/>
      <c r="AX59" s="1"/>
      <c r="AY59" s="1"/>
    </row>
    <row r="60" spans="1:51" ht="17.25" thickBot="1" x14ac:dyDescent="0.35">
      <c r="A60" s="147"/>
      <c r="B60" s="97">
        <v>43614</v>
      </c>
      <c r="C60" s="103">
        <v>20</v>
      </c>
      <c r="D60" s="103"/>
      <c r="E60" s="103"/>
      <c r="F60" s="150"/>
      <c r="G60" s="150"/>
      <c r="H60" s="100">
        <v>175</v>
      </c>
      <c r="I60" s="7">
        <f t="shared" si="12"/>
        <v>875</v>
      </c>
      <c r="J60" s="100"/>
      <c r="K60" s="7">
        <f t="shared" si="13"/>
        <v>0</v>
      </c>
      <c r="L60" s="100"/>
      <c r="M60" s="7">
        <f t="shared" si="14"/>
        <v>0</v>
      </c>
      <c r="N60" s="100"/>
      <c r="O60" s="7">
        <f t="shared" si="15"/>
        <v>0</v>
      </c>
      <c r="P60" s="100"/>
      <c r="Q60" s="7">
        <f t="shared" si="0"/>
        <v>0</v>
      </c>
      <c r="R60" s="100"/>
      <c r="S60" s="7">
        <f t="shared" si="1"/>
        <v>0</v>
      </c>
      <c r="T60" s="100"/>
      <c r="U60" s="7">
        <f t="shared" si="2"/>
        <v>0</v>
      </c>
      <c r="V60" s="8">
        <f t="shared" si="16"/>
        <v>0.75954861111111116</v>
      </c>
      <c r="W60" s="8">
        <f t="shared" si="8"/>
        <v>43.75</v>
      </c>
      <c r="X60" s="8">
        <f t="shared" si="9"/>
        <v>43.75</v>
      </c>
      <c r="Y60" s="8" t="str">
        <f t="shared" si="10"/>
        <v/>
      </c>
      <c r="Z60" s="8" t="str">
        <f t="shared" si="11"/>
        <v/>
      </c>
      <c r="AA60" s="152"/>
      <c r="AB60" s="152"/>
      <c r="AC60" s="180"/>
      <c r="AD60" s="2"/>
      <c r="AE60" s="2"/>
      <c r="AF60" s="2"/>
      <c r="AG60" s="2"/>
      <c r="AH60" s="2"/>
      <c r="AI60" s="2"/>
      <c r="AJ60" s="2"/>
      <c r="AK60" s="2"/>
      <c r="AL60" s="2"/>
      <c r="AM60" s="2"/>
      <c r="AN60" s="2"/>
      <c r="AO60" s="1"/>
      <c r="AP60" s="1"/>
      <c r="AQ60" s="1"/>
      <c r="AR60" s="1"/>
      <c r="AS60" s="1"/>
      <c r="AT60" s="1"/>
      <c r="AU60" s="1"/>
      <c r="AV60" s="1"/>
      <c r="AW60" s="1"/>
      <c r="AX60" s="1"/>
      <c r="AY60" s="1"/>
    </row>
    <row r="61" spans="1:51" ht="17.25" thickBot="1" x14ac:dyDescent="0.35">
      <c r="A61" s="147"/>
      <c r="B61" s="97">
        <v>43615</v>
      </c>
      <c r="C61" s="103">
        <v>20</v>
      </c>
      <c r="D61" s="103"/>
      <c r="E61" s="103"/>
      <c r="F61" s="150"/>
      <c r="G61" s="150"/>
      <c r="H61" s="100">
        <v>137</v>
      </c>
      <c r="I61" s="7">
        <f t="shared" si="12"/>
        <v>685</v>
      </c>
      <c r="J61" s="100"/>
      <c r="K61" s="7">
        <f t="shared" si="13"/>
        <v>0</v>
      </c>
      <c r="L61" s="100"/>
      <c r="M61" s="7">
        <f t="shared" si="14"/>
        <v>0</v>
      </c>
      <c r="N61" s="100"/>
      <c r="O61" s="7">
        <f t="shared" si="15"/>
        <v>0</v>
      </c>
      <c r="P61" s="100"/>
      <c r="Q61" s="7">
        <f t="shared" si="0"/>
        <v>0</v>
      </c>
      <c r="R61" s="100"/>
      <c r="S61" s="7">
        <f t="shared" si="1"/>
        <v>0</v>
      </c>
      <c r="T61" s="100"/>
      <c r="U61" s="7">
        <f t="shared" si="2"/>
        <v>0</v>
      </c>
      <c r="V61" s="8">
        <f t="shared" si="16"/>
        <v>0.59461805555555558</v>
      </c>
      <c r="W61" s="8">
        <f t="shared" si="8"/>
        <v>34.25</v>
      </c>
      <c r="X61" s="8">
        <f t="shared" si="9"/>
        <v>34.25</v>
      </c>
      <c r="Y61" s="8" t="str">
        <f t="shared" si="10"/>
        <v/>
      </c>
      <c r="Z61" s="8" t="str">
        <f t="shared" si="11"/>
        <v/>
      </c>
      <c r="AA61" s="152"/>
      <c r="AB61" s="152"/>
      <c r="AC61" s="180"/>
      <c r="AD61" s="2"/>
      <c r="AE61" s="2"/>
      <c r="AF61" s="2"/>
      <c r="AG61" s="2"/>
      <c r="AH61" s="2"/>
      <c r="AI61" s="2"/>
      <c r="AJ61" s="2"/>
      <c r="AK61" s="2"/>
      <c r="AL61" s="2"/>
      <c r="AM61" s="2"/>
      <c r="AN61" s="2"/>
      <c r="AO61" s="1"/>
      <c r="AP61" s="1"/>
      <c r="AQ61" s="1"/>
      <c r="AR61" s="1"/>
      <c r="AS61" s="1"/>
      <c r="AT61" s="1"/>
      <c r="AU61" s="1"/>
      <c r="AV61" s="1"/>
      <c r="AW61" s="1"/>
      <c r="AX61" s="1"/>
      <c r="AY61" s="1"/>
    </row>
    <row r="62" spans="1:51" ht="17.25" thickBot="1" x14ac:dyDescent="0.35">
      <c r="A62" s="147"/>
      <c r="B62" s="97"/>
      <c r="C62" s="103"/>
      <c r="D62" s="103"/>
      <c r="E62" s="103"/>
      <c r="F62" s="150"/>
      <c r="G62" s="150"/>
      <c r="H62" s="100"/>
      <c r="I62" s="7">
        <f t="shared" si="12"/>
        <v>0</v>
      </c>
      <c r="J62" s="100"/>
      <c r="K62" s="7">
        <f t="shared" si="13"/>
        <v>0</v>
      </c>
      <c r="L62" s="100"/>
      <c r="M62" s="7">
        <f t="shared" si="14"/>
        <v>0</v>
      </c>
      <c r="N62" s="100"/>
      <c r="O62" s="7">
        <f t="shared" si="15"/>
        <v>0</v>
      </c>
      <c r="P62" s="100"/>
      <c r="Q62" s="7">
        <f t="shared" si="0"/>
        <v>0</v>
      </c>
      <c r="R62" s="100"/>
      <c r="S62" s="7">
        <f t="shared" si="1"/>
        <v>0</v>
      </c>
      <c r="T62" s="100"/>
      <c r="U62" s="7">
        <f t="shared" si="2"/>
        <v>0</v>
      </c>
      <c r="V62" s="8">
        <f t="shared" si="16"/>
        <v>0</v>
      </c>
      <c r="W62" s="8" t="str">
        <f t="shared" si="8"/>
        <v/>
      </c>
      <c r="X62" s="8" t="str">
        <f t="shared" si="9"/>
        <v/>
      </c>
      <c r="Y62" s="8" t="str">
        <f t="shared" si="10"/>
        <v/>
      </c>
      <c r="Z62" s="8" t="str">
        <f t="shared" si="11"/>
        <v/>
      </c>
      <c r="AA62" s="152"/>
      <c r="AB62" s="152"/>
      <c r="AC62" s="180"/>
      <c r="AD62" s="2"/>
      <c r="AE62" s="2"/>
      <c r="AF62" s="2"/>
      <c r="AG62" s="2"/>
      <c r="AH62" s="2"/>
      <c r="AI62" s="2"/>
      <c r="AJ62" s="2"/>
      <c r="AK62" s="2"/>
      <c r="AL62" s="2"/>
      <c r="AM62" s="2"/>
      <c r="AN62" s="2"/>
      <c r="AO62" s="1"/>
      <c r="AP62" s="1"/>
      <c r="AQ62" s="1"/>
      <c r="AR62" s="1"/>
      <c r="AS62" s="1"/>
      <c r="AT62" s="1"/>
      <c r="AU62" s="1"/>
      <c r="AV62" s="1"/>
      <c r="AW62" s="1"/>
      <c r="AX62" s="1"/>
      <c r="AY62" s="1"/>
    </row>
    <row r="63" spans="1:51" ht="17.25" thickBot="1" x14ac:dyDescent="0.35">
      <c r="A63" s="148"/>
      <c r="B63" s="98"/>
      <c r="C63" s="104"/>
      <c r="D63" s="104"/>
      <c r="E63" s="104"/>
      <c r="F63" s="151"/>
      <c r="G63" s="151"/>
      <c r="H63" s="101"/>
      <c r="I63" s="39">
        <f t="shared" si="12"/>
        <v>0</v>
      </c>
      <c r="J63" s="101"/>
      <c r="K63" s="39">
        <f t="shared" si="13"/>
        <v>0</v>
      </c>
      <c r="L63" s="101"/>
      <c r="M63" s="39">
        <f t="shared" si="14"/>
        <v>0</v>
      </c>
      <c r="N63" s="101"/>
      <c r="O63" s="39">
        <f t="shared" si="15"/>
        <v>0</v>
      </c>
      <c r="P63" s="101"/>
      <c r="Q63" s="39">
        <f t="shared" si="0"/>
        <v>0</v>
      </c>
      <c r="R63" s="101"/>
      <c r="S63" s="39">
        <f t="shared" si="1"/>
        <v>0</v>
      </c>
      <c r="T63" s="101"/>
      <c r="U63" s="39">
        <f t="shared" si="2"/>
        <v>0</v>
      </c>
      <c r="V63" s="36">
        <f t="shared" si="16"/>
        <v>0</v>
      </c>
      <c r="W63" s="36" t="str">
        <f t="shared" si="8"/>
        <v/>
      </c>
      <c r="X63" s="36" t="str">
        <f t="shared" si="9"/>
        <v/>
      </c>
      <c r="Y63" s="36" t="str">
        <f t="shared" si="10"/>
        <v/>
      </c>
      <c r="Z63" s="36" t="str">
        <f t="shared" si="11"/>
        <v/>
      </c>
      <c r="AA63" s="152"/>
      <c r="AB63" s="152"/>
      <c r="AC63" s="181"/>
      <c r="AD63" s="2"/>
      <c r="AE63" s="2"/>
      <c r="AF63" s="2"/>
      <c r="AG63" s="2"/>
      <c r="AH63" s="2"/>
      <c r="AI63" s="2"/>
      <c r="AJ63" s="2"/>
      <c r="AK63" s="2"/>
      <c r="AL63" s="2"/>
      <c r="AM63" s="2"/>
      <c r="AN63" s="2"/>
      <c r="AO63" s="1"/>
      <c r="AP63" s="1"/>
      <c r="AQ63" s="1"/>
      <c r="AR63" s="1"/>
      <c r="AS63" s="1"/>
      <c r="AT63" s="1"/>
      <c r="AU63" s="1"/>
      <c r="AV63" s="1"/>
      <c r="AW63" s="1"/>
      <c r="AX63" s="1"/>
      <c r="AY63" s="1"/>
    </row>
    <row r="64" spans="1:51" ht="17.25" thickBot="1" x14ac:dyDescent="0.35">
      <c r="A64" s="147">
        <v>23</v>
      </c>
      <c r="B64" s="105"/>
      <c r="C64" s="102"/>
      <c r="D64" s="102"/>
      <c r="E64" s="102"/>
      <c r="F64" s="149">
        <f t="shared" ref="F64" si="46">SUM(M64:M69,O64:O69,Q64:Q69,S64:S69,I64:I69,K64:K69)</f>
        <v>1240</v>
      </c>
      <c r="G64" s="149">
        <f t="shared" ref="G64" si="47">SUM(M64:M69,O64:O69,Q64:Q69,S64:S69,U64:U69,K64:K69,I64:I69)</f>
        <v>1240</v>
      </c>
      <c r="H64" s="99"/>
      <c r="I64" s="7">
        <f t="shared" si="12"/>
        <v>0</v>
      </c>
      <c r="J64" s="99"/>
      <c r="K64" s="7">
        <f t="shared" si="13"/>
        <v>0</v>
      </c>
      <c r="L64" s="99"/>
      <c r="M64" s="7">
        <f t="shared" si="14"/>
        <v>0</v>
      </c>
      <c r="N64" s="99"/>
      <c r="O64" s="7">
        <f t="shared" si="15"/>
        <v>0</v>
      </c>
      <c r="P64" s="99"/>
      <c r="Q64" s="7">
        <f t="shared" si="0"/>
        <v>0</v>
      </c>
      <c r="R64" s="99"/>
      <c r="S64" s="7">
        <f t="shared" si="1"/>
        <v>0</v>
      </c>
      <c r="T64" s="99"/>
      <c r="U64" s="7">
        <f t="shared" si="2"/>
        <v>0</v>
      </c>
      <c r="V64" s="8">
        <f t="shared" si="16"/>
        <v>0</v>
      </c>
      <c r="W64" s="8" t="str">
        <f t="shared" si="8"/>
        <v/>
      </c>
      <c r="X64" s="8" t="str">
        <f t="shared" si="9"/>
        <v/>
      </c>
      <c r="Y64" s="8" t="str">
        <f t="shared" si="10"/>
        <v/>
      </c>
      <c r="Z64" s="8" t="str">
        <f t="shared" si="11"/>
        <v/>
      </c>
      <c r="AA64" s="152">
        <f t="shared" ref="AA64" si="48">AVERAGE(W64:W69)</f>
        <v>34.34375</v>
      </c>
      <c r="AB64" s="152">
        <f t="shared" ref="AB64" si="49">SUM(V64:V69)</f>
        <v>1.0763888888888888</v>
      </c>
      <c r="AC64" s="179"/>
      <c r="AD64" s="2"/>
      <c r="AE64" s="2"/>
      <c r="AF64" s="2"/>
      <c r="AG64" s="2"/>
      <c r="AH64" s="2"/>
      <c r="AI64" s="2"/>
      <c r="AJ64" s="2"/>
      <c r="AK64" s="2"/>
      <c r="AL64" s="2"/>
      <c r="AM64" s="2"/>
      <c r="AN64" s="2"/>
      <c r="AO64" s="1"/>
      <c r="AP64" s="1"/>
      <c r="AQ64" s="1"/>
      <c r="AR64" s="1"/>
      <c r="AS64" s="1"/>
      <c r="AT64" s="1"/>
      <c r="AU64" s="1"/>
      <c r="AV64" s="1"/>
      <c r="AW64" s="1"/>
      <c r="AX64" s="1"/>
      <c r="AY64" s="1"/>
    </row>
    <row r="65" spans="1:51" ht="17.25" thickBot="1" x14ac:dyDescent="0.35">
      <c r="A65" s="147"/>
      <c r="B65" s="97"/>
      <c r="C65" s="103"/>
      <c r="D65" s="103"/>
      <c r="E65" s="103"/>
      <c r="F65" s="150"/>
      <c r="G65" s="150"/>
      <c r="H65" s="100"/>
      <c r="I65" s="7">
        <f t="shared" si="12"/>
        <v>0</v>
      </c>
      <c r="J65" s="100"/>
      <c r="K65" s="7">
        <f t="shared" si="13"/>
        <v>0</v>
      </c>
      <c r="L65" s="100"/>
      <c r="M65" s="7">
        <f t="shared" si="14"/>
        <v>0</v>
      </c>
      <c r="N65" s="100"/>
      <c r="O65" s="7">
        <f t="shared" si="15"/>
        <v>0</v>
      </c>
      <c r="P65" s="100"/>
      <c r="Q65" s="7">
        <f t="shared" si="0"/>
        <v>0</v>
      </c>
      <c r="R65" s="100"/>
      <c r="S65" s="7">
        <f t="shared" si="1"/>
        <v>0</v>
      </c>
      <c r="T65" s="100"/>
      <c r="U65" s="7">
        <f t="shared" si="2"/>
        <v>0</v>
      </c>
      <c r="V65" s="8">
        <f t="shared" si="16"/>
        <v>0</v>
      </c>
      <c r="W65" s="8" t="str">
        <f t="shared" si="8"/>
        <v/>
      </c>
      <c r="X65" s="8" t="str">
        <f t="shared" si="9"/>
        <v/>
      </c>
      <c r="Y65" s="8" t="str">
        <f t="shared" si="10"/>
        <v/>
      </c>
      <c r="Z65" s="8" t="str">
        <f t="shared" si="11"/>
        <v/>
      </c>
      <c r="AA65" s="152"/>
      <c r="AB65" s="152"/>
      <c r="AC65" s="180"/>
      <c r="AD65" s="2"/>
      <c r="AE65" s="2"/>
      <c r="AF65" s="2"/>
      <c r="AG65" s="2"/>
      <c r="AH65" s="2"/>
      <c r="AI65" s="2"/>
      <c r="AJ65" s="2"/>
      <c r="AK65" s="2"/>
      <c r="AL65" s="2"/>
      <c r="AM65" s="2"/>
      <c r="AN65" s="2"/>
      <c r="AO65" s="1"/>
      <c r="AP65" s="1"/>
      <c r="AQ65" s="1"/>
      <c r="AR65" s="1"/>
      <c r="AS65" s="1"/>
      <c r="AT65" s="1"/>
      <c r="AU65" s="1"/>
      <c r="AV65" s="1"/>
      <c r="AW65" s="1"/>
      <c r="AX65" s="1"/>
      <c r="AY65" s="1"/>
    </row>
    <row r="66" spans="1:51" ht="17.25" thickBot="1" x14ac:dyDescent="0.35">
      <c r="A66" s="147"/>
      <c r="B66" s="97">
        <v>43621</v>
      </c>
      <c r="C66" s="103">
        <v>20</v>
      </c>
      <c r="D66" s="103"/>
      <c r="E66" s="103"/>
      <c r="F66" s="150"/>
      <c r="G66" s="150"/>
      <c r="H66" s="100">
        <v>141</v>
      </c>
      <c r="I66" s="7">
        <f t="shared" si="12"/>
        <v>705</v>
      </c>
      <c r="J66" s="100"/>
      <c r="K66" s="7">
        <f t="shared" si="13"/>
        <v>0</v>
      </c>
      <c r="L66" s="100"/>
      <c r="M66" s="7">
        <f t="shared" si="14"/>
        <v>0</v>
      </c>
      <c r="N66" s="100"/>
      <c r="O66" s="7">
        <f t="shared" si="15"/>
        <v>0</v>
      </c>
      <c r="P66" s="100"/>
      <c r="Q66" s="7">
        <f t="shared" si="0"/>
        <v>0</v>
      </c>
      <c r="R66" s="100"/>
      <c r="S66" s="7">
        <f t="shared" si="1"/>
        <v>0</v>
      </c>
      <c r="T66" s="100"/>
      <c r="U66" s="7">
        <f t="shared" si="2"/>
        <v>0</v>
      </c>
      <c r="V66" s="8">
        <f t="shared" si="16"/>
        <v>0.61197916666666663</v>
      </c>
      <c r="W66" s="8">
        <f t="shared" si="8"/>
        <v>35.25</v>
      </c>
      <c r="X66" s="8">
        <f t="shared" si="9"/>
        <v>35.25</v>
      </c>
      <c r="Y66" s="8" t="str">
        <f t="shared" si="10"/>
        <v/>
      </c>
      <c r="Z66" s="8" t="str">
        <f t="shared" si="11"/>
        <v/>
      </c>
      <c r="AA66" s="152"/>
      <c r="AB66" s="152"/>
      <c r="AC66" s="180"/>
      <c r="AD66" s="2"/>
      <c r="AE66" s="2"/>
      <c r="AF66" s="2"/>
      <c r="AG66" s="2"/>
      <c r="AH66" s="2"/>
      <c r="AI66" s="2"/>
      <c r="AJ66" s="2"/>
      <c r="AK66" s="2"/>
      <c r="AL66" s="2"/>
      <c r="AM66" s="2"/>
      <c r="AN66" s="2"/>
      <c r="AO66" s="1"/>
      <c r="AP66" s="1"/>
      <c r="AQ66" s="1"/>
      <c r="AR66" s="1"/>
      <c r="AS66" s="1"/>
      <c r="AT66" s="1"/>
      <c r="AU66" s="1"/>
      <c r="AV66" s="1"/>
      <c r="AW66" s="1"/>
      <c r="AX66" s="1"/>
      <c r="AY66" s="1"/>
    </row>
    <row r="67" spans="1:51" ht="17.25" thickBot="1" x14ac:dyDescent="0.35">
      <c r="A67" s="147"/>
      <c r="B67" s="97">
        <v>43622</v>
      </c>
      <c r="C67" s="103">
        <v>16</v>
      </c>
      <c r="D67" s="103"/>
      <c r="E67" s="103"/>
      <c r="F67" s="150"/>
      <c r="G67" s="150"/>
      <c r="H67" s="100">
        <v>107</v>
      </c>
      <c r="I67" s="7">
        <f t="shared" si="12"/>
        <v>535</v>
      </c>
      <c r="J67" s="100"/>
      <c r="K67" s="7">
        <f t="shared" si="13"/>
        <v>0</v>
      </c>
      <c r="L67" s="100"/>
      <c r="M67" s="7">
        <f t="shared" si="14"/>
        <v>0</v>
      </c>
      <c r="N67" s="100"/>
      <c r="O67" s="7">
        <f t="shared" si="15"/>
        <v>0</v>
      </c>
      <c r="P67" s="100"/>
      <c r="Q67" s="7">
        <f t="shared" si="0"/>
        <v>0</v>
      </c>
      <c r="R67" s="100"/>
      <c r="S67" s="7">
        <f t="shared" si="1"/>
        <v>0</v>
      </c>
      <c r="T67" s="100"/>
      <c r="U67" s="7">
        <f t="shared" si="2"/>
        <v>0</v>
      </c>
      <c r="V67" s="8">
        <f t="shared" si="16"/>
        <v>0.46440972222222221</v>
      </c>
      <c r="W67" s="8">
        <f t="shared" si="8"/>
        <v>33.4375</v>
      </c>
      <c r="X67" s="8">
        <f t="shared" si="9"/>
        <v>33.4375</v>
      </c>
      <c r="Y67" s="8" t="str">
        <f t="shared" si="10"/>
        <v/>
      </c>
      <c r="Z67" s="8" t="str">
        <f t="shared" si="11"/>
        <v/>
      </c>
      <c r="AA67" s="152"/>
      <c r="AB67" s="152"/>
      <c r="AC67" s="180"/>
      <c r="AD67" s="2"/>
      <c r="AE67" s="2"/>
      <c r="AF67" s="2"/>
      <c r="AG67" s="2"/>
      <c r="AH67" s="2"/>
      <c r="AI67" s="2"/>
      <c r="AJ67" s="2"/>
      <c r="AK67" s="2"/>
      <c r="AL67" s="2"/>
      <c r="AM67" s="2"/>
      <c r="AN67" s="2"/>
      <c r="AO67" s="1"/>
      <c r="AP67" s="1"/>
      <c r="AQ67" s="1"/>
      <c r="AR67" s="1"/>
      <c r="AS67" s="1"/>
      <c r="AT67" s="1"/>
      <c r="AU67" s="1"/>
      <c r="AV67" s="1"/>
      <c r="AW67" s="1"/>
      <c r="AX67" s="1"/>
      <c r="AY67" s="1"/>
    </row>
    <row r="68" spans="1:51" ht="17.25" thickBot="1" x14ac:dyDescent="0.35">
      <c r="A68" s="147"/>
      <c r="B68" s="97"/>
      <c r="C68" s="103"/>
      <c r="D68" s="103"/>
      <c r="E68" s="103"/>
      <c r="F68" s="150"/>
      <c r="G68" s="150"/>
      <c r="H68" s="100"/>
      <c r="I68" s="7">
        <f t="shared" si="12"/>
        <v>0</v>
      </c>
      <c r="J68" s="100"/>
      <c r="K68" s="7">
        <f t="shared" si="13"/>
        <v>0</v>
      </c>
      <c r="L68" s="100"/>
      <c r="M68" s="7">
        <f t="shared" si="14"/>
        <v>0</v>
      </c>
      <c r="N68" s="100"/>
      <c r="O68" s="7">
        <f t="shared" si="15"/>
        <v>0</v>
      </c>
      <c r="P68" s="100"/>
      <c r="Q68" s="7">
        <f t="shared" ref="Q68:Q131" si="50">P68*P$3</f>
        <v>0</v>
      </c>
      <c r="R68" s="100"/>
      <c r="S68" s="7">
        <f t="shared" ref="S68:S131" si="51">R68*R$3</f>
        <v>0</v>
      </c>
      <c r="T68" s="100"/>
      <c r="U68" s="7">
        <f t="shared" ref="U68:U131" si="52">T68*T$3</f>
        <v>0</v>
      </c>
      <c r="V68" s="8">
        <f t="shared" si="16"/>
        <v>0</v>
      </c>
      <c r="W68" s="8" t="str">
        <f t="shared" si="8"/>
        <v/>
      </c>
      <c r="X68" s="8" t="str">
        <f t="shared" si="9"/>
        <v/>
      </c>
      <c r="Y68" s="8" t="str">
        <f t="shared" si="10"/>
        <v/>
      </c>
      <c r="Z68" s="8" t="str">
        <f t="shared" si="11"/>
        <v/>
      </c>
      <c r="AA68" s="152"/>
      <c r="AB68" s="152"/>
      <c r="AC68" s="180"/>
      <c r="AD68" s="2"/>
      <c r="AE68" s="2"/>
      <c r="AF68" s="2"/>
      <c r="AG68" s="2"/>
      <c r="AH68" s="2"/>
      <c r="AI68" s="2"/>
      <c r="AJ68" s="2"/>
      <c r="AK68" s="2"/>
      <c r="AL68" s="2"/>
      <c r="AM68" s="2"/>
      <c r="AN68" s="2"/>
      <c r="AO68" s="1"/>
      <c r="AP68" s="1"/>
      <c r="AQ68" s="1"/>
      <c r="AR68" s="1"/>
      <c r="AS68" s="1"/>
      <c r="AT68" s="1"/>
      <c r="AU68" s="1"/>
      <c r="AV68" s="1"/>
      <c r="AW68" s="1"/>
      <c r="AX68" s="1"/>
      <c r="AY68" s="1"/>
    </row>
    <row r="69" spans="1:51" ht="17.25" thickBot="1" x14ac:dyDescent="0.35">
      <c r="A69" s="148"/>
      <c r="B69" s="98"/>
      <c r="C69" s="104"/>
      <c r="D69" s="104"/>
      <c r="E69" s="104"/>
      <c r="F69" s="151"/>
      <c r="G69" s="151"/>
      <c r="H69" s="101"/>
      <c r="I69" s="39">
        <f t="shared" si="12"/>
        <v>0</v>
      </c>
      <c r="J69" s="101"/>
      <c r="K69" s="39">
        <f t="shared" si="13"/>
        <v>0</v>
      </c>
      <c r="L69" s="101"/>
      <c r="M69" s="39">
        <f t="shared" si="14"/>
        <v>0</v>
      </c>
      <c r="N69" s="101"/>
      <c r="O69" s="39">
        <f t="shared" si="15"/>
        <v>0</v>
      </c>
      <c r="P69" s="101"/>
      <c r="Q69" s="39">
        <f t="shared" si="50"/>
        <v>0</v>
      </c>
      <c r="R69" s="101"/>
      <c r="S69" s="39">
        <f t="shared" si="51"/>
        <v>0</v>
      </c>
      <c r="T69" s="101"/>
      <c r="U69" s="39">
        <f t="shared" si="52"/>
        <v>0</v>
      </c>
      <c r="V69" s="36">
        <f t="shared" si="16"/>
        <v>0</v>
      </c>
      <c r="W69" s="36" t="str">
        <f t="shared" ref="W69:W132" si="53">IF(C69+D69+E69=0,"",(M69+O69+Q69+S69+U69+I69+K69)/(C69+D69+E69))</f>
        <v/>
      </c>
      <c r="X69" s="36" t="str">
        <f t="shared" ref="X69:X132" si="54">IF(C69=0,"",(S69+U69+I69)/C69)</f>
        <v/>
      </c>
      <c r="Y69" s="36" t="str">
        <f t="shared" ref="Y69:Y132" si="55">IF(D69=0,"",(K69+M69+O69)/D69)</f>
        <v/>
      </c>
      <c r="Z69" s="36" t="str">
        <f t="shared" ref="Z69:Z132" si="56">IF(E69=0,"",Q69/E69)</f>
        <v/>
      </c>
      <c r="AA69" s="152"/>
      <c r="AB69" s="152"/>
      <c r="AC69" s="181"/>
      <c r="AD69" s="2"/>
      <c r="AE69" s="2"/>
      <c r="AF69" s="2"/>
      <c r="AG69" s="2"/>
      <c r="AH69" s="2"/>
      <c r="AI69" s="2"/>
      <c r="AJ69" s="2"/>
      <c r="AK69" s="2"/>
      <c r="AL69" s="2"/>
      <c r="AM69" s="2"/>
      <c r="AN69" s="2"/>
      <c r="AO69" s="1"/>
      <c r="AP69" s="1"/>
      <c r="AQ69" s="1"/>
      <c r="AR69" s="1"/>
      <c r="AS69" s="1"/>
      <c r="AT69" s="1"/>
      <c r="AU69" s="1"/>
      <c r="AV69" s="1"/>
      <c r="AW69" s="1"/>
      <c r="AX69" s="1"/>
      <c r="AY69" s="1"/>
    </row>
    <row r="70" spans="1:51" ht="17.25" thickBot="1" x14ac:dyDescent="0.35">
      <c r="A70" s="147">
        <v>24</v>
      </c>
      <c r="B70" s="105"/>
      <c r="C70" s="102"/>
      <c r="D70" s="102"/>
      <c r="E70" s="102"/>
      <c r="F70" s="149">
        <f t="shared" ref="F70" si="57">SUM(M70:M75,O70:O75,Q70:Q75,S70:S75,I70:I75,K70:K75)</f>
        <v>570</v>
      </c>
      <c r="G70" s="149">
        <f t="shared" ref="G70" si="58">SUM(M70:M75,O70:O75,Q70:Q75,S70:S75,U70:U75,K70:K75,I70:I75)</f>
        <v>570</v>
      </c>
      <c r="H70" s="99"/>
      <c r="I70" s="7">
        <f t="shared" si="12"/>
        <v>0</v>
      </c>
      <c r="J70" s="99"/>
      <c r="K70" s="7">
        <f t="shared" si="13"/>
        <v>0</v>
      </c>
      <c r="L70" s="99"/>
      <c r="M70" s="7">
        <f t="shared" si="14"/>
        <v>0</v>
      </c>
      <c r="N70" s="99"/>
      <c r="O70" s="7">
        <f t="shared" si="15"/>
        <v>0</v>
      </c>
      <c r="P70" s="99"/>
      <c r="Q70" s="7">
        <f t="shared" si="50"/>
        <v>0</v>
      </c>
      <c r="R70" s="99"/>
      <c r="S70" s="7">
        <f t="shared" si="51"/>
        <v>0</v>
      </c>
      <c r="T70" s="99"/>
      <c r="U70" s="7">
        <f t="shared" si="52"/>
        <v>0</v>
      </c>
      <c r="V70" s="8">
        <f t="shared" si="16"/>
        <v>0</v>
      </c>
      <c r="W70" s="8" t="str">
        <f t="shared" si="53"/>
        <v/>
      </c>
      <c r="X70" s="8" t="str">
        <f t="shared" si="54"/>
        <v/>
      </c>
      <c r="Y70" s="8" t="str">
        <f t="shared" si="55"/>
        <v/>
      </c>
      <c r="Z70" s="8" t="str">
        <f t="shared" si="56"/>
        <v/>
      </c>
      <c r="AA70" s="152">
        <f t="shared" ref="AA70" si="59">AVERAGE(W70:W75)</f>
        <v>28.5</v>
      </c>
      <c r="AB70" s="152">
        <f t="shared" ref="AB70" si="60">SUM(V70:V75)</f>
        <v>0.49479166666666669</v>
      </c>
      <c r="AC70" s="179"/>
      <c r="AD70" s="2"/>
      <c r="AE70" s="2"/>
      <c r="AF70" s="2"/>
      <c r="AG70" s="2"/>
      <c r="AH70" s="2"/>
      <c r="AI70" s="2"/>
      <c r="AJ70" s="2"/>
      <c r="AK70" s="2"/>
      <c r="AL70" s="2"/>
      <c r="AM70" s="2"/>
      <c r="AN70" s="2"/>
      <c r="AO70" s="1"/>
      <c r="AP70" s="1"/>
      <c r="AQ70" s="1"/>
      <c r="AR70" s="1"/>
      <c r="AS70" s="1"/>
      <c r="AT70" s="1"/>
      <c r="AU70" s="1"/>
      <c r="AV70" s="1"/>
      <c r="AW70" s="1"/>
      <c r="AX70" s="1"/>
      <c r="AY70" s="1"/>
    </row>
    <row r="71" spans="1:51" ht="17.25" thickBot="1" x14ac:dyDescent="0.35">
      <c r="A71" s="147"/>
      <c r="B71" s="97"/>
      <c r="C71" s="103"/>
      <c r="D71" s="103"/>
      <c r="E71" s="103"/>
      <c r="F71" s="150"/>
      <c r="G71" s="150"/>
      <c r="H71" s="100"/>
      <c r="I71" s="7">
        <f t="shared" si="12"/>
        <v>0</v>
      </c>
      <c r="J71" s="100"/>
      <c r="K71" s="7">
        <f t="shared" si="13"/>
        <v>0</v>
      </c>
      <c r="L71" s="100"/>
      <c r="M71" s="7">
        <f t="shared" si="14"/>
        <v>0</v>
      </c>
      <c r="N71" s="100"/>
      <c r="O71" s="7">
        <f t="shared" si="15"/>
        <v>0</v>
      </c>
      <c r="P71" s="100"/>
      <c r="Q71" s="7">
        <f t="shared" si="50"/>
        <v>0</v>
      </c>
      <c r="R71" s="100"/>
      <c r="S71" s="7">
        <f t="shared" si="51"/>
        <v>0</v>
      </c>
      <c r="T71" s="100"/>
      <c r="U71" s="7">
        <f t="shared" si="52"/>
        <v>0</v>
      </c>
      <c r="V71" s="8">
        <f t="shared" si="16"/>
        <v>0</v>
      </c>
      <c r="W71" s="8" t="str">
        <f t="shared" si="53"/>
        <v/>
      </c>
      <c r="X71" s="8" t="str">
        <f t="shared" si="54"/>
        <v/>
      </c>
      <c r="Y71" s="8" t="str">
        <f t="shared" si="55"/>
        <v/>
      </c>
      <c r="Z71" s="8" t="str">
        <f t="shared" si="56"/>
        <v/>
      </c>
      <c r="AA71" s="152"/>
      <c r="AB71" s="152"/>
      <c r="AC71" s="180"/>
      <c r="AD71" s="2"/>
      <c r="AE71" s="2"/>
      <c r="AF71" s="2"/>
      <c r="AG71" s="2"/>
      <c r="AH71" s="2"/>
      <c r="AI71" s="2"/>
      <c r="AJ71" s="2"/>
      <c r="AK71" s="2"/>
      <c r="AL71" s="2"/>
      <c r="AM71" s="2"/>
      <c r="AN71" s="2"/>
      <c r="AO71" s="1"/>
      <c r="AP71" s="1"/>
      <c r="AQ71" s="1"/>
      <c r="AR71" s="1"/>
      <c r="AS71" s="1"/>
      <c r="AT71" s="1"/>
      <c r="AU71" s="1"/>
      <c r="AV71" s="1"/>
      <c r="AW71" s="1"/>
      <c r="AX71" s="1"/>
      <c r="AY71" s="1"/>
    </row>
    <row r="72" spans="1:51" ht="17.25" thickBot="1" x14ac:dyDescent="0.35">
      <c r="A72" s="147"/>
      <c r="B72" s="97"/>
      <c r="C72" s="103"/>
      <c r="D72" s="103"/>
      <c r="E72" s="103"/>
      <c r="F72" s="150"/>
      <c r="G72" s="150"/>
      <c r="H72" s="100"/>
      <c r="I72" s="7">
        <f t="shared" si="12"/>
        <v>0</v>
      </c>
      <c r="J72" s="100"/>
      <c r="K72" s="7">
        <f t="shared" si="13"/>
        <v>0</v>
      </c>
      <c r="L72" s="100"/>
      <c r="M72" s="7">
        <f t="shared" si="14"/>
        <v>0</v>
      </c>
      <c r="N72" s="100"/>
      <c r="O72" s="7">
        <f t="shared" si="15"/>
        <v>0</v>
      </c>
      <c r="P72" s="100"/>
      <c r="Q72" s="7">
        <f t="shared" si="50"/>
        <v>0</v>
      </c>
      <c r="R72" s="100"/>
      <c r="S72" s="7">
        <f t="shared" si="51"/>
        <v>0</v>
      </c>
      <c r="T72" s="100"/>
      <c r="U72" s="7">
        <f t="shared" si="52"/>
        <v>0</v>
      </c>
      <c r="V72" s="8">
        <f t="shared" si="16"/>
        <v>0</v>
      </c>
      <c r="W72" s="8" t="str">
        <f t="shared" si="53"/>
        <v/>
      </c>
      <c r="X72" s="8" t="str">
        <f t="shared" si="54"/>
        <v/>
      </c>
      <c r="Y72" s="8" t="str">
        <f t="shared" si="55"/>
        <v/>
      </c>
      <c r="Z72" s="8" t="str">
        <f t="shared" si="56"/>
        <v/>
      </c>
      <c r="AA72" s="152"/>
      <c r="AB72" s="152"/>
      <c r="AC72" s="180"/>
      <c r="AD72" s="2"/>
      <c r="AE72" s="2"/>
      <c r="AF72" s="2"/>
      <c r="AG72" s="2"/>
      <c r="AH72" s="2"/>
      <c r="AI72" s="2"/>
      <c r="AJ72" s="2"/>
      <c r="AK72" s="2"/>
      <c r="AL72" s="2"/>
      <c r="AM72" s="2"/>
      <c r="AN72" s="2"/>
      <c r="AO72" s="1"/>
      <c r="AP72" s="1"/>
      <c r="AQ72" s="1"/>
      <c r="AR72" s="1"/>
      <c r="AS72" s="1"/>
      <c r="AT72" s="1"/>
      <c r="AU72" s="1"/>
      <c r="AV72" s="1"/>
      <c r="AW72" s="1"/>
      <c r="AX72" s="1"/>
      <c r="AY72" s="1"/>
    </row>
    <row r="73" spans="1:51" ht="17.25" thickBot="1" x14ac:dyDescent="0.35">
      <c r="A73" s="147"/>
      <c r="B73" s="97">
        <v>43629</v>
      </c>
      <c r="C73" s="103">
        <v>20</v>
      </c>
      <c r="D73" s="103"/>
      <c r="E73" s="103"/>
      <c r="F73" s="150"/>
      <c r="G73" s="150"/>
      <c r="H73" s="100">
        <v>114</v>
      </c>
      <c r="I73" s="7">
        <f t="shared" si="12"/>
        <v>570</v>
      </c>
      <c r="J73" s="100"/>
      <c r="K73" s="7">
        <f t="shared" si="13"/>
        <v>0</v>
      </c>
      <c r="L73" s="100"/>
      <c r="M73" s="7">
        <f t="shared" si="14"/>
        <v>0</v>
      </c>
      <c r="N73" s="100"/>
      <c r="O73" s="7">
        <f t="shared" si="15"/>
        <v>0</v>
      </c>
      <c r="P73" s="100"/>
      <c r="Q73" s="7">
        <f t="shared" si="50"/>
        <v>0</v>
      </c>
      <c r="R73" s="100"/>
      <c r="S73" s="7">
        <f t="shared" si="51"/>
        <v>0</v>
      </c>
      <c r="T73" s="100"/>
      <c r="U73" s="7">
        <f t="shared" si="52"/>
        <v>0</v>
      </c>
      <c r="V73" s="8">
        <f t="shared" si="16"/>
        <v>0.49479166666666669</v>
      </c>
      <c r="W73" s="8">
        <f t="shared" si="53"/>
        <v>28.5</v>
      </c>
      <c r="X73" s="8">
        <f t="shared" si="54"/>
        <v>28.5</v>
      </c>
      <c r="Y73" s="8" t="str">
        <f t="shared" si="55"/>
        <v/>
      </c>
      <c r="Z73" s="8" t="str">
        <f t="shared" si="56"/>
        <v/>
      </c>
      <c r="AA73" s="152"/>
      <c r="AB73" s="152"/>
      <c r="AC73" s="180"/>
      <c r="AD73" s="2"/>
      <c r="AE73" s="2"/>
      <c r="AF73" s="2"/>
      <c r="AG73" s="2"/>
      <c r="AH73" s="2"/>
      <c r="AI73" s="2"/>
      <c r="AJ73" s="2"/>
      <c r="AK73" s="2"/>
      <c r="AL73" s="2"/>
      <c r="AM73" s="2"/>
      <c r="AN73" s="2"/>
      <c r="AO73" s="1"/>
      <c r="AP73" s="1"/>
      <c r="AQ73" s="1"/>
      <c r="AR73" s="1"/>
      <c r="AS73" s="1"/>
      <c r="AT73" s="1"/>
      <c r="AU73" s="1"/>
      <c r="AV73" s="1"/>
      <c r="AW73" s="1"/>
      <c r="AX73" s="1"/>
      <c r="AY73" s="1"/>
    </row>
    <row r="74" spans="1:51" ht="17.25" thickBot="1" x14ac:dyDescent="0.35">
      <c r="A74" s="147"/>
      <c r="B74" s="97"/>
      <c r="C74" s="103"/>
      <c r="D74" s="103"/>
      <c r="E74" s="103"/>
      <c r="F74" s="150"/>
      <c r="G74" s="150"/>
      <c r="H74" s="100"/>
      <c r="I74" s="7">
        <f t="shared" si="12"/>
        <v>0</v>
      </c>
      <c r="J74" s="100"/>
      <c r="K74" s="7">
        <f t="shared" si="13"/>
        <v>0</v>
      </c>
      <c r="L74" s="100"/>
      <c r="M74" s="7">
        <f t="shared" si="14"/>
        <v>0</v>
      </c>
      <c r="N74" s="100"/>
      <c r="O74" s="7">
        <f t="shared" si="15"/>
        <v>0</v>
      </c>
      <c r="P74" s="100"/>
      <c r="Q74" s="7">
        <f t="shared" si="50"/>
        <v>0</v>
      </c>
      <c r="R74" s="100"/>
      <c r="S74" s="7">
        <f t="shared" si="51"/>
        <v>0</v>
      </c>
      <c r="T74" s="100"/>
      <c r="U74" s="7">
        <f t="shared" si="52"/>
        <v>0</v>
      </c>
      <c r="V74" s="8">
        <f t="shared" si="16"/>
        <v>0</v>
      </c>
      <c r="W74" s="8" t="str">
        <f t="shared" si="53"/>
        <v/>
      </c>
      <c r="X74" s="8" t="str">
        <f t="shared" si="54"/>
        <v/>
      </c>
      <c r="Y74" s="8" t="str">
        <f t="shared" si="55"/>
        <v/>
      </c>
      <c r="Z74" s="8" t="str">
        <f t="shared" si="56"/>
        <v/>
      </c>
      <c r="AA74" s="152"/>
      <c r="AB74" s="152"/>
      <c r="AC74" s="180"/>
      <c r="AD74" s="2"/>
      <c r="AE74" s="2"/>
      <c r="AF74" s="2"/>
      <c r="AG74" s="2"/>
      <c r="AH74" s="2"/>
      <c r="AI74" s="2"/>
      <c r="AJ74" s="2"/>
      <c r="AK74" s="2"/>
      <c r="AL74" s="2"/>
      <c r="AM74" s="2"/>
      <c r="AN74" s="2"/>
      <c r="AO74" s="1"/>
      <c r="AP74" s="1"/>
      <c r="AQ74" s="1"/>
      <c r="AR74" s="1"/>
      <c r="AS74" s="1"/>
      <c r="AT74" s="1"/>
      <c r="AU74" s="1"/>
      <c r="AV74" s="1"/>
      <c r="AW74" s="1"/>
      <c r="AX74" s="1"/>
      <c r="AY74" s="1"/>
    </row>
    <row r="75" spans="1:51" ht="17.25" thickBot="1" x14ac:dyDescent="0.35">
      <c r="A75" s="147"/>
      <c r="B75" s="98"/>
      <c r="C75" s="104"/>
      <c r="D75" s="104"/>
      <c r="E75" s="104"/>
      <c r="F75" s="151"/>
      <c r="G75" s="151"/>
      <c r="H75" s="101"/>
      <c r="I75" s="7">
        <f t="shared" ref="I75:I138" si="61">H75*H$3</f>
        <v>0</v>
      </c>
      <c r="J75" s="101"/>
      <c r="K75" s="7">
        <f t="shared" ref="K75:K138" si="62">J75*J$3</f>
        <v>0</v>
      </c>
      <c r="L75" s="101"/>
      <c r="M75" s="7">
        <f t="shared" ref="M75:M138" si="63">L75*L$3</f>
        <v>0</v>
      </c>
      <c r="N75" s="101"/>
      <c r="O75" s="7">
        <f t="shared" ref="O75:O138" si="64">N75*N$3</f>
        <v>0</v>
      </c>
      <c r="P75" s="101"/>
      <c r="Q75" s="7">
        <f t="shared" si="50"/>
        <v>0</v>
      </c>
      <c r="R75" s="101"/>
      <c r="S75" s="7">
        <f t="shared" si="51"/>
        <v>0</v>
      </c>
      <c r="T75" s="101"/>
      <c r="U75" s="7">
        <f t="shared" si="52"/>
        <v>0</v>
      </c>
      <c r="V75" s="8">
        <f t="shared" ref="V75:V138" si="65">(M75+O75+Q75+S75+I75+K75)/H$1</f>
        <v>0</v>
      </c>
      <c r="W75" s="8" t="str">
        <f t="shared" si="53"/>
        <v/>
      </c>
      <c r="X75" s="8" t="str">
        <f t="shared" si="54"/>
        <v/>
      </c>
      <c r="Y75" s="8" t="str">
        <f t="shared" si="55"/>
        <v/>
      </c>
      <c r="Z75" s="8" t="str">
        <f t="shared" si="56"/>
        <v/>
      </c>
      <c r="AA75" s="152"/>
      <c r="AB75" s="152"/>
      <c r="AC75" s="181"/>
      <c r="AD75" s="2"/>
      <c r="AE75" s="2"/>
      <c r="AF75" s="2"/>
      <c r="AG75" s="2"/>
      <c r="AH75" s="2"/>
      <c r="AI75" s="2"/>
      <c r="AJ75" s="2"/>
      <c r="AK75" s="2"/>
      <c r="AL75" s="2"/>
      <c r="AM75" s="2"/>
      <c r="AN75" s="2"/>
      <c r="AO75" s="1"/>
      <c r="AP75" s="1"/>
      <c r="AQ75" s="1"/>
      <c r="AR75" s="1"/>
      <c r="AS75" s="1"/>
      <c r="AT75" s="1"/>
      <c r="AU75" s="1"/>
      <c r="AV75" s="1"/>
      <c r="AW75" s="1"/>
      <c r="AX75" s="1"/>
      <c r="AY75" s="1"/>
    </row>
    <row r="76" spans="1:51" ht="17.25" thickBot="1" x14ac:dyDescent="0.35">
      <c r="A76" s="146">
        <v>25</v>
      </c>
      <c r="B76" s="105">
        <v>43633</v>
      </c>
      <c r="C76" s="102">
        <v>8</v>
      </c>
      <c r="D76" s="102"/>
      <c r="E76" s="102"/>
      <c r="F76" s="149">
        <f t="shared" ref="F76" si="66">SUM(M76:M81,O76:O81,Q76:Q81,S76:S81,I76:I81,K76:K81)</f>
        <v>1495</v>
      </c>
      <c r="G76" s="149">
        <f t="shared" ref="G76" si="67">SUM(M76:M81,O76:O81,Q76:Q81,S76:S81,U76:U81,K76:K81,I76:I81)</f>
        <v>1495</v>
      </c>
      <c r="H76" s="99">
        <v>58</v>
      </c>
      <c r="I76" s="40">
        <f t="shared" si="61"/>
        <v>290</v>
      </c>
      <c r="J76" s="99"/>
      <c r="K76" s="40">
        <f t="shared" si="62"/>
        <v>0</v>
      </c>
      <c r="L76" s="99"/>
      <c r="M76" s="40">
        <f t="shared" si="63"/>
        <v>0</v>
      </c>
      <c r="N76" s="99"/>
      <c r="O76" s="40">
        <f t="shared" si="64"/>
        <v>0</v>
      </c>
      <c r="P76" s="99"/>
      <c r="Q76" s="40">
        <f t="shared" si="50"/>
        <v>0</v>
      </c>
      <c r="R76" s="99"/>
      <c r="S76" s="40">
        <f t="shared" si="51"/>
        <v>0</v>
      </c>
      <c r="T76" s="99"/>
      <c r="U76" s="40">
        <f t="shared" si="52"/>
        <v>0</v>
      </c>
      <c r="V76" s="34">
        <f t="shared" si="65"/>
        <v>0.2517361111111111</v>
      </c>
      <c r="W76" s="34">
        <f t="shared" si="53"/>
        <v>36.25</v>
      </c>
      <c r="X76" s="34">
        <f t="shared" si="54"/>
        <v>36.25</v>
      </c>
      <c r="Y76" s="34" t="str">
        <f t="shared" si="55"/>
        <v/>
      </c>
      <c r="Z76" s="34" t="str">
        <f t="shared" si="56"/>
        <v/>
      </c>
      <c r="AA76" s="152">
        <f>AVERAGE(W76:W81)</f>
        <v>30.622242647058822</v>
      </c>
      <c r="AB76" s="152">
        <f t="shared" ref="AB76" si="68">SUM(V76:V81)</f>
        <v>1.2977430555555554</v>
      </c>
      <c r="AC76" s="179"/>
      <c r="AD76" s="2"/>
      <c r="AE76" s="2"/>
      <c r="AF76" s="2"/>
      <c r="AG76" s="2"/>
      <c r="AH76" s="2"/>
      <c r="AI76" s="2"/>
      <c r="AJ76" s="2"/>
      <c r="AK76" s="2"/>
      <c r="AL76" s="2"/>
      <c r="AM76" s="2"/>
      <c r="AN76" s="2"/>
      <c r="AO76" s="1"/>
      <c r="AP76" s="1"/>
      <c r="AQ76" s="1"/>
      <c r="AR76" s="1"/>
      <c r="AS76" s="1"/>
      <c r="AT76" s="1"/>
      <c r="AU76" s="1"/>
      <c r="AV76" s="1"/>
      <c r="AW76" s="1"/>
      <c r="AX76" s="1"/>
      <c r="AY76" s="1"/>
    </row>
    <row r="77" spans="1:51" ht="17.25" thickBot="1" x14ac:dyDescent="0.35">
      <c r="A77" s="147"/>
      <c r="B77" s="97">
        <v>43634</v>
      </c>
      <c r="C77" s="103">
        <v>10</v>
      </c>
      <c r="D77" s="103"/>
      <c r="E77" s="103"/>
      <c r="F77" s="150"/>
      <c r="G77" s="150"/>
      <c r="H77" s="100">
        <v>67</v>
      </c>
      <c r="I77" s="7">
        <f t="shared" si="61"/>
        <v>335</v>
      </c>
      <c r="J77" s="100"/>
      <c r="K77" s="7">
        <f t="shared" si="62"/>
        <v>0</v>
      </c>
      <c r="L77" s="100"/>
      <c r="M77" s="7">
        <f t="shared" si="63"/>
        <v>0</v>
      </c>
      <c r="N77" s="100"/>
      <c r="O77" s="7">
        <f t="shared" si="64"/>
        <v>0</v>
      </c>
      <c r="P77" s="100"/>
      <c r="Q77" s="7">
        <f t="shared" si="50"/>
        <v>0</v>
      </c>
      <c r="R77" s="100"/>
      <c r="S77" s="7">
        <f t="shared" si="51"/>
        <v>0</v>
      </c>
      <c r="T77" s="100"/>
      <c r="U77" s="7">
        <f t="shared" si="52"/>
        <v>0</v>
      </c>
      <c r="V77" s="8">
        <f t="shared" si="65"/>
        <v>0.2907986111111111</v>
      </c>
      <c r="W77" s="8">
        <f t="shared" si="53"/>
        <v>33.5</v>
      </c>
      <c r="X77" s="8">
        <f t="shared" si="54"/>
        <v>33.5</v>
      </c>
      <c r="Y77" s="8" t="str">
        <f t="shared" si="55"/>
        <v/>
      </c>
      <c r="Z77" s="8" t="str">
        <f t="shared" si="56"/>
        <v/>
      </c>
      <c r="AA77" s="152"/>
      <c r="AB77" s="152"/>
      <c r="AC77" s="180"/>
      <c r="AD77" s="2"/>
      <c r="AE77" s="2"/>
      <c r="AF77" s="2"/>
      <c r="AG77" s="2"/>
      <c r="AH77" s="2"/>
      <c r="AI77" s="2"/>
      <c r="AJ77" s="2"/>
      <c r="AK77" s="2"/>
      <c r="AL77" s="2"/>
      <c r="AM77" s="2"/>
      <c r="AN77" s="2"/>
      <c r="AO77" s="1"/>
      <c r="AP77" s="1"/>
      <c r="AQ77" s="1"/>
      <c r="AR77" s="1"/>
      <c r="AS77" s="1"/>
      <c r="AT77" s="1"/>
      <c r="AU77" s="1"/>
      <c r="AV77" s="1"/>
      <c r="AW77" s="1"/>
      <c r="AX77" s="1"/>
      <c r="AY77" s="1"/>
    </row>
    <row r="78" spans="1:51" ht="17.25" thickBot="1" x14ac:dyDescent="0.35">
      <c r="A78" s="147"/>
      <c r="B78" s="97"/>
      <c r="C78" s="103"/>
      <c r="D78" s="103"/>
      <c r="E78" s="103"/>
      <c r="F78" s="150"/>
      <c r="G78" s="150"/>
      <c r="H78" s="100"/>
      <c r="I78" s="7">
        <f t="shared" si="61"/>
        <v>0</v>
      </c>
      <c r="J78" s="100"/>
      <c r="K78" s="7">
        <f t="shared" si="62"/>
        <v>0</v>
      </c>
      <c r="L78" s="100"/>
      <c r="M78" s="7">
        <f t="shared" si="63"/>
        <v>0</v>
      </c>
      <c r="N78" s="100"/>
      <c r="O78" s="7">
        <f t="shared" si="64"/>
        <v>0</v>
      </c>
      <c r="P78" s="100"/>
      <c r="Q78" s="7">
        <f t="shared" si="50"/>
        <v>0</v>
      </c>
      <c r="R78" s="100"/>
      <c r="S78" s="7">
        <f t="shared" si="51"/>
        <v>0</v>
      </c>
      <c r="T78" s="100"/>
      <c r="U78" s="7">
        <f t="shared" si="52"/>
        <v>0</v>
      </c>
      <c r="V78" s="8">
        <f t="shared" si="65"/>
        <v>0</v>
      </c>
      <c r="W78" s="8" t="str">
        <f t="shared" si="53"/>
        <v/>
      </c>
      <c r="X78" s="8" t="str">
        <f t="shared" si="54"/>
        <v/>
      </c>
      <c r="Y78" s="8" t="str">
        <f t="shared" si="55"/>
        <v/>
      </c>
      <c r="Z78" s="8" t="str">
        <f t="shared" si="56"/>
        <v/>
      </c>
      <c r="AA78" s="152"/>
      <c r="AB78" s="152"/>
      <c r="AC78" s="180"/>
      <c r="AD78" s="2"/>
      <c r="AE78" s="2"/>
      <c r="AF78" s="2"/>
      <c r="AG78" s="2"/>
      <c r="AH78" s="2"/>
      <c r="AI78" s="2"/>
      <c r="AJ78" s="2"/>
      <c r="AK78" s="2"/>
      <c r="AL78" s="2"/>
      <c r="AM78" s="2"/>
      <c r="AN78" s="2"/>
      <c r="AO78" s="1"/>
      <c r="AP78" s="1"/>
      <c r="AQ78" s="1"/>
      <c r="AR78" s="1"/>
      <c r="AS78" s="1"/>
      <c r="AT78" s="1"/>
      <c r="AU78" s="1"/>
      <c r="AV78" s="1"/>
      <c r="AW78" s="1"/>
      <c r="AX78" s="1"/>
      <c r="AY78" s="1"/>
    </row>
    <row r="79" spans="1:51" ht="17.25" thickBot="1" x14ac:dyDescent="0.35">
      <c r="A79" s="147"/>
      <c r="B79" s="97">
        <v>43636</v>
      </c>
      <c r="C79" s="103">
        <v>16</v>
      </c>
      <c r="D79" s="103"/>
      <c r="E79" s="103"/>
      <c r="F79" s="150"/>
      <c r="G79" s="150"/>
      <c r="H79" s="100">
        <v>85</v>
      </c>
      <c r="I79" s="7">
        <f t="shared" si="61"/>
        <v>425</v>
      </c>
      <c r="J79" s="100"/>
      <c r="K79" s="7">
        <f t="shared" si="62"/>
        <v>0</v>
      </c>
      <c r="L79" s="100"/>
      <c r="M79" s="7">
        <f t="shared" si="63"/>
        <v>0</v>
      </c>
      <c r="N79" s="100"/>
      <c r="O79" s="7">
        <f t="shared" si="64"/>
        <v>0</v>
      </c>
      <c r="P79" s="100"/>
      <c r="Q79" s="7">
        <f t="shared" si="50"/>
        <v>0</v>
      </c>
      <c r="R79" s="100"/>
      <c r="S79" s="7">
        <f t="shared" si="51"/>
        <v>0</v>
      </c>
      <c r="T79" s="100"/>
      <c r="U79" s="7">
        <f t="shared" si="52"/>
        <v>0</v>
      </c>
      <c r="V79" s="8">
        <f t="shared" si="65"/>
        <v>0.3689236111111111</v>
      </c>
      <c r="W79" s="8">
        <f t="shared" si="53"/>
        <v>26.5625</v>
      </c>
      <c r="X79" s="8">
        <f t="shared" si="54"/>
        <v>26.5625</v>
      </c>
      <c r="Y79" s="8" t="str">
        <f t="shared" si="55"/>
        <v/>
      </c>
      <c r="Z79" s="8" t="str">
        <f t="shared" si="56"/>
        <v/>
      </c>
      <c r="AA79" s="152"/>
      <c r="AB79" s="152"/>
      <c r="AC79" s="180"/>
      <c r="AD79" s="2"/>
      <c r="AE79" s="2"/>
      <c r="AF79" s="2"/>
      <c r="AG79" s="2"/>
      <c r="AH79" s="2"/>
      <c r="AI79" s="2"/>
      <c r="AJ79" s="2"/>
      <c r="AK79" s="2"/>
      <c r="AL79" s="2"/>
      <c r="AM79" s="2"/>
      <c r="AN79" s="2"/>
      <c r="AO79" s="1"/>
      <c r="AP79" s="1"/>
      <c r="AQ79" s="1"/>
      <c r="AR79" s="1"/>
      <c r="AS79" s="1"/>
      <c r="AT79" s="1"/>
      <c r="AU79" s="1"/>
      <c r="AV79" s="1"/>
      <c r="AW79" s="1"/>
      <c r="AX79" s="1"/>
      <c r="AY79" s="1"/>
    </row>
    <row r="80" spans="1:51" ht="17.25" thickBot="1" x14ac:dyDescent="0.35">
      <c r="A80" s="147"/>
      <c r="B80" s="97">
        <v>43637</v>
      </c>
      <c r="C80" s="103">
        <v>17</v>
      </c>
      <c r="D80" s="103"/>
      <c r="E80" s="103"/>
      <c r="F80" s="150"/>
      <c r="G80" s="150"/>
      <c r="H80" s="100">
        <v>89</v>
      </c>
      <c r="I80" s="7">
        <f t="shared" si="61"/>
        <v>445</v>
      </c>
      <c r="J80" s="100"/>
      <c r="K80" s="7">
        <f t="shared" si="62"/>
        <v>0</v>
      </c>
      <c r="L80" s="100"/>
      <c r="M80" s="7">
        <f t="shared" si="63"/>
        <v>0</v>
      </c>
      <c r="N80" s="100"/>
      <c r="O80" s="7">
        <f t="shared" si="64"/>
        <v>0</v>
      </c>
      <c r="P80" s="100"/>
      <c r="Q80" s="7">
        <f t="shared" si="50"/>
        <v>0</v>
      </c>
      <c r="R80" s="100"/>
      <c r="S80" s="7">
        <f t="shared" si="51"/>
        <v>0</v>
      </c>
      <c r="T80" s="100"/>
      <c r="U80" s="7">
        <f t="shared" si="52"/>
        <v>0</v>
      </c>
      <c r="V80" s="8">
        <f t="shared" si="65"/>
        <v>0.38628472222222221</v>
      </c>
      <c r="W80" s="8">
        <f t="shared" si="53"/>
        <v>26.176470588235293</v>
      </c>
      <c r="X80" s="8">
        <f t="shared" si="54"/>
        <v>26.176470588235293</v>
      </c>
      <c r="Y80" s="8" t="str">
        <f t="shared" si="55"/>
        <v/>
      </c>
      <c r="Z80" s="8" t="str">
        <f t="shared" si="56"/>
        <v/>
      </c>
      <c r="AA80" s="152"/>
      <c r="AB80" s="152"/>
      <c r="AC80" s="180"/>
      <c r="AD80" s="2"/>
      <c r="AE80" s="2"/>
      <c r="AF80" s="2"/>
      <c r="AG80" s="2"/>
      <c r="AH80" s="2"/>
      <c r="AI80" s="2"/>
      <c r="AJ80" s="2"/>
      <c r="AK80" s="2"/>
      <c r="AL80" s="2"/>
      <c r="AM80" s="2"/>
      <c r="AN80" s="2"/>
      <c r="AO80" s="1"/>
      <c r="AP80" s="1"/>
      <c r="AQ80" s="1"/>
      <c r="AR80" s="1"/>
      <c r="AS80" s="1"/>
      <c r="AT80" s="1"/>
      <c r="AU80" s="1"/>
      <c r="AV80" s="1"/>
      <c r="AW80" s="1"/>
      <c r="AX80" s="1"/>
      <c r="AY80" s="1"/>
    </row>
    <row r="81" spans="1:51" ht="17.25" thickBot="1" x14ac:dyDescent="0.35">
      <c r="A81" s="148"/>
      <c r="B81" s="98"/>
      <c r="C81" s="104"/>
      <c r="D81" s="104"/>
      <c r="E81" s="104"/>
      <c r="F81" s="151"/>
      <c r="G81" s="151"/>
      <c r="H81" s="101"/>
      <c r="I81" s="39">
        <f t="shared" si="61"/>
        <v>0</v>
      </c>
      <c r="J81" s="101"/>
      <c r="K81" s="39">
        <f t="shared" si="62"/>
        <v>0</v>
      </c>
      <c r="L81" s="101"/>
      <c r="M81" s="39">
        <f t="shared" si="63"/>
        <v>0</v>
      </c>
      <c r="N81" s="101"/>
      <c r="O81" s="39">
        <f t="shared" si="64"/>
        <v>0</v>
      </c>
      <c r="P81" s="101"/>
      <c r="Q81" s="39">
        <f t="shared" si="50"/>
        <v>0</v>
      </c>
      <c r="R81" s="101"/>
      <c r="S81" s="39">
        <f t="shared" si="51"/>
        <v>0</v>
      </c>
      <c r="T81" s="101"/>
      <c r="U81" s="39">
        <f t="shared" si="52"/>
        <v>0</v>
      </c>
      <c r="V81" s="36">
        <f t="shared" si="65"/>
        <v>0</v>
      </c>
      <c r="W81" s="36" t="str">
        <f t="shared" si="53"/>
        <v/>
      </c>
      <c r="X81" s="36" t="str">
        <f t="shared" si="54"/>
        <v/>
      </c>
      <c r="Y81" s="36" t="str">
        <f t="shared" si="55"/>
        <v/>
      </c>
      <c r="Z81" s="36" t="str">
        <f t="shared" si="56"/>
        <v/>
      </c>
      <c r="AA81" s="152"/>
      <c r="AB81" s="152"/>
      <c r="AC81" s="181"/>
      <c r="AD81" s="2"/>
      <c r="AE81" s="2"/>
      <c r="AF81" s="2"/>
      <c r="AG81" s="2"/>
      <c r="AH81" s="2"/>
      <c r="AI81" s="2"/>
      <c r="AJ81" s="2"/>
      <c r="AK81" s="2"/>
      <c r="AL81" s="2"/>
      <c r="AM81" s="2"/>
      <c r="AN81" s="2"/>
      <c r="AO81" s="1"/>
      <c r="AP81" s="1"/>
      <c r="AQ81" s="1"/>
      <c r="AR81" s="1"/>
      <c r="AS81" s="1"/>
      <c r="AT81" s="1"/>
      <c r="AU81" s="1"/>
      <c r="AV81" s="1"/>
      <c r="AW81" s="1"/>
      <c r="AX81" s="1"/>
      <c r="AY81" s="1"/>
    </row>
    <row r="82" spans="1:51" ht="17.25" thickBot="1" x14ac:dyDescent="0.35">
      <c r="A82" s="147">
        <v>26</v>
      </c>
      <c r="B82" s="105"/>
      <c r="C82" s="102"/>
      <c r="D82" s="102"/>
      <c r="E82" s="102"/>
      <c r="F82" s="149">
        <f t="shared" ref="F82" si="69">SUM(M82:M87,O82:O87,Q82:Q87,S82:S87,I82:I87,K82:K87)</f>
        <v>775</v>
      </c>
      <c r="G82" s="149">
        <f t="shared" ref="G82" si="70">SUM(M82:M87,O82:O87,Q82:Q87,S82:S87,U82:U87,K82:K87,I82:I87)</f>
        <v>775</v>
      </c>
      <c r="H82" s="99"/>
      <c r="I82" s="7">
        <f t="shared" si="61"/>
        <v>0</v>
      </c>
      <c r="J82" s="99"/>
      <c r="K82" s="7">
        <f t="shared" si="62"/>
        <v>0</v>
      </c>
      <c r="L82" s="99"/>
      <c r="M82" s="7">
        <f t="shared" si="63"/>
        <v>0</v>
      </c>
      <c r="N82" s="99"/>
      <c r="O82" s="7">
        <f t="shared" si="64"/>
        <v>0</v>
      </c>
      <c r="P82" s="99"/>
      <c r="Q82" s="7">
        <f t="shared" si="50"/>
        <v>0</v>
      </c>
      <c r="R82" s="99"/>
      <c r="S82" s="7">
        <f t="shared" si="51"/>
        <v>0</v>
      </c>
      <c r="T82" s="99"/>
      <c r="U82" s="7">
        <f t="shared" si="52"/>
        <v>0</v>
      </c>
      <c r="V82" s="8">
        <f t="shared" si="65"/>
        <v>0</v>
      </c>
      <c r="W82" s="8" t="str">
        <f t="shared" si="53"/>
        <v/>
      </c>
      <c r="X82" s="8" t="str">
        <f t="shared" si="54"/>
        <v/>
      </c>
      <c r="Y82" s="8" t="str">
        <f t="shared" si="55"/>
        <v/>
      </c>
      <c r="Z82" s="8" t="str">
        <f t="shared" si="56"/>
        <v/>
      </c>
      <c r="AA82" s="152">
        <f t="shared" ref="AA82" si="71">AVERAGE(W82:W87)</f>
        <v>31.527777777777779</v>
      </c>
      <c r="AB82" s="152">
        <f>SUM(V82:V87)</f>
        <v>0.67274305555555558</v>
      </c>
      <c r="AC82" s="179"/>
      <c r="AD82" s="2"/>
      <c r="AE82" s="2"/>
      <c r="AF82" s="2"/>
      <c r="AG82" s="2"/>
      <c r="AH82" s="2"/>
      <c r="AI82" s="2"/>
      <c r="AJ82" s="2"/>
      <c r="AK82" s="2"/>
      <c r="AL82" s="2"/>
      <c r="AM82" s="2"/>
      <c r="AN82" s="2"/>
      <c r="AO82" s="1"/>
      <c r="AP82" s="1"/>
      <c r="AQ82" s="1"/>
      <c r="AR82" s="1"/>
      <c r="AS82" s="1"/>
      <c r="AT82" s="1"/>
      <c r="AU82" s="1"/>
      <c r="AV82" s="1"/>
      <c r="AW82" s="1"/>
      <c r="AX82" s="1"/>
      <c r="AY82" s="1"/>
    </row>
    <row r="83" spans="1:51" ht="17.25" thickBot="1" x14ac:dyDescent="0.35">
      <c r="A83" s="147"/>
      <c r="B83" s="97"/>
      <c r="C83" s="103"/>
      <c r="D83" s="103"/>
      <c r="E83" s="103"/>
      <c r="F83" s="150"/>
      <c r="G83" s="150"/>
      <c r="H83" s="100"/>
      <c r="I83" s="7">
        <f t="shared" si="61"/>
        <v>0</v>
      </c>
      <c r="J83" s="100"/>
      <c r="K83" s="7">
        <f t="shared" si="62"/>
        <v>0</v>
      </c>
      <c r="L83" s="100"/>
      <c r="M83" s="7">
        <f t="shared" si="63"/>
        <v>0</v>
      </c>
      <c r="N83" s="100"/>
      <c r="O83" s="7">
        <f t="shared" si="64"/>
        <v>0</v>
      </c>
      <c r="P83" s="100"/>
      <c r="Q83" s="7">
        <f t="shared" si="50"/>
        <v>0</v>
      </c>
      <c r="R83" s="100"/>
      <c r="S83" s="7">
        <f t="shared" si="51"/>
        <v>0</v>
      </c>
      <c r="T83" s="100"/>
      <c r="U83" s="7">
        <f t="shared" si="52"/>
        <v>0</v>
      </c>
      <c r="V83" s="8">
        <f t="shared" si="65"/>
        <v>0</v>
      </c>
      <c r="W83" s="8" t="str">
        <f t="shared" si="53"/>
        <v/>
      </c>
      <c r="X83" s="8" t="str">
        <f t="shared" si="54"/>
        <v/>
      </c>
      <c r="Y83" s="8" t="str">
        <f t="shared" si="55"/>
        <v/>
      </c>
      <c r="Z83" s="8" t="str">
        <f t="shared" si="56"/>
        <v/>
      </c>
      <c r="AA83" s="152"/>
      <c r="AB83" s="152"/>
      <c r="AC83" s="180"/>
      <c r="AD83" s="2"/>
      <c r="AE83" s="2"/>
      <c r="AF83" s="2"/>
      <c r="AG83" s="2"/>
      <c r="AH83" s="2"/>
      <c r="AI83" s="2"/>
      <c r="AJ83" s="2"/>
      <c r="AK83" s="2"/>
      <c r="AL83" s="2"/>
      <c r="AM83" s="2"/>
      <c r="AN83" s="2"/>
      <c r="AO83" s="1"/>
      <c r="AP83" s="1"/>
      <c r="AQ83" s="1"/>
      <c r="AR83" s="1"/>
      <c r="AS83" s="1"/>
      <c r="AT83" s="1"/>
      <c r="AU83" s="1"/>
      <c r="AV83" s="1"/>
      <c r="AW83" s="1"/>
      <c r="AX83" s="1"/>
      <c r="AY83" s="1"/>
    </row>
    <row r="84" spans="1:51" ht="17.25" thickBot="1" x14ac:dyDescent="0.35">
      <c r="A84" s="147"/>
      <c r="B84" s="97"/>
      <c r="C84" s="103"/>
      <c r="D84" s="103"/>
      <c r="E84" s="103"/>
      <c r="F84" s="150"/>
      <c r="G84" s="150"/>
      <c r="H84" s="100"/>
      <c r="I84" s="7">
        <f t="shared" si="61"/>
        <v>0</v>
      </c>
      <c r="J84" s="100"/>
      <c r="K84" s="7">
        <f t="shared" si="62"/>
        <v>0</v>
      </c>
      <c r="L84" s="100"/>
      <c r="M84" s="7">
        <f t="shared" si="63"/>
        <v>0</v>
      </c>
      <c r="N84" s="100"/>
      <c r="O84" s="7">
        <f t="shared" si="64"/>
        <v>0</v>
      </c>
      <c r="P84" s="100"/>
      <c r="Q84" s="7">
        <f t="shared" si="50"/>
        <v>0</v>
      </c>
      <c r="R84" s="100"/>
      <c r="S84" s="7">
        <f t="shared" si="51"/>
        <v>0</v>
      </c>
      <c r="T84" s="100"/>
      <c r="U84" s="7">
        <f t="shared" si="52"/>
        <v>0</v>
      </c>
      <c r="V84" s="8">
        <f t="shared" si="65"/>
        <v>0</v>
      </c>
      <c r="W84" s="8" t="str">
        <f t="shared" si="53"/>
        <v/>
      </c>
      <c r="X84" s="8" t="str">
        <f t="shared" si="54"/>
        <v/>
      </c>
      <c r="Y84" s="8" t="str">
        <f t="shared" si="55"/>
        <v/>
      </c>
      <c r="Z84" s="8" t="str">
        <f t="shared" si="56"/>
        <v/>
      </c>
      <c r="AA84" s="152"/>
      <c r="AB84" s="152"/>
      <c r="AC84" s="180"/>
      <c r="AD84" s="2"/>
      <c r="AE84" s="2"/>
      <c r="AF84" s="2"/>
      <c r="AG84" s="2"/>
      <c r="AH84" s="2"/>
      <c r="AI84" s="2"/>
      <c r="AJ84" s="2"/>
      <c r="AK84" s="2"/>
      <c r="AL84" s="2"/>
      <c r="AM84" s="2"/>
      <c r="AN84" s="2"/>
      <c r="AO84" s="1"/>
      <c r="AP84" s="1"/>
      <c r="AQ84" s="1"/>
      <c r="AR84" s="1"/>
      <c r="AS84" s="1"/>
      <c r="AT84" s="1"/>
      <c r="AU84" s="1"/>
      <c r="AV84" s="1"/>
      <c r="AW84" s="1"/>
      <c r="AX84" s="1"/>
      <c r="AY84" s="1"/>
    </row>
    <row r="85" spans="1:51" ht="17.25" thickBot="1" x14ac:dyDescent="0.35">
      <c r="A85" s="147"/>
      <c r="B85" s="97">
        <v>43643</v>
      </c>
      <c r="C85" s="103">
        <v>18</v>
      </c>
      <c r="D85" s="103"/>
      <c r="E85" s="103"/>
      <c r="F85" s="150"/>
      <c r="G85" s="150"/>
      <c r="H85" s="100">
        <v>119</v>
      </c>
      <c r="I85" s="7">
        <f t="shared" si="61"/>
        <v>595</v>
      </c>
      <c r="J85" s="100"/>
      <c r="K85" s="7">
        <f t="shared" si="62"/>
        <v>0</v>
      </c>
      <c r="L85" s="100"/>
      <c r="M85" s="7">
        <f t="shared" si="63"/>
        <v>0</v>
      </c>
      <c r="N85" s="100"/>
      <c r="O85" s="7">
        <f t="shared" si="64"/>
        <v>0</v>
      </c>
      <c r="P85" s="100"/>
      <c r="Q85" s="7">
        <f t="shared" si="50"/>
        <v>0</v>
      </c>
      <c r="R85" s="100"/>
      <c r="S85" s="7">
        <f t="shared" si="51"/>
        <v>0</v>
      </c>
      <c r="T85" s="100"/>
      <c r="U85" s="7">
        <f t="shared" si="52"/>
        <v>0</v>
      </c>
      <c r="V85" s="8">
        <f t="shared" si="65"/>
        <v>0.51649305555555558</v>
      </c>
      <c r="W85" s="8">
        <f t="shared" si="53"/>
        <v>33.055555555555557</v>
      </c>
      <c r="X85" s="8">
        <f t="shared" si="54"/>
        <v>33.055555555555557</v>
      </c>
      <c r="Y85" s="8" t="str">
        <f t="shared" si="55"/>
        <v/>
      </c>
      <c r="Z85" s="8" t="str">
        <f t="shared" si="56"/>
        <v/>
      </c>
      <c r="AA85" s="152"/>
      <c r="AB85" s="152"/>
      <c r="AC85" s="180"/>
      <c r="AD85" s="2"/>
      <c r="AE85" s="2"/>
      <c r="AF85" s="2"/>
      <c r="AG85" s="2"/>
      <c r="AH85" s="2"/>
      <c r="AI85" s="2"/>
      <c r="AJ85" s="2"/>
      <c r="AK85" s="2"/>
      <c r="AL85" s="2"/>
      <c r="AM85" s="2"/>
      <c r="AN85" s="2"/>
      <c r="AO85" s="1"/>
      <c r="AP85" s="1"/>
      <c r="AQ85" s="1"/>
      <c r="AR85" s="1"/>
      <c r="AS85" s="1"/>
      <c r="AT85" s="1"/>
      <c r="AU85" s="1"/>
      <c r="AV85" s="1"/>
      <c r="AW85" s="1"/>
      <c r="AX85" s="1"/>
      <c r="AY85" s="1"/>
    </row>
    <row r="86" spans="1:51" ht="17.25" thickBot="1" x14ac:dyDescent="0.35">
      <c r="A86" s="147"/>
      <c r="B86" s="97">
        <v>43644</v>
      </c>
      <c r="C86" s="103">
        <v>6</v>
      </c>
      <c r="D86" s="103"/>
      <c r="E86" s="103"/>
      <c r="F86" s="150"/>
      <c r="G86" s="150"/>
      <c r="H86" s="100">
        <v>36</v>
      </c>
      <c r="I86" s="7">
        <f t="shared" si="61"/>
        <v>180</v>
      </c>
      <c r="J86" s="100"/>
      <c r="K86" s="7">
        <f t="shared" si="62"/>
        <v>0</v>
      </c>
      <c r="L86" s="100"/>
      <c r="M86" s="7">
        <f t="shared" si="63"/>
        <v>0</v>
      </c>
      <c r="N86" s="100"/>
      <c r="O86" s="7">
        <f t="shared" si="64"/>
        <v>0</v>
      </c>
      <c r="P86" s="100"/>
      <c r="Q86" s="7">
        <f t="shared" si="50"/>
        <v>0</v>
      </c>
      <c r="R86" s="100"/>
      <c r="S86" s="7">
        <f t="shared" si="51"/>
        <v>0</v>
      </c>
      <c r="T86" s="100"/>
      <c r="U86" s="7">
        <f t="shared" si="52"/>
        <v>0</v>
      </c>
      <c r="V86" s="8">
        <f t="shared" si="65"/>
        <v>0.15625</v>
      </c>
      <c r="W86" s="8">
        <f t="shared" si="53"/>
        <v>30</v>
      </c>
      <c r="X86" s="8">
        <f t="shared" si="54"/>
        <v>30</v>
      </c>
      <c r="Y86" s="8" t="str">
        <f t="shared" si="55"/>
        <v/>
      </c>
      <c r="Z86" s="8" t="str">
        <f t="shared" si="56"/>
        <v/>
      </c>
      <c r="AA86" s="152"/>
      <c r="AB86" s="152"/>
      <c r="AC86" s="180"/>
      <c r="AD86" s="2"/>
      <c r="AE86" s="2"/>
      <c r="AF86" s="2"/>
      <c r="AG86" s="2"/>
      <c r="AH86" s="2"/>
      <c r="AI86" s="2"/>
      <c r="AJ86" s="2"/>
      <c r="AK86" s="2"/>
      <c r="AL86" s="2"/>
      <c r="AM86" s="2"/>
      <c r="AN86" s="2"/>
      <c r="AO86" s="1"/>
      <c r="AP86" s="1"/>
      <c r="AQ86" s="1"/>
      <c r="AR86" s="1"/>
      <c r="AS86" s="1"/>
      <c r="AT86" s="1"/>
      <c r="AU86" s="1"/>
      <c r="AV86" s="1"/>
      <c r="AW86" s="1"/>
      <c r="AX86" s="1"/>
      <c r="AY86" s="1"/>
    </row>
    <row r="87" spans="1:51" ht="17.25" thickBot="1" x14ac:dyDescent="0.35">
      <c r="A87" s="147"/>
      <c r="B87" s="98"/>
      <c r="C87" s="104"/>
      <c r="D87" s="104"/>
      <c r="E87" s="104"/>
      <c r="F87" s="151"/>
      <c r="G87" s="151"/>
      <c r="H87" s="101"/>
      <c r="I87" s="7">
        <f t="shared" si="61"/>
        <v>0</v>
      </c>
      <c r="J87" s="101"/>
      <c r="K87" s="7">
        <f t="shared" si="62"/>
        <v>0</v>
      </c>
      <c r="L87" s="101"/>
      <c r="M87" s="7">
        <f t="shared" si="63"/>
        <v>0</v>
      </c>
      <c r="N87" s="101"/>
      <c r="O87" s="7">
        <f t="shared" si="64"/>
        <v>0</v>
      </c>
      <c r="P87" s="101"/>
      <c r="Q87" s="7">
        <f t="shared" si="50"/>
        <v>0</v>
      </c>
      <c r="R87" s="101"/>
      <c r="S87" s="7">
        <f t="shared" si="51"/>
        <v>0</v>
      </c>
      <c r="T87" s="101"/>
      <c r="U87" s="7">
        <f t="shared" si="52"/>
        <v>0</v>
      </c>
      <c r="V87" s="8">
        <f t="shared" si="65"/>
        <v>0</v>
      </c>
      <c r="W87" s="8" t="str">
        <f t="shared" si="53"/>
        <v/>
      </c>
      <c r="X87" s="8" t="str">
        <f t="shared" si="54"/>
        <v/>
      </c>
      <c r="Y87" s="8" t="str">
        <f t="shared" si="55"/>
        <v/>
      </c>
      <c r="Z87" s="8" t="str">
        <f t="shared" si="56"/>
        <v/>
      </c>
      <c r="AA87" s="152"/>
      <c r="AB87" s="152"/>
      <c r="AC87" s="181"/>
      <c r="AD87" s="2"/>
      <c r="AE87" s="2"/>
      <c r="AF87" s="2"/>
      <c r="AG87" s="2"/>
      <c r="AH87" s="2"/>
      <c r="AI87" s="2"/>
      <c r="AJ87" s="2"/>
      <c r="AK87" s="2"/>
      <c r="AL87" s="2"/>
      <c r="AM87" s="2"/>
      <c r="AN87" s="2"/>
      <c r="AO87" s="1"/>
      <c r="AP87" s="1"/>
      <c r="AQ87" s="1"/>
      <c r="AR87" s="1"/>
      <c r="AS87" s="1"/>
      <c r="AT87" s="1"/>
      <c r="AU87" s="1"/>
      <c r="AV87" s="1"/>
      <c r="AW87" s="1"/>
      <c r="AX87" s="1"/>
      <c r="AY87" s="1"/>
    </row>
    <row r="88" spans="1:51" ht="17.25" thickBot="1" x14ac:dyDescent="0.35">
      <c r="A88" s="146">
        <v>27</v>
      </c>
      <c r="B88" s="105"/>
      <c r="C88" s="102"/>
      <c r="D88" s="102"/>
      <c r="E88" s="102"/>
      <c r="F88" s="149">
        <f t="shared" ref="F88" si="72">SUM(M88:M93,O88:O93,Q88:Q93,S88:S93,I88:I93,K88:K93)</f>
        <v>1085</v>
      </c>
      <c r="G88" s="149">
        <f t="shared" ref="G88" si="73">SUM(M88:M93,O88:O93,Q88:Q93,S88:S93,U88:U93,K88:K93,I88:I93)</f>
        <v>1085</v>
      </c>
      <c r="H88" s="99"/>
      <c r="I88" s="40">
        <f t="shared" si="61"/>
        <v>0</v>
      </c>
      <c r="J88" s="99"/>
      <c r="K88" s="40">
        <f t="shared" si="62"/>
        <v>0</v>
      </c>
      <c r="L88" s="99"/>
      <c r="M88" s="40">
        <f t="shared" si="63"/>
        <v>0</v>
      </c>
      <c r="N88" s="99"/>
      <c r="O88" s="40">
        <f t="shared" si="64"/>
        <v>0</v>
      </c>
      <c r="P88" s="99"/>
      <c r="Q88" s="40">
        <f t="shared" si="50"/>
        <v>0</v>
      </c>
      <c r="R88" s="99"/>
      <c r="S88" s="40">
        <f t="shared" si="51"/>
        <v>0</v>
      </c>
      <c r="T88" s="99"/>
      <c r="U88" s="40">
        <f t="shared" si="52"/>
        <v>0</v>
      </c>
      <c r="V88" s="34">
        <f t="shared" si="65"/>
        <v>0</v>
      </c>
      <c r="W88" s="34" t="str">
        <f t="shared" si="53"/>
        <v/>
      </c>
      <c r="X88" s="34" t="str">
        <f t="shared" si="54"/>
        <v/>
      </c>
      <c r="Y88" s="34" t="str">
        <f t="shared" si="55"/>
        <v/>
      </c>
      <c r="Z88" s="34" t="str">
        <f t="shared" si="56"/>
        <v/>
      </c>
      <c r="AA88" s="152">
        <f>AVERAGE(W88:W93)</f>
        <v>34.067460317460316</v>
      </c>
      <c r="AB88" s="152">
        <f t="shared" ref="AB88" si="74">SUM(V88:V93)</f>
        <v>0.94184027777777779</v>
      </c>
      <c r="AC88" s="179"/>
      <c r="AD88" s="2"/>
      <c r="AE88" s="2"/>
      <c r="AF88" s="2"/>
      <c r="AG88" s="2"/>
      <c r="AH88" s="2"/>
      <c r="AI88" s="2"/>
      <c r="AJ88" s="2"/>
      <c r="AK88" s="2"/>
      <c r="AL88" s="2"/>
      <c r="AM88" s="2"/>
      <c r="AN88" s="2"/>
      <c r="AO88" s="1"/>
      <c r="AP88" s="1"/>
      <c r="AQ88" s="1"/>
      <c r="AR88" s="1"/>
      <c r="AS88" s="1"/>
      <c r="AT88" s="1"/>
      <c r="AU88" s="1"/>
      <c r="AV88" s="1"/>
      <c r="AW88" s="1"/>
      <c r="AX88" s="1"/>
      <c r="AY88" s="1"/>
    </row>
    <row r="89" spans="1:51" ht="17.25" thickBot="1" x14ac:dyDescent="0.35">
      <c r="A89" s="147"/>
      <c r="B89" s="97"/>
      <c r="C89" s="103"/>
      <c r="D89" s="103"/>
      <c r="E89" s="103"/>
      <c r="F89" s="150"/>
      <c r="G89" s="150"/>
      <c r="H89" s="100"/>
      <c r="I89" s="7">
        <f t="shared" si="61"/>
        <v>0</v>
      </c>
      <c r="J89" s="100"/>
      <c r="K89" s="7">
        <f t="shared" si="62"/>
        <v>0</v>
      </c>
      <c r="L89" s="100"/>
      <c r="M89" s="7">
        <f t="shared" si="63"/>
        <v>0</v>
      </c>
      <c r="N89" s="100"/>
      <c r="O89" s="7">
        <f t="shared" si="64"/>
        <v>0</v>
      </c>
      <c r="P89" s="100"/>
      <c r="Q89" s="7">
        <f t="shared" si="50"/>
        <v>0</v>
      </c>
      <c r="R89" s="100"/>
      <c r="S89" s="7">
        <f t="shared" si="51"/>
        <v>0</v>
      </c>
      <c r="T89" s="100"/>
      <c r="U89" s="7">
        <f t="shared" si="52"/>
        <v>0</v>
      </c>
      <c r="V89" s="8">
        <f t="shared" si="65"/>
        <v>0</v>
      </c>
      <c r="W89" s="8" t="str">
        <f t="shared" si="53"/>
        <v/>
      </c>
      <c r="X89" s="8" t="str">
        <f t="shared" si="54"/>
        <v/>
      </c>
      <c r="Y89" s="8" t="str">
        <f t="shared" si="55"/>
        <v/>
      </c>
      <c r="Z89" s="8" t="str">
        <f t="shared" si="56"/>
        <v/>
      </c>
      <c r="AA89" s="152"/>
      <c r="AB89" s="152"/>
      <c r="AC89" s="180"/>
      <c r="AD89" s="2"/>
      <c r="AE89" s="2"/>
      <c r="AF89" s="2"/>
      <c r="AG89" s="2"/>
      <c r="AH89" s="2"/>
      <c r="AI89" s="2"/>
      <c r="AJ89" s="2"/>
      <c r="AK89" s="2"/>
      <c r="AL89" s="2"/>
      <c r="AM89" s="2"/>
      <c r="AN89" s="2"/>
      <c r="AO89" s="1"/>
      <c r="AP89" s="1"/>
      <c r="AQ89" s="1"/>
      <c r="AR89" s="1"/>
      <c r="AS89" s="1"/>
      <c r="AT89" s="1"/>
      <c r="AU89" s="1"/>
      <c r="AV89" s="1"/>
      <c r="AW89" s="1"/>
      <c r="AX89" s="1"/>
      <c r="AY89" s="1"/>
    </row>
    <row r="90" spans="1:51" ht="17.25" thickBot="1" x14ac:dyDescent="0.35">
      <c r="A90" s="147"/>
      <c r="B90" s="97"/>
      <c r="C90" s="103"/>
      <c r="D90" s="103"/>
      <c r="E90" s="103"/>
      <c r="F90" s="150"/>
      <c r="G90" s="150"/>
      <c r="H90" s="100"/>
      <c r="I90" s="7">
        <f t="shared" si="61"/>
        <v>0</v>
      </c>
      <c r="J90" s="100"/>
      <c r="K90" s="7">
        <f t="shared" si="62"/>
        <v>0</v>
      </c>
      <c r="L90" s="100"/>
      <c r="M90" s="7">
        <f t="shared" si="63"/>
        <v>0</v>
      </c>
      <c r="N90" s="100"/>
      <c r="O90" s="7">
        <f t="shared" si="64"/>
        <v>0</v>
      </c>
      <c r="P90" s="100"/>
      <c r="Q90" s="7">
        <f t="shared" si="50"/>
        <v>0</v>
      </c>
      <c r="R90" s="100"/>
      <c r="S90" s="7">
        <f t="shared" si="51"/>
        <v>0</v>
      </c>
      <c r="T90" s="100"/>
      <c r="U90" s="7">
        <f t="shared" si="52"/>
        <v>0</v>
      </c>
      <c r="V90" s="8">
        <f t="shared" si="65"/>
        <v>0</v>
      </c>
      <c r="W90" s="8" t="str">
        <f t="shared" si="53"/>
        <v/>
      </c>
      <c r="X90" s="8" t="str">
        <f t="shared" si="54"/>
        <v/>
      </c>
      <c r="Y90" s="8" t="str">
        <f t="shared" si="55"/>
        <v/>
      </c>
      <c r="Z90" s="8" t="str">
        <f t="shared" si="56"/>
        <v/>
      </c>
      <c r="AA90" s="152"/>
      <c r="AB90" s="152"/>
      <c r="AC90" s="180"/>
      <c r="AD90" s="2"/>
      <c r="AE90" s="2"/>
      <c r="AF90" s="2"/>
      <c r="AG90" s="2"/>
      <c r="AH90" s="2"/>
      <c r="AI90" s="2"/>
      <c r="AJ90" s="2"/>
      <c r="AK90" s="2"/>
      <c r="AL90" s="2"/>
      <c r="AM90" s="2"/>
      <c r="AN90" s="2"/>
      <c r="AO90" s="1"/>
      <c r="AP90" s="1"/>
      <c r="AQ90" s="1"/>
      <c r="AR90" s="1"/>
      <c r="AS90" s="1"/>
      <c r="AT90" s="1"/>
      <c r="AU90" s="1"/>
      <c r="AV90" s="1"/>
      <c r="AW90" s="1"/>
      <c r="AX90" s="1"/>
      <c r="AY90" s="1"/>
    </row>
    <row r="91" spans="1:51" ht="17.25" thickBot="1" x14ac:dyDescent="0.35">
      <c r="A91" s="147"/>
      <c r="B91" s="97">
        <v>43650</v>
      </c>
      <c r="C91" s="103">
        <v>18</v>
      </c>
      <c r="D91" s="103"/>
      <c r="E91" s="103"/>
      <c r="F91" s="150"/>
      <c r="G91" s="150"/>
      <c r="H91" s="100">
        <v>118</v>
      </c>
      <c r="I91" s="7">
        <f t="shared" si="61"/>
        <v>590</v>
      </c>
      <c r="J91" s="100"/>
      <c r="K91" s="7">
        <f t="shared" si="62"/>
        <v>0</v>
      </c>
      <c r="L91" s="100"/>
      <c r="M91" s="7">
        <f t="shared" si="63"/>
        <v>0</v>
      </c>
      <c r="N91" s="100"/>
      <c r="O91" s="7">
        <f t="shared" si="64"/>
        <v>0</v>
      </c>
      <c r="P91" s="100"/>
      <c r="Q91" s="7">
        <f t="shared" si="50"/>
        <v>0</v>
      </c>
      <c r="R91" s="100"/>
      <c r="S91" s="7">
        <f t="shared" si="51"/>
        <v>0</v>
      </c>
      <c r="T91" s="100"/>
      <c r="U91" s="7">
        <f t="shared" si="52"/>
        <v>0</v>
      </c>
      <c r="V91" s="8">
        <f t="shared" si="65"/>
        <v>0.51215277777777779</v>
      </c>
      <c r="W91" s="8">
        <f t="shared" si="53"/>
        <v>32.777777777777779</v>
      </c>
      <c r="X91" s="8">
        <f t="shared" si="54"/>
        <v>32.777777777777779</v>
      </c>
      <c r="Y91" s="8" t="str">
        <f t="shared" si="55"/>
        <v/>
      </c>
      <c r="Z91" s="8" t="str">
        <f t="shared" si="56"/>
        <v/>
      </c>
      <c r="AA91" s="152"/>
      <c r="AB91" s="152"/>
      <c r="AC91" s="180"/>
      <c r="AD91" s="2"/>
      <c r="AE91" s="2"/>
      <c r="AF91" s="2"/>
      <c r="AG91" s="2"/>
      <c r="AH91" s="2"/>
      <c r="AI91" s="2"/>
      <c r="AJ91" s="2"/>
      <c r="AK91" s="2"/>
      <c r="AL91" s="2"/>
      <c r="AM91" s="2"/>
      <c r="AN91" s="2"/>
      <c r="AO91" s="1"/>
      <c r="AP91" s="1"/>
      <c r="AQ91" s="1"/>
      <c r="AR91" s="1"/>
      <c r="AS91" s="1"/>
      <c r="AT91" s="1"/>
      <c r="AU91" s="1"/>
      <c r="AV91" s="1"/>
      <c r="AW91" s="1"/>
      <c r="AX91" s="1"/>
      <c r="AY91" s="1"/>
    </row>
    <row r="92" spans="1:51" ht="17.25" thickBot="1" x14ac:dyDescent="0.35">
      <c r="A92" s="147"/>
      <c r="B92" s="97">
        <v>43286</v>
      </c>
      <c r="C92" s="103">
        <v>14</v>
      </c>
      <c r="D92" s="103"/>
      <c r="E92" s="103"/>
      <c r="F92" s="150"/>
      <c r="G92" s="150"/>
      <c r="H92" s="100">
        <v>99</v>
      </c>
      <c r="I92" s="7">
        <f t="shared" si="61"/>
        <v>495</v>
      </c>
      <c r="J92" s="100"/>
      <c r="K92" s="7">
        <f t="shared" si="62"/>
        <v>0</v>
      </c>
      <c r="L92" s="100"/>
      <c r="M92" s="7">
        <f t="shared" si="63"/>
        <v>0</v>
      </c>
      <c r="N92" s="100"/>
      <c r="O92" s="7">
        <f t="shared" si="64"/>
        <v>0</v>
      </c>
      <c r="P92" s="100"/>
      <c r="Q92" s="7">
        <f t="shared" si="50"/>
        <v>0</v>
      </c>
      <c r="R92" s="100"/>
      <c r="S92" s="7">
        <f t="shared" si="51"/>
        <v>0</v>
      </c>
      <c r="T92" s="100"/>
      <c r="U92" s="7">
        <f t="shared" si="52"/>
        <v>0</v>
      </c>
      <c r="V92" s="8">
        <f t="shared" si="65"/>
        <v>0.4296875</v>
      </c>
      <c r="W92" s="8">
        <f t="shared" si="53"/>
        <v>35.357142857142854</v>
      </c>
      <c r="X92" s="8">
        <f t="shared" si="54"/>
        <v>35.357142857142854</v>
      </c>
      <c r="Y92" s="8" t="str">
        <f t="shared" si="55"/>
        <v/>
      </c>
      <c r="Z92" s="8" t="str">
        <f t="shared" si="56"/>
        <v/>
      </c>
      <c r="AA92" s="152"/>
      <c r="AB92" s="152"/>
      <c r="AC92" s="180"/>
      <c r="AD92" s="2"/>
      <c r="AE92" s="2"/>
      <c r="AF92" s="2"/>
      <c r="AG92" s="2"/>
      <c r="AH92" s="2"/>
      <c r="AI92" s="2"/>
      <c r="AJ92" s="2"/>
      <c r="AK92" s="2"/>
      <c r="AL92" s="2"/>
      <c r="AM92" s="2"/>
      <c r="AN92" s="2"/>
      <c r="AO92" s="1"/>
      <c r="AP92" s="1"/>
      <c r="AQ92" s="1"/>
      <c r="AR92" s="1"/>
      <c r="AS92" s="1"/>
      <c r="AT92" s="1"/>
      <c r="AU92" s="1"/>
      <c r="AV92" s="1"/>
      <c r="AW92" s="1"/>
      <c r="AX92" s="1"/>
      <c r="AY92" s="1"/>
    </row>
    <row r="93" spans="1:51" ht="17.25" thickBot="1" x14ac:dyDescent="0.35">
      <c r="A93" s="148"/>
      <c r="B93" s="98"/>
      <c r="C93" s="104"/>
      <c r="D93" s="104"/>
      <c r="E93" s="104"/>
      <c r="F93" s="151"/>
      <c r="G93" s="151"/>
      <c r="H93" s="101"/>
      <c r="I93" s="39">
        <f t="shared" si="61"/>
        <v>0</v>
      </c>
      <c r="J93" s="101"/>
      <c r="K93" s="39">
        <f t="shared" si="62"/>
        <v>0</v>
      </c>
      <c r="L93" s="101"/>
      <c r="M93" s="39">
        <f t="shared" si="63"/>
        <v>0</v>
      </c>
      <c r="N93" s="101"/>
      <c r="O93" s="39">
        <f t="shared" si="64"/>
        <v>0</v>
      </c>
      <c r="P93" s="101"/>
      <c r="Q93" s="39">
        <f t="shared" si="50"/>
        <v>0</v>
      </c>
      <c r="R93" s="101"/>
      <c r="S93" s="39">
        <f t="shared" si="51"/>
        <v>0</v>
      </c>
      <c r="T93" s="101"/>
      <c r="U93" s="39">
        <f t="shared" si="52"/>
        <v>0</v>
      </c>
      <c r="V93" s="36">
        <f t="shared" si="65"/>
        <v>0</v>
      </c>
      <c r="W93" s="36" t="str">
        <f t="shared" si="53"/>
        <v/>
      </c>
      <c r="X93" s="36" t="str">
        <f t="shared" si="54"/>
        <v/>
      </c>
      <c r="Y93" s="36" t="str">
        <f t="shared" si="55"/>
        <v/>
      </c>
      <c r="Z93" s="36" t="str">
        <f t="shared" si="56"/>
        <v/>
      </c>
      <c r="AA93" s="152"/>
      <c r="AB93" s="152"/>
      <c r="AC93" s="181"/>
      <c r="AD93" s="2"/>
      <c r="AE93" s="2"/>
      <c r="AF93" s="2"/>
      <c r="AG93" s="2"/>
      <c r="AH93" s="2"/>
      <c r="AI93" s="2"/>
      <c r="AJ93" s="2"/>
      <c r="AK93" s="2"/>
      <c r="AL93" s="2"/>
      <c r="AM93" s="2"/>
      <c r="AN93" s="2"/>
      <c r="AO93" s="1"/>
      <c r="AP93" s="1"/>
      <c r="AQ93" s="1"/>
      <c r="AR93" s="1"/>
      <c r="AS93" s="1"/>
      <c r="AT93" s="1"/>
      <c r="AU93" s="1"/>
      <c r="AV93" s="1"/>
      <c r="AW93" s="1"/>
      <c r="AX93" s="1"/>
      <c r="AY93" s="1"/>
    </row>
    <row r="94" spans="1:51" ht="17.25" thickBot="1" x14ac:dyDescent="0.35">
      <c r="A94" s="147">
        <v>28</v>
      </c>
      <c r="B94" s="105"/>
      <c r="C94" s="102"/>
      <c r="D94" s="102"/>
      <c r="E94" s="102"/>
      <c r="F94" s="149">
        <f t="shared" ref="F94" si="75">SUM(M94:M99,O94:O99,Q94:Q99,S94:S99,I94:I99,K94:K99)</f>
        <v>855</v>
      </c>
      <c r="G94" s="149">
        <f t="shared" ref="G94" si="76">SUM(M94:M99,O94:O99,Q94:Q99,S94:S99,U94:U99,K94:K99,I94:I99)</f>
        <v>855</v>
      </c>
      <c r="H94" s="99"/>
      <c r="I94" s="7">
        <f t="shared" si="61"/>
        <v>0</v>
      </c>
      <c r="J94" s="99"/>
      <c r="K94" s="7">
        <f t="shared" si="62"/>
        <v>0</v>
      </c>
      <c r="L94" s="99"/>
      <c r="M94" s="7">
        <f t="shared" si="63"/>
        <v>0</v>
      </c>
      <c r="N94" s="99"/>
      <c r="O94" s="7">
        <f t="shared" si="64"/>
        <v>0</v>
      </c>
      <c r="P94" s="99"/>
      <c r="Q94" s="7">
        <f t="shared" si="50"/>
        <v>0</v>
      </c>
      <c r="R94" s="99"/>
      <c r="S94" s="7">
        <f t="shared" si="51"/>
        <v>0</v>
      </c>
      <c r="T94" s="99"/>
      <c r="U94" s="7">
        <f t="shared" si="52"/>
        <v>0</v>
      </c>
      <c r="V94" s="8">
        <f t="shared" si="65"/>
        <v>0</v>
      </c>
      <c r="W94" s="8" t="str">
        <f t="shared" si="53"/>
        <v/>
      </c>
      <c r="X94" s="8" t="str">
        <f t="shared" si="54"/>
        <v/>
      </c>
      <c r="Y94" s="8" t="str">
        <f t="shared" si="55"/>
        <v/>
      </c>
      <c r="Z94" s="8" t="str">
        <f t="shared" si="56"/>
        <v/>
      </c>
      <c r="AA94" s="152">
        <f t="shared" ref="AA94" si="77">AVERAGE(W94:W99)</f>
        <v>36.013888888888886</v>
      </c>
      <c r="AB94" s="152">
        <f t="shared" ref="AB94" si="78">SUM(V94:V99)</f>
        <v>0.7421875</v>
      </c>
      <c r="AC94" s="179"/>
      <c r="AD94" s="2"/>
      <c r="AE94" s="2"/>
      <c r="AF94" s="2"/>
      <c r="AG94" s="2"/>
      <c r="AH94" s="2"/>
      <c r="AI94" s="2"/>
      <c r="AJ94" s="2"/>
      <c r="AK94" s="2"/>
      <c r="AL94" s="2"/>
      <c r="AM94" s="2"/>
      <c r="AN94" s="2"/>
      <c r="AO94" s="1"/>
      <c r="AP94" s="1"/>
      <c r="AQ94" s="1"/>
      <c r="AR94" s="1"/>
      <c r="AS94" s="1"/>
      <c r="AT94" s="1"/>
      <c r="AU94" s="1"/>
      <c r="AV94" s="1"/>
      <c r="AW94" s="1"/>
      <c r="AX94" s="1"/>
      <c r="AY94" s="1"/>
    </row>
    <row r="95" spans="1:51" ht="17.25" thickBot="1" x14ac:dyDescent="0.35">
      <c r="A95" s="147"/>
      <c r="B95" s="97"/>
      <c r="C95" s="103"/>
      <c r="D95" s="103"/>
      <c r="E95" s="103"/>
      <c r="F95" s="150"/>
      <c r="G95" s="150"/>
      <c r="H95" s="100"/>
      <c r="I95" s="7">
        <f t="shared" si="61"/>
        <v>0</v>
      </c>
      <c r="J95" s="100"/>
      <c r="K95" s="7">
        <f t="shared" si="62"/>
        <v>0</v>
      </c>
      <c r="L95" s="100"/>
      <c r="M95" s="7">
        <f t="shared" si="63"/>
        <v>0</v>
      </c>
      <c r="N95" s="100"/>
      <c r="O95" s="7">
        <f t="shared" si="64"/>
        <v>0</v>
      </c>
      <c r="P95" s="100"/>
      <c r="Q95" s="7">
        <f t="shared" si="50"/>
        <v>0</v>
      </c>
      <c r="R95" s="100"/>
      <c r="S95" s="7">
        <f t="shared" si="51"/>
        <v>0</v>
      </c>
      <c r="T95" s="100"/>
      <c r="U95" s="7">
        <f t="shared" si="52"/>
        <v>0</v>
      </c>
      <c r="V95" s="8">
        <f t="shared" si="65"/>
        <v>0</v>
      </c>
      <c r="W95" s="8" t="str">
        <f t="shared" si="53"/>
        <v/>
      </c>
      <c r="X95" s="8" t="str">
        <f t="shared" si="54"/>
        <v/>
      </c>
      <c r="Y95" s="8" t="str">
        <f t="shared" si="55"/>
        <v/>
      </c>
      <c r="Z95" s="8" t="str">
        <f t="shared" si="56"/>
        <v/>
      </c>
      <c r="AA95" s="152"/>
      <c r="AB95" s="152"/>
      <c r="AC95" s="180"/>
      <c r="AD95" s="2"/>
      <c r="AE95" s="2"/>
      <c r="AF95" s="2"/>
      <c r="AG95" s="2"/>
      <c r="AH95" s="2"/>
      <c r="AI95" s="2"/>
      <c r="AJ95" s="2"/>
      <c r="AK95" s="2"/>
      <c r="AL95" s="2"/>
      <c r="AM95" s="2"/>
      <c r="AN95" s="2"/>
      <c r="AO95" s="1"/>
      <c r="AP95" s="1"/>
      <c r="AQ95" s="1"/>
      <c r="AR95" s="1"/>
      <c r="AS95" s="1"/>
      <c r="AT95" s="1"/>
      <c r="AU95" s="1"/>
      <c r="AV95" s="1"/>
      <c r="AW95" s="1"/>
      <c r="AX95" s="1"/>
      <c r="AY95" s="1"/>
    </row>
    <row r="96" spans="1:51" ht="17.25" thickBot="1" x14ac:dyDescent="0.35">
      <c r="A96" s="147"/>
      <c r="B96" s="97"/>
      <c r="C96" s="103"/>
      <c r="D96" s="103"/>
      <c r="E96" s="103"/>
      <c r="F96" s="150"/>
      <c r="G96" s="150"/>
      <c r="H96" s="100"/>
      <c r="I96" s="7">
        <f t="shared" si="61"/>
        <v>0</v>
      </c>
      <c r="J96" s="100"/>
      <c r="K96" s="7">
        <f t="shared" si="62"/>
        <v>0</v>
      </c>
      <c r="L96" s="100"/>
      <c r="M96" s="7">
        <f t="shared" si="63"/>
        <v>0</v>
      </c>
      <c r="N96" s="100"/>
      <c r="O96" s="7">
        <f t="shared" si="64"/>
        <v>0</v>
      </c>
      <c r="P96" s="100"/>
      <c r="Q96" s="7">
        <f t="shared" si="50"/>
        <v>0</v>
      </c>
      <c r="R96" s="100"/>
      <c r="S96" s="7">
        <f t="shared" si="51"/>
        <v>0</v>
      </c>
      <c r="T96" s="100"/>
      <c r="U96" s="7">
        <f t="shared" si="52"/>
        <v>0</v>
      </c>
      <c r="V96" s="8">
        <f t="shared" si="65"/>
        <v>0</v>
      </c>
      <c r="W96" s="8" t="str">
        <f t="shared" si="53"/>
        <v/>
      </c>
      <c r="X96" s="8" t="str">
        <f t="shared" si="54"/>
        <v/>
      </c>
      <c r="Y96" s="8" t="str">
        <f t="shared" si="55"/>
        <v/>
      </c>
      <c r="Z96" s="8" t="str">
        <f t="shared" si="56"/>
        <v/>
      </c>
      <c r="AA96" s="152"/>
      <c r="AB96" s="152"/>
      <c r="AC96" s="180"/>
      <c r="AD96" s="2"/>
      <c r="AE96" s="2"/>
      <c r="AF96" s="2"/>
      <c r="AG96" s="2"/>
      <c r="AH96" s="2"/>
      <c r="AI96" s="2"/>
      <c r="AJ96" s="2"/>
      <c r="AK96" s="2"/>
      <c r="AL96" s="2"/>
      <c r="AM96" s="2"/>
      <c r="AN96" s="2"/>
      <c r="AO96" s="1"/>
      <c r="AP96" s="1"/>
      <c r="AQ96" s="1"/>
      <c r="AR96" s="1"/>
      <c r="AS96" s="1"/>
      <c r="AT96" s="1"/>
      <c r="AU96" s="1"/>
      <c r="AV96" s="1"/>
      <c r="AW96" s="1"/>
      <c r="AX96" s="1"/>
      <c r="AY96" s="1"/>
    </row>
    <row r="97" spans="1:51" ht="17.25" thickBot="1" x14ac:dyDescent="0.35">
      <c r="A97" s="147"/>
      <c r="B97" s="97">
        <v>43657</v>
      </c>
      <c r="C97" s="103">
        <v>20</v>
      </c>
      <c r="D97" s="103"/>
      <c r="E97" s="103"/>
      <c r="F97" s="150"/>
      <c r="G97" s="150"/>
      <c r="H97" s="100">
        <v>137</v>
      </c>
      <c r="I97" s="7">
        <f t="shared" si="61"/>
        <v>685</v>
      </c>
      <c r="J97" s="100"/>
      <c r="K97" s="7">
        <f t="shared" si="62"/>
        <v>0</v>
      </c>
      <c r="L97" s="100"/>
      <c r="M97" s="7">
        <f t="shared" si="63"/>
        <v>0</v>
      </c>
      <c r="N97" s="100"/>
      <c r="O97" s="7">
        <f t="shared" si="64"/>
        <v>0</v>
      </c>
      <c r="P97" s="100"/>
      <c r="Q97" s="7">
        <f t="shared" si="50"/>
        <v>0</v>
      </c>
      <c r="R97" s="100"/>
      <c r="S97" s="7">
        <f t="shared" si="51"/>
        <v>0</v>
      </c>
      <c r="T97" s="100"/>
      <c r="U97" s="7">
        <f t="shared" si="52"/>
        <v>0</v>
      </c>
      <c r="V97" s="8">
        <f t="shared" si="65"/>
        <v>0.59461805555555558</v>
      </c>
      <c r="W97" s="8">
        <f t="shared" si="53"/>
        <v>34.25</v>
      </c>
      <c r="X97" s="8">
        <f t="shared" si="54"/>
        <v>34.25</v>
      </c>
      <c r="Y97" s="8" t="str">
        <f t="shared" si="55"/>
        <v/>
      </c>
      <c r="Z97" s="8" t="str">
        <f t="shared" si="56"/>
        <v/>
      </c>
      <c r="AA97" s="152"/>
      <c r="AB97" s="152"/>
      <c r="AC97" s="180"/>
      <c r="AD97" s="2"/>
      <c r="AE97" s="2"/>
      <c r="AF97" s="2"/>
      <c r="AG97" s="2"/>
      <c r="AH97" s="2"/>
      <c r="AI97" s="2"/>
      <c r="AJ97" s="2"/>
      <c r="AK97" s="2"/>
      <c r="AL97" s="2"/>
      <c r="AM97" s="2"/>
      <c r="AN97" s="2"/>
      <c r="AO97" s="1"/>
      <c r="AP97" s="1"/>
      <c r="AQ97" s="1"/>
      <c r="AR97" s="1"/>
      <c r="AS97" s="1"/>
      <c r="AT97" s="1"/>
      <c r="AU97" s="1"/>
      <c r="AV97" s="1"/>
      <c r="AW97" s="1"/>
      <c r="AX97" s="1"/>
      <c r="AY97" s="1"/>
    </row>
    <row r="98" spans="1:51" ht="17.25" thickBot="1" x14ac:dyDescent="0.35">
      <c r="A98" s="147"/>
      <c r="B98" s="97">
        <v>43658</v>
      </c>
      <c r="C98" s="103">
        <v>4.5</v>
      </c>
      <c r="D98" s="103"/>
      <c r="E98" s="103"/>
      <c r="F98" s="150"/>
      <c r="G98" s="150"/>
      <c r="H98" s="100">
        <v>34</v>
      </c>
      <c r="I98" s="7">
        <f t="shared" si="61"/>
        <v>170</v>
      </c>
      <c r="J98" s="100"/>
      <c r="K98" s="7">
        <f t="shared" si="62"/>
        <v>0</v>
      </c>
      <c r="L98" s="100"/>
      <c r="M98" s="7">
        <f t="shared" si="63"/>
        <v>0</v>
      </c>
      <c r="N98" s="100"/>
      <c r="O98" s="7">
        <f t="shared" si="64"/>
        <v>0</v>
      </c>
      <c r="P98" s="100"/>
      <c r="Q98" s="7">
        <f t="shared" si="50"/>
        <v>0</v>
      </c>
      <c r="R98" s="100"/>
      <c r="S98" s="7">
        <f t="shared" si="51"/>
        <v>0</v>
      </c>
      <c r="T98" s="100"/>
      <c r="U98" s="7">
        <f t="shared" si="52"/>
        <v>0</v>
      </c>
      <c r="V98" s="8">
        <f t="shared" si="65"/>
        <v>0.14756944444444445</v>
      </c>
      <c r="W98" s="8">
        <f t="shared" si="53"/>
        <v>37.777777777777779</v>
      </c>
      <c r="X98" s="8">
        <f t="shared" si="54"/>
        <v>37.777777777777779</v>
      </c>
      <c r="Y98" s="8" t="str">
        <f t="shared" si="55"/>
        <v/>
      </c>
      <c r="Z98" s="8" t="str">
        <f t="shared" si="56"/>
        <v/>
      </c>
      <c r="AA98" s="152"/>
      <c r="AB98" s="152"/>
      <c r="AC98" s="180"/>
      <c r="AD98" s="2"/>
      <c r="AE98" s="2"/>
      <c r="AF98" s="2"/>
      <c r="AG98" s="2"/>
      <c r="AH98" s="2"/>
      <c r="AI98" s="2"/>
      <c r="AJ98" s="2"/>
      <c r="AK98" s="2"/>
      <c r="AL98" s="2"/>
      <c r="AM98" s="2"/>
      <c r="AN98" s="2"/>
      <c r="AO98" s="1"/>
      <c r="AP98" s="1"/>
      <c r="AQ98" s="1"/>
      <c r="AR98" s="1"/>
      <c r="AS98" s="1"/>
      <c r="AT98" s="1"/>
      <c r="AU98" s="1"/>
      <c r="AV98" s="1"/>
      <c r="AW98" s="1"/>
      <c r="AX98" s="1"/>
      <c r="AY98" s="1"/>
    </row>
    <row r="99" spans="1:51" ht="17.25" thickBot="1" x14ac:dyDescent="0.35">
      <c r="A99" s="147"/>
      <c r="B99" s="98"/>
      <c r="C99" s="104"/>
      <c r="D99" s="104"/>
      <c r="E99" s="104"/>
      <c r="F99" s="151"/>
      <c r="G99" s="151"/>
      <c r="H99" s="101"/>
      <c r="I99" s="7">
        <f t="shared" si="61"/>
        <v>0</v>
      </c>
      <c r="J99" s="101"/>
      <c r="K99" s="7">
        <f t="shared" si="62"/>
        <v>0</v>
      </c>
      <c r="L99" s="101"/>
      <c r="M99" s="7">
        <f t="shared" si="63"/>
        <v>0</v>
      </c>
      <c r="N99" s="101"/>
      <c r="O99" s="7">
        <f t="shared" si="64"/>
        <v>0</v>
      </c>
      <c r="P99" s="101"/>
      <c r="Q99" s="7">
        <f t="shared" si="50"/>
        <v>0</v>
      </c>
      <c r="R99" s="101"/>
      <c r="S99" s="7">
        <f t="shared" si="51"/>
        <v>0</v>
      </c>
      <c r="T99" s="101"/>
      <c r="U99" s="7">
        <f t="shared" si="52"/>
        <v>0</v>
      </c>
      <c r="V99" s="8">
        <f t="shared" si="65"/>
        <v>0</v>
      </c>
      <c r="W99" s="8" t="str">
        <f t="shared" si="53"/>
        <v/>
      </c>
      <c r="X99" s="8" t="str">
        <f t="shared" si="54"/>
        <v/>
      </c>
      <c r="Y99" s="8" t="str">
        <f t="shared" si="55"/>
        <v/>
      </c>
      <c r="Z99" s="8" t="str">
        <f t="shared" si="56"/>
        <v/>
      </c>
      <c r="AA99" s="152"/>
      <c r="AB99" s="152"/>
      <c r="AC99" s="181"/>
      <c r="AD99" s="2"/>
      <c r="AE99" s="2"/>
      <c r="AF99" s="2"/>
      <c r="AG99" s="2"/>
      <c r="AH99" s="2"/>
      <c r="AI99" s="2"/>
      <c r="AJ99" s="2"/>
      <c r="AK99" s="2"/>
      <c r="AL99" s="2"/>
      <c r="AM99" s="2"/>
      <c r="AN99" s="2"/>
      <c r="AO99" s="1"/>
      <c r="AP99" s="1"/>
      <c r="AQ99" s="1"/>
      <c r="AR99" s="1"/>
      <c r="AS99" s="1"/>
      <c r="AT99" s="1"/>
      <c r="AU99" s="1"/>
      <c r="AV99" s="1"/>
      <c r="AW99" s="1"/>
      <c r="AX99" s="1"/>
      <c r="AY99" s="1"/>
    </row>
    <row r="100" spans="1:51" ht="17.25" thickBot="1" x14ac:dyDescent="0.35">
      <c r="A100" s="146">
        <v>29</v>
      </c>
      <c r="B100" s="105"/>
      <c r="C100" s="102"/>
      <c r="D100" s="102"/>
      <c r="E100" s="102"/>
      <c r="F100" s="149">
        <f t="shared" ref="F100" si="79">SUM(M100:M105,O100:O105,Q100:Q105,S100:S105,I100:I105,K100:K105)</f>
        <v>610</v>
      </c>
      <c r="G100" s="149">
        <f t="shared" ref="G100" si="80">SUM(M100:M105,O100:O105,Q100:Q105,S100:S105,U100:U105,K100:K105,I100:I105)</f>
        <v>610</v>
      </c>
      <c r="H100" s="99"/>
      <c r="I100" s="40">
        <f t="shared" si="61"/>
        <v>0</v>
      </c>
      <c r="J100" s="99"/>
      <c r="K100" s="40">
        <f t="shared" si="62"/>
        <v>0</v>
      </c>
      <c r="L100" s="99"/>
      <c r="M100" s="40">
        <f t="shared" si="63"/>
        <v>0</v>
      </c>
      <c r="N100" s="99"/>
      <c r="O100" s="40">
        <f t="shared" si="64"/>
        <v>0</v>
      </c>
      <c r="P100" s="99"/>
      <c r="Q100" s="40">
        <f t="shared" si="50"/>
        <v>0</v>
      </c>
      <c r="R100" s="99"/>
      <c r="S100" s="40">
        <f t="shared" si="51"/>
        <v>0</v>
      </c>
      <c r="T100" s="99"/>
      <c r="U100" s="40">
        <f t="shared" si="52"/>
        <v>0</v>
      </c>
      <c r="V100" s="34">
        <f t="shared" si="65"/>
        <v>0</v>
      </c>
      <c r="W100" s="34" t="str">
        <f t="shared" si="53"/>
        <v/>
      </c>
      <c r="X100" s="34" t="str">
        <f t="shared" si="54"/>
        <v/>
      </c>
      <c r="Y100" s="34" t="str">
        <f t="shared" si="55"/>
        <v/>
      </c>
      <c r="Z100" s="34" t="str">
        <f t="shared" si="56"/>
        <v/>
      </c>
      <c r="AA100" s="152">
        <f>AVERAGE(W100:W105)</f>
        <v>35.882352941176471</v>
      </c>
      <c r="AB100" s="152">
        <f t="shared" ref="AB100" si="81">SUM(V100:V105)</f>
        <v>0.52951388888888884</v>
      </c>
      <c r="AC100" s="179"/>
      <c r="AD100" s="2"/>
      <c r="AE100" s="2"/>
      <c r="AF100" s="2"/>
      <c r="AG100" s="2"/>
      <c r="AH100" s="2"/>
      <c r="AI100" s="2"/>
      <c r="AJ100" s="2"/>
      <c r="AK100" s="2"/>
      <c r="AL100" s="2"/>
      <c r="AM100" s="2"/>
      <c r="AN100" s="2"/>
      <c r="AO100" s="1"/>
      <c r="AP100" s="1"/>
      <c r="AQ100" s="1"/>
      <c r="AR100" s="1"/>
      <c r="AS100" s="1"/>
      <c r="AT100" s="1"/>
      <c r="AU100" s="1"/>
      <c r="AV100" s="1"/>
      <c r="AW100" s="1"/>
      <c r="AX100" s="1"/>
      <c r="AY100" s="1"/>
    </row>
    <row r="101" spans="1:51" ht="17.25" thickBot="1" x14ac:dyDescent="0.35">
      <c r="A101" s="147"/>
      <c r="B101" s="97"/>
      <c r="C101" s="103"/>
      <c r="D101" s="103"/>
      <c r="E101" s="103"/>
      <c r="F101" s="150"/>
      <c r="G101" s="150"/>
      <c r="H101" s="100"/>
      <c r="I101" s="7">
        <f t="shared" si="61"/>
        <v>0</v>
      </c>
      <c r="J101" s="100"/>
      <c r="K101" s="7">
        <f t="shared" si="62"/>
        <v>0</v>
      </c>
      <c r="L101" s="100"/>
      <c r="M101" s="7">
        <f t="shared" si="63"/>
        <v>0</v>
      </c>
      <c r="N101" s="100"/>
      <c r="O101" s="7">
        <f t="shared" si="64"/>
        <v>0</v>
      </c>
      <c r="P101" s="100"/>
      <c r="Q101" s="7">
        <f t="shared" si="50"/>
        <v>0</v>
      </c>
      <c r="R101" s="100"/>
      <c r="S101" s="7">
        <f t="shared" si="51"/>
        <v>0</v>
      </c>
      <c r="T101" s="100"/>
      <c r="U101" s="7">
        <f t="shared" si="52"/>
        <v>0</v>
      </c>
      <c r="V101" s="8">
        <f t="shared" si="65"/>
        <v>0</v>
      </c>
      <c r="W101" s="8" t="str">
        <f t="shared" si="53"/>
        <v/>
      </c>
      <c r="X101" s="8" t="str">
        <f t="shared" si="54"/>
        <v/>
      </c>
      <c r="Y101" s="8" t="str">
        <f t="shared" si="55"/>
        <v/>
      </c>
      <c r="Z101" s="8" t="str">
        <f t="shared" si="56"/>
        <v/>
      </c>
      <c r="AA101" s="152"/>
      <c r="AB101" s="152"/>
      <c r="AC101" s="180"/>
      <c r="AD101" s="2"/>
      <c r="AE101" s="2"/>
      <c r="AF101" s="2"/>
      <c r="AG101" s="2"/>
      <c r="AH101" s="2"/>
      <c r="AI101" s="2"/>
      <c r="AJ101" s="2"/>
      <c r="AK101" s="2"/>
      <c r="AL101" s="2"/>
      <c r="AM101" s="2"/>
      <c r="AN101" s="2"/>
      <c r="AO101" s="1"/>
      <c r="AP101" s="1"/>
      <c r="AQ101" s="1"/>
      <c r="AR101" s="1"/>
      <c r="AS101" s="1"/>
      <c r="AT101" s="1"/>
      <c r="AU101" s="1"/>
      <c r="AV101" s="1"/>
      <c r="AW101" s="1"/>
      <c r="AX101" s="1"/>
      <c r="AY101" s="1"/>
    </row>
    <row r="102" spans="1:51" ht="17.25" thickBot="1" x14ac:dyDescent="0.35">
      <c r="A102" s="147"/>
      <c r="B102" s="97"/>
      <c r="C102" s="103"/>
      <c r="D102" s="103"/>
      <c r="E102" s="103"/>
      <c r="F102" s="150"/>
      <c r="G102" s="150"/>
      <c r="H102" s="100"/>
      <c r="I102" s="7">
        <f t="shared" si="61"/>
        <v>0</v>
      </c>
      <c r="J102" s="100"/>
      <c r="K102" s="7">
        <f t="shared" si="62"/>
        <v>0</v>
      </c>
      <c r="L102" s="100"/>
      <c r="M102" s="7">
        <f t="shared" si="63"/>
        <v>0</v>
      </c>
      <c r="N102" s="100"/>
      <c r="O102" s="7">
        <f t="shared" si="64"/>
        <v>0</v>
      </c>
      <c r="P102" s="100"/>
      <c r="Q102" s="7">
        <f t="shared" si="50"/>
        <v>0</v>
      </c>
      <c r="R102" s="100"/>
      <c r="S102" s="7">
        <f t="shared" si="51"/>
        <v>0</v>
      </c>
      <c r="T102" s="100"/>
      <c r="U102" s="7">
        <f t="shared" si="52"/>
        <v>0</v>
      </c>
      <c r="V102" s="8">
        <f t="shared" si="65"/>
        <v>0</v>
      </c>
      <c r="W102" s="8" t="str">
        <f t="shared" si="53"/>
        <v/>
      </c>
      <c r="X102" s="8" t="str">
        <f t="shared" si="54"/>
        <v/>
      </c>
      <c r="Y102" s="8" t="str">
        <f t="shared" si="55"/>
        <v/>
      </c>
      <c r="Z102" s="8" t="str">
        <f t="shared" si="56"/>
        <v/>
      </c>
      <c r="AA102" s="152"/>
      <c r="AB102" s="152"/>
      <c r="AC102" s="180"/>
      <c r="AD102" s="2"/>
      <c r="AE102" s="2"/>
      <c r="AF102" s="2"/>
      <c r="AG102" s="2"/>
      <c r="AH102" s="2"/>
      <c r="AI102" s="2"/>
      <c r="AJ102" s="2"/>
      <c r="AK102" s="2"/>
      <c r="AL102" s="2"/>
      <c r="AM102" s="2"/>
      <c r="AN102" s="2"/>
      <c r="AO102" s="1"/>
      <c r="AP102" s="1"/>
      <c r="AQ102" s="1"/>
      <c r="AR102" s="1"/>
      <c r="AS102" s="1"/>
      <c r="AT102" s="1"/>
      <c r="AU102" s="1"/>
      <c r="AV102" s="1"/>
      <c r="AW102" s="1"/>
      <c r="AX102" s="1"/>
      <c r="AY102" s="1"/>
    </row>
    <row r="103" spans="1:51" ht="17.25" thickBot="1" x14ac:dyDescent="0.35">
      <c r="A103" s="147"/>
      <c r="B103" s="97">
        <v>43664</v>
      </c>
      <c r="C103" s="103">
        <v>17</v>
      </c>
      <c r="D103" s="103"/>
      <c r="E103" s="103"/>
      <c r="F103" s="150"/>
      <c r="G103" s="150"/>
      <c r="H103" s="100">
        <v>122</v>
      </c>
      <c r="I103" s="7">
        <f t="shared" si="61"/>
        <v>610</v>
      </c>
      <c r="J103" s="100"/>
      <c r="K103" s="7">
        <f t="shared" si="62"/>
        <v>0</v>
      </c>
      <c r="L103" s="100"/>
      <c r="M103" s="7">
        <f t="shared" si="63"/>
        <v>0</v>
      </c>
      <c r="N103" s="100"/>
      <c r="O103" s="7">
        <f t="shared" si="64"/>
        <v>0</v>
      </c>
      <c r="P103" s="100"/>
      <c r="Q103" s="7">
        <f t="shared" si="50"/>
        <v>0</v>
      </c>
      <c r="R103" s="100"/>
      <c r="S103" s="7">
        <f t="shared" si="51"/>
        <v>0</v>
      </c>
      <c r="T103" s="100"/>
      <c r="U103" s="7">
        <f t="shared" si="52"/>
        <v>0</v>
      </c>
      <c r="V103" s="8">
        <f t="shared" si="65"/>
        <v>0.52951388888888884</v>
      </c>
      <c r="W103" s="8">
        <f t="shared" si="53"/>
        <v>35.882352941176471</v>
      </c>
      <c r="X103" s="8">
        <f t="shared" si="54"/>
        <v>35.882352941176471</v>
      </c>
      <c r="Y103" s="8" t="str">
        <f t="shared" si="55"/>
        <v/>
      </c>
      <c r="Z103" s="8" t="str">
        <f t="shared" si="56"/>
        <v/>
      </c>
      <c r="AA103" s="152"/>
      <c r="AB103" s="152"/>
      <c r="AC103" s="180"/>
      <c r="AD103" s="2"/>
      <c r="AE103" s="2"/>
      <c r="AF103" s="2"/>
      <c r="AG103" s="2"/>
      <c r="AH103" s="2"/>
      <c r="AI103" s="2"/>
      <c r="AJ103" s="2"/>
      <c r="AK103" s="2"/>
      <c r="AL103" s="2"/>
      <c r="AM103" s="2"/>
      <c r="AN103" s="2"/>
      <c r="AO103" s="1"/>
      <c r="AP103" s="1"/>
      <c r="AQ103" s="1"/>
      <c r="AR103" s="1"/>
      <c r="AS103" s="1"/>
      <c r="AT103" s="1"/>
      <c r="AU103" s="1"/>
      <c r="AV103" s="1"/>
      <c r="AW103" s="1"/>
      <c r="AX103" s="1"/>
      <c r="AY103" s="1"/>
    </row>
    <row r="104" spans="1:51" ht="17.25" thickBot="1" x14ac:dyDescent="0.35">
      <c r="A104" s="147"/>
      <c r="B104" s="97"/>
      <c r="C104" s="103"/>
      <c r="D104" s="103"/>
      <c r="E104" s="103"/>
      <c r="F104" s="150"/>
      <c r="G104" s="150"/>
      <c r="H104" s="100"/>
      <c r="I104" s="7">
        <f t="shared" si="61"/>
        <v>0</v>
      </c>
      <c r="J104" s="100"/>
      <c r="K104" s="7">
        <f t="shared" si="62"/>
        <v>0</v>
      </c>
      <c r="L104" s="100"/>
      <c r="M104" s="7">
        <f t="shared" si="63"/>
        <v>0</v>
      </c>
      <c r="N104" s="100"/>
      <c r="O104" s="7">
        <f t="shared" si="64"/>
        <v>0</v>
      </c>
      <c r="P104" s="100"/>
      <c r="Q104" s="7">
        <f t="shared" si="50"/>
        <v>0</v>
      </c>
      <c r="R104" s="100"/>
      <c r="S104" s="7">
        <f t="shared" si="51"/>
        <v>0</v>
      </c>
      <c r="T104" s="100"/>
      <c r="U104" s="7">
        <f t="shared" si="52"/>
        <v>0</v>
      </c>
      <c r="V104" s="8">
        <f t="shared" si="65"/>
        <v>0</v>
      </c>
      <c r="W104" s="8" t="str">
        <f t="shared" si="53"/>
        <v/>
      </c>
      <c r="X104" s="8" t="str">
        <f t="shared" si="54"/>
        <v/>
      </c>
      <c r="Y104" s="8" t="str">
        <f t="shared" si="55"/>
        <v/>
      </c>
      <c r="Z104" s="8" t="str">
        <f t="shared" si="56"/>
        <v/>
      </c>
      <c r="AA104" s="152"/>
      <c r="AB104" s="152"/>
      <c r="AC104" s="180"/>
      <c r="AD104" s="2"/>
      <c r="AE104" s="2"/>
      <c r="AF104" s="2"/>
      <c r="AG104" s="2"/>
      <c r="AH104" s="2"/>
      <c r="AI104" s="2"/>
      <c r="AJ104" s="2"/>
      <c r="AK104" s="2"/>
      <c r="AL104" s="2"/>
      <c r="AM104" s="2"/>
      <c r="AN104" s="2"/>
      <c r="AO104" s="1"/>
      <c r="AP104" s="1"/>
      <c r="AQ104" s="1"/>
      <c r="AR104" s="1"/>
      <c r="AS104" s="1"/>
      <c r="AT104" s="1"/>
      <c r="AU104" s="1"/>
      <c r="AV104" s="1"/>
      <c r="AW104" s="1"/>
      <c r="AX104" s="1"/>
      <c r="AY104" s="1"/>
    </row>
    <row r="105" spans="1:51" ht="17.25" thickBot="1" x14ac:dyDescent="0.35">
      <c r="A105" s="148"/>
      <c r="B105" s="98"/>
      <c r="C105" s="104"/>
      <c r="D105" s="104"/>
      <c r="E105" s="104"/>
      <c r="F105" s="151"/>
      <c r="G105" s="151"/>
      <c r="H105" s="101"/>
      <c r="I105" s="39">
        <f t="shared" si="61"/>
        <v>0</v>
      </c>
      <c r="J105" s="101"/>
      <c r="K105" s="39">
        <f t="shared" si="62"/>
        <v>0</v>
      </c>
      <c r="L105" s="101"/>
      <c r="M105" s="39">
        <f t="shared" si="63"/>
        <v>0</v>
      </c>
      <c r="N105" s="101"/>
      <c r="O105" s="39">
        <f t="shared" si="64"/>
        <v>0</v>
      </c>
      <c r="P105" s="101"/>
      <c r="Q105" s="39">
        <f t="shared" si="50"/>
        <v>0</v>
      </c>
      <c r="R105" s="101"/>
      <c r="S105" s="39">
        <f t="shared" si="51"/>
        <v>0</v>
      </c>
      <c r="T105" s="101"/>
      <c r="U105" s="39">
        <f t="shared" si="52"/>
        <v>0</v>
      </c>
      <c r="V105" s="36">
        <f t="shared" si="65"/>
        <v>0</v>
      </c>
      <c r="W105" s="36" t="str">
        <f t="shared" si="53"/>
        <v/>
      </c>
      <c r="X105" s="36" t="str">
        <f t="shared" si="54"/>
        <v/>
      </c>
      <c r="Y105" s="36" t="str">
        <f t="shared" si="55"/>
        <v/>
      </c>
      <c r="Z105" s="36" t="str">
        <f t="shared" si="56"/>
        <v/>
      </c>
      <c r="AA105" s="152"/>
      <c r="AB105" s="152"/>
      <c r="AC105" s="181"/>
      <c r="AD105" s="2"/>
      <c r="AE105" s="2"/>
      <c r="AF105" s="2"/>
      <c r="AG105" s="2"/>
      <c r="AH105" s="2"/>
      <c r="AI105" s="2"/>
      <c r="AJ105" s="2"/>
      <c r="AK105" s="2"/>
      <c r="AL105" s="2"/>
      <c r="AM105" s="2"/>
      <c r="AN105" s="2"/>
      <c r="AO105" s="1"/>
      <c r="AP105" s="1"/>
      <c r="AQ105" s="1"/>
      <c r="AR105" s="1"/>
      <c r="AS105" s="1"/>
      <c r="AT105" s="1"/>
      <c r="AU105" s="1"/>
      <c r="AV105" s="1"/>
      <c r="AW105" s="1"/>
      <c r="AX105" s="1"/>
      <c r="AY105" s="1"/>
    </row>
    <row r="106" spans="1:51" ht="17.25" thickBot="1" x14ac:dyDescent="0.35">
      <c r="A106" s="147">
        <v>30</v>
      </c>
      <c r="B106" s="105"/>
      <c r="C106" s="102"/>
      <c r="D106" s="102"/>
      <c r="E106" s="102"/>
      <c r="F106" s="149">
        <f t="shared" ref="F106" si="82">SUM(M106:M111,O106:O111,Q106:Q111,S106:S111,I106:I111,K106:K111)</f>
        <v>685</v>
      </c>
      <c r="G106" s="149">
        <f t="shared" ref="G106" si="83">SUM(M106:M111,O106:O111,Q106:Q111,S106:S111,U106:U111,K106:K111,I106:I111)</f>
        <v>685</v>
      </c>
      <c r="H106" s="99"/>
      <c r="I106" s="7">
        <f t="shared" si="61"/>
        <v>0</v>
      </c>
      <c r="J106" s="99"/>
      <c r="K106" s="7">
        <f t="shared" si="62"/>
        <v>0</v>
      </c>
      <c r="L106" s="99"/>
      <c r="M106" s="7">
        <f t="shared" si="63"/>
        <v>0</v>
      </c>
      <c r="N106" s="99"/>
      <c r="O106" s="7">
        <f t="shared" si="64"/>
        <v>0</v>
      </c>
      <c r="P106" s="99"/>
      <c r="Q106" s="7">
        <f t="shared" si="50"/>
        <v>0</v>
      </c>
      <c r="R106" s="99"/>
      <c r="S106" s="7">
        <f t="shared" si="51"/>
        <v>0</v>
      </c>
      <c r="T106" s="99"/>
      <c r="U106" s="7">
        <f t="shared" si="52"/>
        <v>0</v>
      </c>
      <c r="V106" s="8">
        <f t="shared" si="65"/>
        <v>0</v>
      </c>
      <c r="W106" s="8" t="str">
        <f t="shared" si="53"/>
        <v/>
      </c>
      <c r="X106" s="8" t="str">
        <f t="shared" si="54"/>
        <v/>
      </c>
      <c r="Y106" s="8" t="str">
        <f t="shared" si="55"/>
        <v/>
      </c>
      <c r="Z106" s="8" t="str">
        <f t="shared" si="56"/>
        <v/>
      </c>
      <c r="AA106" s="152">
        <f t="shared" ref="AA106" si="84">AVERAGE(W106:W111)</f>
        <v>33.827160493827158</v>
      </c>
      <c r="AB106" s="152">
        <f t="shared" ref="AB106" si="85">SUM(V106:V111)</f>
        <v>0.59461805555555558</v>
      </c>
      <c r="AC106" s="179"/>
      <c r="AD106" s="2"/>
      <c r="AE106" s="2"/>
      <c r="AF106" s="2"/>
      <c r="AG106" s="2"/>
      <c r="AH106" s="2"/>
      <c r="AI106" s="2"/>
      <c r="AJ106" s="2"/>
      <c r="AK106" s="2"/>
      <c r="AL106" s="2"/>
      <c r="AM106" s="2"/>
      <c r="AN106" s="2"/>
      <c r="AO106" s="1"/>
      <c r="AP106" s="1"/>
      <c r="AQ106" s="1"/>
      <c r="AR106" s="1"/>
      <c r="AS106" s="1"/>
      <c r="AT106" s="1"/>
      <c r="AU106" s="1"/>
      <c r="AV106" s="1"/>
      <c r="AW106" s="1"/>
      <c r="AX106" s="1"/>
      <c r="AY106" s="1"/>
    </row>
    <row r="107" spans="1:51" ht="17.25" thickBot="1" x14ac:dyDescent="0.35">
      <c r="A107" s="147"/>
      <c r="B107" s="97"/>
      <c r="C107" s="103"/>
      <c r="D107" s="103"/>
      <c r="E107" s="103"/>
      <c r="F107" s="150"/>
      <c r="G107" s="150"/>
      <c r="H107" s="100"/>
      <c r="I107" s="7">
        <f t="shared" si="61"/>
        <v>0</v>
      </c>
      <c r="J107" s="100"/>
      <c r="K107" s="7">
        <f t="shared" si="62"/>
        <v>0</v>
      </c>
      <c r="L107" s="100"/>
      <c r="M107" s="7">
        <f t="shared" si="63"/>
        <v>0</v>
      </c>
      <c r="N107" s="100"/>
      <c r="O107" s="7">
        <f t="shared" si="64"/>
        <v>0</v>
      </c>
      <c r="P107" s="100"/>
      <c r="Q107" s="7">
        <f t="shared" si="50"/>
        <v>0</v>
      </c>
      <c r="R107" s="100"/>
      <c r="S107" s="7">
        <f t="shared" si="51"/>
        <v>0</v>
      </c>
      <c r="T107" s="100"/>
      <c r="U107" s="7">
        <f t="shared" si="52"/>
        <v>0</v>
      </c>
      <c r="V107" s="8">
        <f t="shared" si="65"/>
        <v>0</v>
      </c>
      <c r="W107" s="8" t="str">
        <f t="shared" si="53"/>
        <v/>
      </c>
      <c r="X107" s="8" t="str">
        <f t="shared" si="54"/>
        <v/>
      </c>
      <c r="Y107" s="8" t="str">
        <f t="shared" si="55"/>
        <v/>
      </c>
      <c r="Z107" s="8" t="str">
        <f t="shared" si="56"/>
        <v/>
      </c>
      <c r="AA107" s="152"/>
      <c r="AB107" s="152"/>
      <c r="AC107" s="180"/>
      <c r="AD107" s="2"/>
      <c r="AE107" s="2"/>
      <c r="AF107" s="2"/>
      <c r="AG107" s="2"/>
      <c r="AH107" s="2"/>
      <c r="AI107" s="2"/>
      <c r="AJ107" s="2"/>
      <c r="AK107" s="2"/>
      <c r="AL107" s="2"/>
      <c r="AM107" s="2"/>
      <c r="AN107" s="2"/>
      <c r="AO107" s="1"/>
      <c r="AP107" s="1"/>
      <c r="AQ107" s="1"/>
      <c r="AR107" s="1"/>
      <c r="AS107" s="1"/>
      <c r="AT107" s="1"/>
      <c r="AU107" s="1"/>
      <c r="AV107" s="1"/>
      <c r="AW107" s="1"/>
      <c r="AX107" s="1"/>
      <c r="AY107" s="1"/>
    </row>
    <row r="108" spans="1:51" ht="17.25" thickBot="1" x14ac:dyDescent="0.35">
      <c r="A108" s="147"/>
      <c r="B108" s="132"/>
      <c r="C108" s="103"/>
      <c r="D108" s="103"/>
      <c r="E108" s="103"/>
      <c r="F108" s="150"/>
      <c r="G108" s="150"/>
      <c r="H108" s="100"/>
      <c r="I108" s="7">
        <f t="shared" si="61"/>
        <v>0</v>
      </c>
      <c r="J108" s="100"/>
      <c r="K108" s="7">
        <f t="shared" si="62"/>
        <v>0</v>
      </c>
      <c r="L108" s="100"/>
      <c r="M108" s="7">
        <f t="shared" si="63"/>
        <v>0</v>
      </c>
      <c r="N108" s="100"/>
      <c r="O108" s="7">
        <f t="shared" si="64"/>
        <v>0</v>
      </c>
      <c r="P108" s="100"/>
      <c r="Q108" s="7">
        <f t="shared" si="50"/>
        <v>0</v>
      </c>
      <c r="R108" s="100"/>
      <c r="S108" s="7">
        <f t="shared" si="51"/>
        <v>0</v>
      </c>
      <c r="T108" s="100"/>
      <c r="U108" s="7">
        <f t="shared" si="52"/>
        <v>0</v>
      </c>
      <c r="V108" s="8">
        <f t="shared" si="65"/>
        <v>0</v>
      </c>
      <c r="W108" s="8" t="str">
        <f t="shared" si="53"/>
        <v/>
      </c>
      <c r="X108" s="8" t="str">
        <f t="shared" si="54"/>
        <v/>
      </c>
      <c r="Y108" s="8" t="str">
        <f t="shared" si="55"/>
        <v/>
      </c>
      <c r="Z108" s="8" t="str">
        <f t="shared" si="56"/>
        <v/>
      </c>
      <c r="AA108" s="152"/>
      <c r="AB108" s="152"/>
      <c r="AC108" s="180"/>
      <c r="AD108" s="2"/>
      <c r="AE108" s="2"/>
      <c r="AF108" s="2"/>
      <c r="AG108" s="2"/>
      <c r="AH108" s="2"/>
      <c r="AI108" s="2"/>
      <c r="AJ108" s="2"/>
      <c r="AK108" s="2"/>
      <c r="AL108" s="2"/>
      <c r="AM108" s="2"/>
      <c r="AN108" s="2"/>
      <c r="AO108" s="1"/>
      <c r="AP108" s="1"/>
      <c r="AQ108" s="1"/>
      <c r="AR108" s="1"/>
      <c r="AS108" s="1"/>
      <c r="AT108" s="1"/>
      <c r="AU108" s="1"/>
      <c r="AV108" s="1"/>
      <c r="AW108" s="1"/>
      <c r="AX108" s="1"/>
      <c r="AY108" s="1"/>
    </row>
    <row r="109" spans="1:51" ht="17.25" thickBot="1" x14ac:dyDescent="0.35">
      <c r="A109" s="147"/>
      <c r="B109" s="97"/>
      <c r="C109" s="103"/>
      <c r="D109" s="103"/>
      <c r="E109" s="103"/>
      <c r="F109" s="150"/>
      <c r="G109" s="150"/>
      <c r="H109" s="100"/>
      <c r="I109" s="7">
        <f t="shared" si="61"/>
        <v>0</v>
      </c>
      <c r="J109" s="100"/>
      <c r="K109" s="7">
        <f t="shared" si="62"/>
        <v>0</v>
      </c>
      <c r="L109" s="100"/>
      <c r="M109" s="7">
        <f t="shared" si="63"/>
        <v>0</v>
      </c>
      <c r="N109" s="100"/>
      <c r="O109" s="7">
        <f t="shared" si="64"/>
        <v>0</v>
      </c>
      <c r="P109" s="100"/>
      <c r="Q109" s="7">
        <f t="shared" si="50"/>
        <v>0</v>
      </c>
      <c r="R109" s="100"/>
      <c r="S109" s="7">
        <f t="shared" si="51"/>
        <v>0</v>
      </c>
      <c r="T109" s="100"/>
      <c r="U109" s="7">
        <f t="shared" si="52"/>
        <v>0</v>
      </c>
      <c r="V109" s="8">
        <f t="shared" si="65"/>
        <v>0</v>
      </c>
      <c r="W109" s="8" t="str">
        <f t="shared" si="53"/>
        <v/>
      </c>
      <c r="X109" s="8" t="str">
        <f t="shared" si="54"/>
        <v/>
      </c>
      <c r="Y109" s="8" t="str">
        <f t="shared" si="55"/>
        <v/>
      </c>
      <c r="Z109" s="8" t="str">
        <f t="shared" si="56"/>
        <v/>
      </c>
      <c r="AA109" s="152"/>
      <c r="AB109" s="152"/>
      <c r="AC109" s="180"/>
      <c r="AD109" s="2"/>
      <c r="AE109" s="2"/>
      <c r="AF109" s="2"/>
      <c r="AG109" s="2"/>
      <c r="AH109" s="2"/>
      <c r="AI109" s="2"/>
      <c r="AJ109" s="2"/>
      <c r="AK109" s="2"/>
      <c r="AL109" s="2"/>
      <c r="AM109" s="2"/>
      <c r="AN109" s="2"/>
      <c r="AO109" s="1"/>
      <c r="AP109" s="1"/>
      <c r="AQ109" s="1"/>
      <c r="AR109" s="1"/>
      <c r="AS109" s="1"/>
      <c r="AT109" s="1"/>
      <c r="AU109" s="1"/>
      <c r="AV109" s="1"/>
      <c r="AW109" s="1"/>
      <c r="AX109" s="1"/>
      <c r="AY109" s="1"/>
    </row>
    <row r="110" spans="1:51" ht="17.25" thickBot="1" x14ac:dyDescent="0.35">
      <c r="A110" s="147"/>
      <c r="B110" s="132">
        <v>43672</v>
      </c>
      <c r="C110" s="103">
        <v>20.25</v>
      </c>
      <c r="D110" s="103"/>
      <c r="E110" s="103"/>
      <c r="F110" s="150"/>
      <c r="G110" s="150"/>
      <c r="H110" s="100">
        <v>137</v>
      </c>
      <c r="I110" s="7">
        <f t="shared" si="61"/>
        <v>685</v>
      </c>
      <c r="J110" s="100"/>
      <c r="K110" s="7">
        <f t="shared" si="62"/>
        <v>0</v>
      </c>
      <c r="L110" s="100"/>
      <c r="M110" s="7">
        <f t="shared" si="63"/>
        <v>0</v>
      </c>
      <c r="N110" s="100"/>
      <c r="O110" s="7">
        <f t="shared" si="64"/>
        <v>0</v>
      </c>
      <c r="P110" s="100"/>
      <c r="Q110" s="7">
        <f t="shared" si="50"/>
        <v>0</v>
      </c>
      <c r="R110" s="100"/>
      <c r="S110" s="7">
        <f t="shared" si="51"/>
        <v>0</v>
      </c>
      <c r="T110" s="100"/>
      <c r="U110" s="7">
        <f t="shared" si="52"/>
        <v>0</v>
      </c>
      <c r="V110" s="8">
        <f t="shared" si="65"/>
        <v>0.59461805555555558</v>
      </c>
      <c r="W110" s="8">
        <f t="shared" si="53"/>
        <v>33.827160493827158</v>
      </c>
      <c r="X110" s="8">
        <f t="shared" si="54"/>
        <v>33.827160493827158</v>
      </c>
      <c r="Y110" s="8" t="str">
        <f t="shared" si="55"/>
        <v/>
      </c>
      <c r="Z110" s="8" t="str">
        <f t="shared" si="56"/>
        <v/>
      </c>
      <c r="AA110" s="152"/>
      <c r="AB110" s="152"/>
      <c r="AC110" s="180"/>
      <c r="AD110" s="2"/>
      <c r="AE110" s="2"/>
      <c r="AF110" s="2"/>
      <c r="AG110" s="2"/>
      <c r="AH110" s="2"/>
      <c r="AI110" s="2"/>
      <c r="AJ110" s="2"/>
      <c r="AK110" s="2"/>
      <c r="AL110" s="2"/>
      <c r="AM110" s="2"/>
      <c r="AN110" s="2"/>
      <c r="AO110" s="1"/>
      <c r="AP110" s="1"/>
      <c r="AQ110" s="1"/>
      <c r="AR110" s="1"/>
      <c r="AS110" s="1"/>
      <c r="AT110" s="1"/>
      <c r="AU110" s="1"/>
      <c r="AV110" s="1"/>
      <c r="AW110" s="1"/>
      <c r="AX110" s="1"/>
      <c r="AY110" s="1"/>
    </row>
    <row r="111" spans="1:51" ht="17.25" thickBot="1" x14ac:dyDescent="0.35">
      <c r="A111" s="147"/>
      <c r="B111" s="98"/>
      <c r="C111" s="104"/>
      <c r="D111" s="104"/>
      <c r="E111" s="104"/>
      <c r="F111" s="151"/>
      <c r="G111" s="151"/>
      <c r="H111" s="101"/>
      <c r="I111" s="7">
        <f t="shared" si="61"/>
        <v>0</v>
      </c>
      <c r="J111" s="101"/>
      <c r="K111" s="7">
        <f t="shared" si="62"/>
        <v>0</v>
      </c>
      <c r="L111" s="101"/>
      <c r="M111" s="7">
        <f t="shared" si="63"/>
        <v>0</v>
      </c>
      <c r="N111" s="101"/>
      <c r="O111" s="7">
        <f t="shared" si="64"/>
        <v>0</v>
      </c>
      <c r="P111" s="101"/>
      <c r="Q111" s="7">
        <f t="shared" si="50"/>
        <v>0</v>
      </c>
      <c r="R111" s="101"/>
      <c r="S111" s="7">
        <f t="shared" si="51"/>
        <v>0</v>
      </c>
      <c r="T111" s="101"/>
      <c r="U111" s="7">
        <f t="shared" si="52"/>
        <v>0</v>
      </c>
      <c r="V111" s="8">
        <f t="shared" si="65"/>
        <v>0</v>
      </c>
      <c r="W111" s="8" t="str">
        <f t="shared" si="53"/>
        <v/>
      </c>
      <c r="X111" s="8" t="str">
        <f t="shared" si="54"/>
        <v/>
      </c>
      <c r="Y111" s="8" t="str">
        <f t="shared" si="55"/>
        <v/>
      </c>
      <c r="Z111" s="8" t="str">
        <f t="shared" si="56"/>
        <v/>
      </c>
      <c r="AA111" s="152"/>
      <c r="AB111" s="152"/>
      <c r="AC111" s="181"/>
      <c r="AD111" s="2"/>
      <c r="AE111" s="2"/>
      <c r="AF111" s="2"/>
      <c r="AG111" s="2"/>
      <c r="AH111" s="2"/>
      <c r="AI111" s="2"/>
      <c r="AJ111" s="2"/>
      <c r="AK111" s="2"/>
      <c r="AL111" s="2"/>
      <c r="AM111" s="2"/>
      <c r="AN111" s="2"/>
      <c r="AO111" s="1"/>
      <c r="AP111" s="1"/>
      <c r="AQ111" s="1"/>
      <c r="AR111" s="1"/>
      <c r="AS111" s="1"/>
      <c r="AT111" s="1"/>
      <c r="AU111" s="1"/>
      <c r="AV111" s="1"/>
      <c r="AW111" s="1"/>
      <c r="AX111" s="1"/>
      <c r="AY111" s="1"/>
    </row>
    <row r="112" spans="1:51" ht="17.25" thickBot="1" x14ac:dyDescent="0.35">
      <c r="A112" s="146">
        <v>31</v>
      </c>
      <c r="B112" s="105"/>
      <c r="C112" s="102"/>
      <c r="D112" s="102"/>
      <c r="E112" s="102"/>
      <c r="F112" s="149">
        <f t="shared" ref="F112" si="86">SUM(M112:M117,O112:O117,Q112:Q117,S112:S117,I112:I117,K112:K117)</f>
        <v>490</v>
      </c>
      <c r="G112" s="149">
        <f t="shared" ref="G112" si="87">SUM(M112:M117,O112:O117,Q112:Q117,S112:S117,U112:U117,K112:K117,I112:I117)</f>
        <v>490</v>
      </c>
      <c r="H112" s="99"/>
      <c r="I112" s="40">
        <f t="shared" si="61"/>
        <v>0</v>
      </c>
      <c r="J112" s="99"/>
      <c r="K112" s="40">
        <f t="shared" si="62"/>
        <v>0</v>
      </c>
      <c r="L112" s="99"/>
      <c r="M112" s="40">
        <f t="shared" si="63"/>
        <v>0</v>
      </c>
      <c r="N112" s="99"/>
      <c r="O112" s="40">
        <f t="shared" si="64"/>
        <v>0</v>
      </c>
      <c r="P112" s="99"/>
      <c r="Q112" s="40">
        <f t="shared" si="50"/>
        <v>0</v>
      </c>
      <c r="R112" s="99"/>
      <c r="S112" s="40">
        <f t="shared" si="51"/>
        <v>0</v>
      </c>
      <c r="T112" s="99"/>
      <c r="U112" s="40">
        <f t="shared" si="52"/>
        <v>0</v>
      </c>
      <c r="V112" s="34">
        <f t="shared" si="65"/>
        <v>0</v>
      </c>
      <c r="W112" s="34" t="str">
        <f t="shared" si="53"/>
        <v/>
      </c>
      <c r="X112" s="34" t="str">
        <f t="shared" si="54"/>
        <v/>
      </c>
      <c r="Y112" s="34" t="str">
        <f t="shared" si="55"/>
        <v/>
      </c>
      <c r="Z112" s="34" t="str">
        <f t="shared" si="56"/>
        <v/>
      </c>
      <c r="AA112" s="152">
        <f t="shared" ref="AA112" si="88">AVERAGE(W112:W117)</f>
        <v>34.385964912280699</v>
      </c>
      <c r="AB112" s="152">
        <f t="shared" ref="AB112" si="89">SUM(V112:V117)</f>
        <v>0.42534722222222221</v>
      </c>
      <c r="AC112" s="179"/>
      <c r="AD112" s="2"/>
      <c r="AE112" s="2"/>
      <c r="AF112" s="2"/>
      <c r="AG112" s="2"/>
      <c r="AH112" s="2"/>
      <c r="AI112" s="2"/>
      <c r="AJ112" s="2"/>
      <c r="AK112" s="2"/>
      <c r="AL112" s="2"/>
      <c r="AM112" s="2"/>
      <c r="AN112" s="2"/>
      <c r="AO112" s="1"/>
      <c r="AP112" s="1"/>
      <c r="AQ112" s="1"/>
      <c r="AR112" s="1"/>
      <c r="AS112" s="1"/>
      <c r="AT112" s="1"/>
      <c r="AU112" s="1"/>
      <c r="AV112" s="1"/>
      <c r="AW112" s="1"/>
      <c r="AX112" s="1"/>
      <c r="AY112" s="1"/>
    </row>
    <row r="113" spans="1:51" ht="17.25" thickBot="1" x14ac:dyDescent="0.35">
      <c r="A113" s="147"/>
      <c r="B113" s="132"/>
      <c r="C113" s="103"/>
      <c r="D113" s="103"/>
      <c r="E113" s="103"/>
      <c r="F113" s="150"/>
      <c r="G113" s="150"/>
      <c r="H113" s="100"/>
      <c r="I113" s="7">
        <f>H113*H$3</f>
        <v>0</v>
      </c>
      <c r="J113" s="100"/>
      <c r="K113" s="7">
        <f t="shared" si="62"/>
        <v>0</v>
      </c>
      <c r="L113" s="100"/>
      <c r="M113" s="7">
        <f t="shared" si="63"/>
        <v>0</v>
      </c>
      <c r="N113" s="100"/>
      <c r="O113" s="7">
        <f t="shared" si="64"/>
        <v>0</v>
      </c>
      <c r="P113" s="134"/>
      <c r="Q113" s="7">
        <f t="shared" si="50"/>
        <v>0</v>
      </c>
      <c r="R113" s="100"/>
      <c r="S113" s="7">
        <f t="shared" si="51"/>
        <v>0</v>
      </c>
      <c r="T113" s="100"/>
      <c r="U113" s="7">
        <f t="shared" si="52"/>
        <v>0</v>
      </c>
      <c r="V113" s="8">
        <f t="shared" si="65"/>
        <v>0</v>
      </c>
      <c r="W113" s="8" t="str">
        <f t="shared" si="53"/>
        <v/>
      </c>
      <c r="X113" s="8" t="str">
        <f t="shared" si="54"/>
        <v/>
      </c>
      <c r="Y113" s="8" t="str">
        <f t="shared" si="55"/>
        <v/>
      </c>
      <c r="Z113" s="8" t="str">
        <f t="shared" si="56"/>
        <v/>
      </c>
      <c r="AA113" s="152"/>
      <c r="AB113" s="152"/>
      <c r="AC113" s="180"/>
      <c r="AD113" s="2"/>
      <c r="AE113" s="2"/>
      <c r="AF113" s="2"/>
      <c r="AG113" s="2"/>
      <c r="AH113" s="2"/>
      <c r="AI113" s="2"/>
      <c r="AJ113" s="2"/>
      <c r="AK113" s="2"/>
      <c r="AL113" s="2"/>
      <c r="AM113" s="2"/>
      <c r="AN113" s="2"/>
      <c r="AO113" s="1"/>
      <c r="AP113" s="1"/>
      <c r="AQ113" s="1"/>
      <c r="AR113" s="1"/>
      <c r="AS113" s="1"/>
      <c r="AT113" s="1"/>
      <c r="AU113" s="1"/>
      <c r="AV113" s="1"/>
      <c r="AW113" s="1"/>
      <c r="AX113" s="1"/>
      <c r="AY113" s="1"/>
    </row>
    <row r="114" spans="1:51" ht="17.25" thickBot="1" x14ac:dyDescent="0.35">
      <c r="A114" s="147"/>
      <c r="B114" s="132"/>
      <c r="C114" s="103"/>
      <c r="D114" s="103"/>
      <c r="E114" s="103"/>
      <c r="F114" s="150"/>
      <c r="G114" s="150"/>
      <c r="H114" s="100"/>
      <c r="I114" s="7">
        <f t="shared" si="61"/>
        <v>0</v>
      </c>
      <c r="J114" s="100"/>
      <c r="K114" s="7">
        <f t="shared" si="62"/>
        <v>0</v>
      </c>
      <c r="L114" s="100"/>
      <c r="M114" s="7">
        <f t="shared" si="63"/>
        <v>0</v>
      </c>
      <c r="N114" s="100"/>
      <c r="O114" s="7">
        <f t="shared" si="64"/>
        <v>0</v>
      </c>
      <c r="P114" s="100"/>
      <c r="Q114" s="7">
        <f t="shared" si="50"/>
        <v>0</v>
      </c>
      <c r="R114" s="100"/>
      <c r="S114" s="7">
        <f t="shared" si="51"/>
        <v>0</v>
      </c>
      <c r="T114" s="100"/>
      <c r="U114" s="7">
        <f t="shared" si="52"/>
        <v>0</v>
      </c>
      <c r="V114" s="8">
        <f t="shared" si="65"/>
        <v>0</v>
      </c>
      <c r="W114" s="8" t="str">
        <f t="shared" si="53"/>
        <v/>
      </c>
      <c r="X114" s="8" t="str">
        <f t="shared" si="54"/>
        <v/>
      </c>
      <c r="Y114" s="8" t="str">
        <f t="shared" si="55"/>
        <v/>
      </c>
      <c r="Z114" s="8" t="str">
        <f t="shared" si="56"/>
        <v/>
      </c>
      <c r="AA114" s="152"/>
      <c r="AB114" s="152"/>
      <c r="AC114" s="180"/>
      <c r="AD114" s="2"/>
      <c r="AE114" s="2"/>
      <c r="AF114" s="2"/>
      <c r="AG114" s="2"/>
      <c r="AH114" s="2"/>
      <c r="AI114" s="2"/>
      <c r="AJ114" s="2"/>
      <c r="AK114" s="2"/>
      <c r="AL114" s="2"/>
      <c r="AM114" s="2"/>
      <c r="AN114" s="2"/>
      <c r="AO114" s="1"/>
      <c r="AP114" s="1"/>
      <c r="AQ114" s="1"/>
      <c r="AR114" s="1"/>
      <c r="AS114" s="1"/>
      <c r="AT114" s="1"/>
      <c r="AU114" s="1"/>
      <c r="AV114" s="1"/>
      <c r="AW114" s="1"/>
      <c r="AX114" s="1"/>
      <c r="AY114" s="1"/>
    </row>
    <row r="115" spans="1:51" ht="17.25" thickBot="1" x14ac:dyDescent="0.35">
      <c r="A115" s="147"/>
      <c r="B115" s="132">
        <v>43678</v>
      </c>
      <c r="C115" s="103">
        <f>4.75*3</f>
        <v>14.25</v>
      </c>
      <c r="D115" s="103"/>
      <c r="E115" s="103"/>
      <c r="F115" s="150"/>
      <c r="G115" s="150"/>
      <c r="H115" s="100">
        <v>98</v>
      </c>
      <c r="I115" s="7">
        <f t="shared" si="61"/>
        <v>490</v>
      </c>
      <c r="J115" s="100"/>
      <c r="K115" s="7">
        <f t="shared" si="62"/>
        <v>0</v>
      </c>
      <c r="L115" s="100"/>
      <c r="M115" s="7">
        <f t="shared" si="63"/>
        <v>0</v>
      </c>
      <c r="N115" s="100"/>
      <c r="O115" s="7">
        <f t="shared" si="64"/>
        <v>0</v>
      </c>
      <c r="P115" s="100"/>
      <c r="Q115" s="7">
        <f t="shared" si="50"/>
        <v>0</v>
      </c>
      <c r="R115" s="100"/>
      <c r="S115" s="7">
        <f t="shared" si="51"/>
        <v>0</v>
      </c>
      <c r="T115" s="100"/>
      <c r="U115" s="7">
        <f t="shared" si="52"/>
        <v>0</v>
      </c>
      <c r="V115" s="8">
        <f t="shared" si="65"/>
        <v>0.42534722222222221</v>
      </c>
      <c r="W115" s="8">
        <f t="shared" si="53"/>
        <v>34.385964912280699</v>
      </c>
      <c r="X115" s="8">
        <f t="shared" si="54"/>
        <v>34.385964912280699</v>
      </c>
      <c r="Y115" s="8" t="str">
        <f t="shared" si="55"/>
        <v/>
      </c>
      <c r="Z115" s="8" t="str">
        <f t="shared" si="56"/>
        <v/>
      </c>
      <c r="AA115" s="152"/>
      <c r="AB115" s="152"/>
      <c r="AC115" s="180"/>
      <c r="AD115" s="2"/>
      <c r="AE115" s="2"/>
      <c r="AF115" s="2"/>
      <c r="AG115" s="2"/>
      <c r="AH115" s="2"/>
      <c r="AI115" s="2"/>
      <c r="AJ115" s="2"/>
      <c r="AK115" s="2"/>
      <c r="AL115" s="2"/>
      <c r="AM115" s="2"/>
      <c r="AN115" s="2"/>
      <c r="AO115" s="1"/>
      <c r="AP115" s="1"/>
      <c r="AQ115" s="1"/>
      <c r="AR115" s="1"/>
      <c r="AS115" s="1"/>
      <c r="AT115" s="1"/>
      <c r="AU115" s="1"/>
      <c r="AV115" s="1"/>
      <c r="AW115" s="1"/>
      <c r="AX115" s="1"/>
      <c r="AY115" s="1"/>
    </row>
    <row r="116" spans="1:51" ht="17.25" thickBot="1" x14ac:dyDescent="0.35">
      <c r="A116" s="147"/>
      <c r="B116" s="132"/>
      <c r="C116" s="103"/>
      <c r="D116" s="103"/>
      <c r="E116" s="103"/>
      <c r="F116" s="150"/>
      <c r="G116" s="150"/>
      <c r="H116" s="100"/>
      <c r="I116" s="7">
        <f t="shared" si="61"/>
        <v>0</v>
      </c>
      <c r="J116" s="100"/>
      <c r="K116" s="7">
        <f t="shared" si="62"/>
        <v>0</v>
      </c>
      <c r="L116" s="100"/>
      <c r="M116" s="7">
        <f t="shared" si="63"/>
        <v>0</v>
      </c>
      <c r="N116" s="100"/>
      <c r="O116" s="7">
        <f t="shared" si="64"/>
        <v>0</v>
      </c>
      <c r="P116" s="100"/>
      <c r="Q116" s="7">
        <f t="shared" si="50"/>
        <v>0</v>
      </c>
      <c r="R116" s="100"/>
      <c r="S116" s="7">
        <f t="shared" si="51"/>
        <v>0</v>
      </c>
      <c r="T116" s="100"/>
      <c r="U116" s="7">
        <f t="shared" si="52"/>
        <v>0</v>
      </c>
      <c r="V116" s="8">
        <f t="shared" si="65"/>
        <v>0</v>
      </c>
      <c r="W116" s="8" t="str">
        <f t="shared" si="53"/>
        <v/>
      </c>
      <c r="X116" s="8" t="str">
        <f t="shared" si="54"/>
        <v/>
      </c>
      <c r="Y116" s="8" t="str">
        <f t="shared" si="55"/>
        <v/>
      </c>
      <c r="Z116" s="8" t="str">
        <f t="shared" si="56"/>
        <v/>
      </c>
      <c r="AA116" s="152"/>
      <c r="AB116" s="152"/>
      <c r="AC116" s="180"/>
      <c r="AD116" s="2"/>
      <c r="AE116" s="2"/>
      <c r="AF116" s="2"/>
      <c r="AG116" s="2"/>
      <c r="AH116" s="2"/>
      <c r="AI116" s="2"/>
      <c r="AJ116" s="2"/>
      <c r="AK116" s="2"/>
      <c r="AL116" s="2"/>
      <c r="AM116" s="2"/>
      <c r="AN116" s="2"/>
      <c r="AO116" s="1"/>
      <c r="AP116" s="1"/>
      <c r="AQ116" s="1"/>
      <c r="AR116" s="1"/>
      <c r="AS116" s="1"/>
      <c r="AT116" s="1"/>
      <c r="AU116" s="1"/>
      <c r="AV116" s="1"/>
      <c r="AW116" s="1"/>
      <c r="AX116" s="1"/>
      <c r="AY116" s="1"/>
    </row>
    <row r="117" spans="1:51" ht="17.25" thickBot="1" x14ac:dyDescent="0.35">
      <c r="A117" s="148"/>
      <c r="B117" s="97"/>
      <c r="C117" s="104"/>
      <c r="D117" s="104"/>
      <c r="E117" s="104"/>
      <c r="F117" s="151"/>
      <c r="G117" s="151"/>
      <c r="H117" s="101"/>
      <c r="I117" s="39">
        <f t="shared" si="61"/>
        <v>0</v>
      </c>
      <c r="J117" s="101"/>
      <c r="K117" s="39">
        <f t="shared" si="62"/>
        <v>0</v>
      </c>
      <c r="L117" s="101"/>
      <c r="M117" s="39">
        <f t="shared" si="63"/>
        <v>0</v>
      </c>
      <c r="N117" s="101"/>
      <c r="O117" s="39">
        <f t="shared" si="64"/>
        <v>0</v>
      </c>
      <c r="P117" s="101"/>
      <c r="Q117" s="39">
        <f t="shared" si="50"/>
        <v>0</v>
      </c>
      <c r="R117" s="101"/>
      <c r="S117" s="39">
        <f t="shared" si="51"/>
        <v>0</v>
      </c>
      <c r="T117" s="101"/>
      <c r="U117" s="39">
        <f t="shared" si="52"/>
        <v>0</v>
      </c>
      <c r="V117" s="36">
        <f t="shared" si="65"/>
        <v>0</v>
      </c>
      <c r="W117" s="36" t="str">
        <f t="shared" si="53"/>
        <v/>
      </c>
      <c r="X117" s="36" t="str">
        <f t="shared" si="54"/>
        <v/>
      </c>
      <c r="Y117" s="36" t="str">
        <f t="shared" si="55"/>
        <v/>
      </c>
      <c r="Z117" s="36" t="str">
        <f t="shared" si="56"/>
        <v/>
      </c>
      <c r="AA117" s="152"/>
      <c r="AB117" s="152"/>
      <c r="AC117" s="181"/>
      <c r="AD117" s="2"/>
      <c r="AE117" s="2"/>
      <c r="AF117" s="2"/>
      <c r="AG117" s="2"/>
      <c r="AH117" s="2"/>
      <c r="AI117" s="2"/>
      <c r="AJ117" s="2"/>
      <c r="AK117" s="2"/>
      <c r="AL117" s="2"/>
      <c r="AM117" s="2"/>
      <c r="AN117" s="2"/>
      <c r="AO117" s="1"/>
      <c r="AP117" s="1"/>
      <c r="AQ117" s="1"/>
      <c r="AR117" s="1"/>
      <c r="AS117" s="1"/>
      <c r="AT117" s="1"/>
      <c r="AU117" s="1"/>
      <c r="AV117" s="1"/>
      <c r="AW117" s="1"/>
      <c r="AX117" s="1"/>
      <c r="AY117" s="1"/>
    </row>
    <row r="118" spans="1:51" ht="17.25" thickBot="1" x14ac:dyDescent="0.35">
      <c r="A118" s="147">
        <v>32</v>
      </c>
      <c r="B118" s="105"/>
      <c r="C118" s="102"/>
      <c r="D118" s="102"/>
      <c r="E118" s="102"/>
      <c r="F118" s="149">
        <f t="shared" ref="F118" si="90">SUM(M118:M123,O118:O123,Q118:Q123,S118:S123,I118:I123,K118:K123)</f>
        <v>985</v>
      </c>
      <c r="G118" s="149">
        <f t="shared" ref="G118" si="91">SUM(M118:M123,O118:O123,Q118:Q123,S118:S123,U118:U123,K118:K123,I118:I123)</f>
        <v>985</v>
      </c>
      <c r="H118" s="99"/>
      <c r="I118" s="7">
        <f t="shared" si="61"/>
        <v>0</v>
      </c>
      <c r="J118" s="99"/>
      <c r="K118" s="7">
        <f t="shared" si="62"/>
        <v>0</v>
      </c>
      <c r="L118" s="99"/>
      <c r="M118" s="7">
        <f t="shared" si="63"/>
        <v>0</v>
      </c>
      <c r="N118" s="99"/>
      <c r="O118" s="7">
        <f t="shared" si="64"/>
        <v>0</v>
      </c>
      <c r="P118" s="99"/>
      <c r="Q118" s="7">
        <f t="shared" si="50"/>
        <v>0</v>
      </c>
      <c r="R118" s="99"/>
      <c r="S118" s="7">
        <f t="shared" si="51"/>
        <v>0</v>
      </c>
      <c r="T118" s="99"/>
      <c r="U118" s="7">
        <f t="shared" si="52"/>
        <v>0</v>
      </c>
      <c r="V118" s="8">
        <f t="shared" si="65"/>
        <v>0</v>
      </c>
      <c r="W118" s="8" t="str">
        <f t="shared" si="53"/>
        <v/>
      </c>
      <c r="X118" s="8" t="str">
        <f t="shared" si="54"/>
        <v/>
      </c>
      <c r="Y118" s="8" t="str">
        <f t="shared" si="55"/>
        <v/>
      </c>
      <c r="Z118" s="8" t="str">
        <f t="shared" si="56"/>
        <v/>
      </c>
      <c r="AA118" s="152">
        <f>AVERAGE(W118:W123)</f>
        <v>31.133663366336634</v>
      </c>
      <c r="AB118" s="152">
        <f t="shared" ref="AB118" si="92">SUM(V118:V123)</f>
        <v>0.85503472222222221</v>
      </c>
      <c r="AC118" s="179"/>
      <c r="AD118" s="2"/>
      <c r="AE118" s="2"/>
      <c r="AF118" s="2"/>
      <c r="AG118" s="2"/>
      <c r="AH118" s="2"/>
      <c r="AI118" s="2"/>
      <c r="AJ118" s="2"/>
      <c r="AK118" s="2"/>
      <c r="AL118" s="2"/>
      <c r="AM118" s="2"/>
      <c r="AN118" s="2"/>
      <c r="AO118" s="1"/>
      <c r="AP118" s="1"/>
      <c r="AQ118" s="1"/>
      <c r="AR118" s="1"/>
      <c r="AS118" s="1"/>
      <c r="AT118" s="1"/>
      <c r="AU118" s="1"/>
      <c r="AV118" s="1"/>
      <c r="AW118" s="1"/>
      <c r="AX118" s="1"/>
      <c r="AY118" s="1"/>
    </row>
    <row r="119" spans="1:51" ht="17.25" thickBot="1" x14ac:dyDescent="0.35">
      <c r="A119" s="147"/>
      <c r="B119" s="97"/>
      <c r="C119" s="103"/>
      <c r="D119" s="103"/>
      <c r="E119" s="103"/>
      <c r="F119" s="150"/>
      <c r="G119" s="150"/>
      <c r="H119" s="100"/>
      <c r="I119" s="7">
        <f t="shared" si="61"/>
        <v>0</v>
      </c>
      <c r="J119" s="100"/>
      <c r="K119" s="7">
        <f t="shared" si="62"/>
        <v>0</v>
      </c>
      <c r="L119" s="100"/>
      <c r="M119" s="7">
        <f t="shared" si="63"/>
        <v>0</v>
      </c>
      <c r="N119" s="100"/>
      <c r="O119" s="7">
        <f t="shared" si="64"/>
        <v>0</v>
      </c>
      <c r="P119" s="100"/>
      <c r="Q119" s="7">
        <f t="shared" si="50"/>
        <v>0</v>
      </c>
      <c r="R119" s="100"/>
      <c r="S119" s="7">
        <f t="shared" si="51"/>
        <v>0</v>
      </c>
      <c r="T119" s="100"/>
      <c r="U119" s="7">
        <f t="shared" si="52"/>
        <v>0</v>
      </c>
      <c r="V119" s="8">
        <f t="shared" si="65"/>
        <v>0</v>
      </c>
      <c r="W119" s="8" t="str">
        <f t="shared" si="53"/>
        <v/>
      </c>
      <c r="X119" s="8" t="str">
        <f t="shared" si="54"/>
        <v/>
      </c>
      <c r="Y119" s="8" t="str">
        <f t="shared" si="55"/>
        <v/>
      </c>
      <c r="Z119" s="8" t="str">
        <f t="shared" si="56"/>
        <v/>
      </c>
      <c r="AA119" s="152"/>
      <c r="AB119" s="152"/>
      <c r="AC119" s="180"/>
      <c r="AD119" s="2"/>
      <c r="AE119" s="2"/>
      <c r="AF119" s="2"/>
      <c r="AG119" s="2"/>
      <c r="AH119" s="2"/>
      <c r="AI119" s="2"/>
      <c r="AJ119" s="2"/>
      <c r="AK119" s="2"/>
      <c r="AL119" s="2"/>
      <c r="AM119" s="2"/>
      <c r="AN119" s="2"/>
      <c r="AO119" s="1"/>
      <c r="AP119" s="1"/>
      <c r="AQ119" s="1"/>
      <c r="AR119" s="1"/>
      <c r="AS119" s="1"/>
      <c r="AT119" s="1"/>
      <c r="AU119" s="1"/>
      <c r="AV119" s="1"/>
      <c r="AW119" s="1"/>
      <c r="AX119" s="1"/>
      <c r="AY119" s="1"/>
    </row>
    <row r="120" spans="1:51" ht="17.25" thickBot="1" x14ac:dyDescent="0.35">
      <c r="A120" s="147"/>
      <c r="B120" s="97"/>
      <c r="C120" s="103"/>
      <c r="D120" s="103"/>
      <c r="E120" s="103"/>
      <c r="F120" s="150"/>
      <c r="G120" s="150"/>
      <c r="H120" s="100"/>
      <c r="I120" s="7">
        <f t="shared" si="61"/>
        <v>0</v>
      </c>
      <c r="J120" s="100"/>
      <c r="K120" s="7">
        <f t="shared" si="62"/>
        <v>0</v>
      </c>
      <c r="L120" s="100"/>
      <c r="M120" s="7">
        <f t="shared" si="63"/>
        <v>0</v>
      </c>
      <c r="N120" s="100"/>
      <c r="O120" s="7">
        <f t="shared" si="64"/>
        <v>0</v>
      </c>
      <c r="P120" s="100"/>
      <c r="Q120" s="7">
        <f t="shared" si="50"/>
        <v>0</v>
      </c>
      <c r="R120" s="100"/>
      <c r="S120" s="7">
        <f t="shared" si="51"/>
        <v>0</v>
      </c>
      <c r="T120" s="100"/>
      <c r="U120" s="7">
        <f t="shared" si="52"/>
        <v>0</v>
      </c>
      <c r="V120" s="8">
        <f t="shared" si="65"/>
        <v>0</v>
      </c>
      <c r="W120" s="8" t="str">
        <f t="shared" si="53"/>
        <v/>
      </c>
      <c r="X120" s="8" t="str">
        <f t="shared" si="54"/>
        <v/>
      </c>
      <c r="Y120" s="8" t="str">
        <f t="shared" si="55"/>
        <v/>
      </c>
      <c r="Z120" s="8" t="str">
        <f t="shared" si="56"/>
        <v/>
      </c>
      <c r="AA120" s="152"/>
      <c r="AB120" s="152"/>
      <c r="AC120" s="180"/>
      <c r="AD120" s="2"/>
      <c r="AE120" s="2"/>
      <c r="AF120" s="2"/>
      <c r="AG120" s="2"/>
      <c r="AH120" s="2"/>
      <c r="AI120" s="2"/>
      <c r="AJ120" s="2"/>
      <c r="AK120" s="2"/>
      <c r="AL120" s="2"/>
      <c r="AM120" s="2"/>
      <c r="AN120" s="2"/>
      <c r="AO120" s="1"/>
      <c r="AP120" s="1"/>
      <c r="AQ120" s="1"/>
      <c r="AR120" s="1"/>
      <c r="AS120" s="1"/>
      <c r="AT120" s="1"/>
      <c r="AU120" s="1"/>
      <c r="AV120" s="1"/>
      <c r="AW120" s="1"/>
      <c r="AX120" s="1"/>
      <c r="AY120" s="1"/>
    </row>
    <row r="121" spans="1:51" ht="17.25" thickBot="1" x14ac:dyDescent="0.35">
      <c r="A121" s="147"/>
      <c r="B121" s="97">
        <v>43685</v>
      </c>
      <c r="C121" s="103">
        <f>4+0.5+0.5+0.25+20</f>
        <v>25.25</v>
      </c>
      <c r="D121" s="103"/>
      <c r="E121" s="103"/>
      <c r="F121" s="150"/>
      <c r="G121" s="150"/>
      <c r="H121" s="100">
        <f>28+122+14+4</f>
        <v>168</v>
      </c>
      <c r="I121" s="7">
        <f t="shared" si="61"/>
        <v>840</v>
      </c>
      <c r="J121" s="100"/>
      <c r="K121" s="7">
        <f t="shared" si="62"/>
        <v>0</v>
      </c>
      <c r="L121" s="100"/>
      <c r="M121" s="7">
        <f t="shared" si="63"/>
        <v>0</v>
      </c>
      <c r="N121" s="100"/>
      <c r="O121" s="7">
        <f t="shared" si="64"/>
        <v>0</v>
      </c>
      <c r="P121" s="100"/>
      <c r="Q121" s="7">
        <f t="shared" si="50"/>
        <v>0</v>
      </c>
      <c r="R121" s="100"/>
      <c r="S121" s="7">
        <f t="shared" si="51"/>
        <v>0</v>
      </c>
      <c r="T121" s="100"/>
      <c r="U121" s="7">
        <f t="shared" si="52"/>
        <v>0</v>
      </c>
      <c r="V121" s="8">
        <f t="shared" si="65"/>
        <v>0.72916666666666663</v>
      </c>
      <c r="W121" s="8">
        <f t="shared" si="53"/>
        <v>33.267326732673268</v>
      </c>
      <c r="X121" s="8">
        <f t="shared" si="54"/>
        <v>33.267326732673268</v>
      </c>
      <c r="Y121" s="8" t="str">
        <f t="shared" si="55"/>
        <v/>
      </c>
      <c r="Z121" s="8" t="str">
        <f t="shared" si="56"/>
        <v/>
      </c>
      <c r="AA121" s="152"/>
      <c r="AB121" s="152"/>
      <c r="AC121" s="180"/>
      <c r="AD121" s="2"/>
      <c r="AE121" s="2"/>
      <c r="AF121" s="2"/>
      <c r="AG121" s="2"/>
      <c r="AH121" s="2"/>
      <c r="AI121" s="2"/>
      <c r="AJ121" s="2"/>
      <c r="AK121" s="2"/>
      <c r="AL121" s="2"/>
      <c r="AM121" s="2"/>
      <c r="AN121" s="2"/>
      <c r="AO121" s="1"/>
      <c r="AP121" s="1"/>
      <c r="AQ121" s="1"/>
      <c r="AR121" s="1"/>
      <c r="AS121" s="1"/>
      <c r="AT121" s="1"/>
      <c r="AU121" s="1"/>
      <c r="AV121" s="1"/>
      <c r="AW121" s="1"/>
      <c r="AX121" s="1"/>
      <c r="AY121" s="1"/>
    </row>
    <row r="122" spans="1:51" ht="17.25" thickBot="1" x14ac:dyDescent="0.35">
      <c r="A122" s="147"/>
      <c r="B122" s="97">
        <v>43686</v>
      </c>
      <c r="C122" s="103">
        <f>2.5+2.5</f>
        <v>5</v>
      </c>
      <c r="D122" s="103"/>
      <c r="E122" s="103"/>
      <c r="F122" s="150"/>
      <c r="G122" s="150"/>
      <c r="H122" s="100">
        <v>29</v>
      </c>
      <c r="I122" s="7">
        <f t="shared" si="61"/>
        <v>145</v>
      </c>
      <c r="J122" s="100"/>
      <c r="K122" s="7">
        <f t="shared" si="62"/>
        <v>0</v>
      </c>
      <c r="L122" s="100"/>
      <c r="M122" s="7">
        <f t="shared" si="63"/>
        <v>0</v>
      </c>
      <c r="N122" s="100"/>
      <c r="O122" s="7">
        <f t="shared" si="64"/>
        <v>0</v>
      </c>
      <c r="P122" s="100"/>
      <c r="Q122" s="7">
        <f t="shared" si="50"/>
        <v>0</v>
      </c>
      <c r="R122" s="100"/>
      <c r="S122" s="7">
        <f t="shared" si="51"/>
        <v>0</v>
      </c>
      <c r="T122" s="100"/>
      <c r="U122" s="7">
        <f t="shared" si="52"/>
        <v>0</v>
      </c>
      <c r="V122" s="8">
        <f t="shared" si="65"/>
        <v>0.12586805555555555</v>
      </c>
      <c r="W122" s="8">
        <f t="shared" si="53"/>
        <v>29</v>
      </c>
      <c r="X122" s="8">
        <f t="shared" si="54"/>
        <v>29</v>
      </c>
      <c r="Y122" s="8" t="str">
        <f t="shared" si="55"/>
        <v/>
      </c>
      <c r="Z122" s="8" t="str">
        <f t="shared" si="56"/>
        <v/>
      </c>
      <c r="AA122" s="152"/>
      <c r="AB122" s="152"/>
      <c r="AC122" s="180"/>
      <c r="AD122" s="2"/>
      <c r="AE122" s="2"/>
      <c r="AF122" s="2"/>
      <c r="AG122" s="2"/>
      <c r="AH122" s="2"/>
      <c r="AI122" s="2"/>
      <c r="AJ122" s="2"/>
      <c r="AK122" s="2"/>
      <c r="AL122" s="2"/>
      <c r="AM122" s="2"/>
      <c r="AN122" s="2"/>
      <c r="AO122" s="1"/>
      <c r="AP122" s="1"/>
      <c r="AQ122" s="1"/>
      <c r="AR122" s="1"/>
      <c r="AS122" s="1"/>
      <c r="AT122" s="1"/>
      <c r="AU122" s="1"/>
      <c r="AV122" s="1"/>
      <c r="AW122" s="1"/>
      <c r="AX122" s="1"/>
      <c r="AY122" s="1"/>
    </row>
    <row r="123" spans="1:51" ht="17.25" thickBot="1" x14ac:dyDescent="0.35">
      <c r="A123" s="147"/>
      <c r="B123" s="97"/>
      <c r="C123" s="104"/>
      <c r="D123" s="104"/>
      <c r="E123" s="104"/>
      <c r="F123" s="151"/>
      <c r="G123" s="151"/>
      <c r="H123" s="101"/>
      <c r="I123" s="7">
        <f t="shared" si="61"/>
        <v>0</v>
      </c>
      <c r="J123" s="101"/>
      <c r="K123" s="7">
        <f t="shared" si="62"/>
        <v>0</v>
      </c>
      <c r="L123" s="101"/>
      <c r="M123" s="7">
        <f t="shared" si="63"/>
        <v>0</v>
      </c>
      <c r="N123" s="101"/>
      <c r="O123" s="7">
        <f t="shared" si="64"/>
        <v>0</v>
      </c>
      <c r="P123" s="101"/>
      <c r="Q123" s="7">
        <f t="shared" si="50"/>
        <v>0</v>
      </c>
      <c r="R123" s="101"/>
      <c r="S123" s="7">
        <f t="shared" si="51"/>
        <v>0</v>
      </c>
      <c r="T123" s="101"/>
      <c r="U123" s="7">
        <f t="shared" si="52"/>
        <v>0</v>
      </c>
      <c r="V123" s="8">
        <f t="shared" si="65"/>
        <v>0</v>
      </c>
      <c r="W123" s="8" t="str">
        <f t="shared" si="53"/>
        <v/>
      </c>
      <c r="X123" s="8" t="str">
        <f t="shared" si="54"/>
        <v/>
      </c>
      <c r="Y123" s="8" t="str">
        <f t="shared" si="55"/>
        <v/>
      </c>
      <c r="Z123" s="8" t="str">
        <f t="shared" si="56"/>
        <v/>
      </c>
      <c r="AA123" s="152"/>
      <c r="AB123" s="152"/>
      <c r="AC123" s="181"/>
      <c r="AD123" s="2"/>
      <c r="AE123" s="2"/>
      <c r="AF123" s="2"/>
      <c r="AG123" s="2"/>
      <c r="AH123" s="2"/>
      <c r="AI123" s="2"/>
      <c r="AJ123" s="2"/>
      <c r="AK123" s="2"/>
      <c r="AL123" s="2"/>
      <c r="AM123" s="2"/>
      <c r="AN123" s="2"/>
      <c r="AO123" s="1"/>
      <c r="AP123" s="1"/>
      <c r="AQ123" s="1"/>
      <c r="AR123" s="1"/>
      <c r="AS123" s="1"/>
      <c r="AT123" s="1"/>
      <c r="AU123" s="1"/>
      <c r="AV123" s="1"/>
      <c r="AW123" s="1"/>
      <c r="AX123" s="1"/>
      <c r="AY123" s="1"/>
    </row>
    <row r="124" spans="1:51" ht="17.25" thickBot="1" x14ac:dyDescent="0.35">
      <c r="A124" s="146">
        <v>33</v>
      </c>
      <c r="B124" s="105"/>
      <c r="C124" s="102"/>
      <c r="D124" s="102"/>
      <c r="E124" s="102"/>
      <c r="F124" s="149">
        <f t="shared" ref="F124" si="93">SUM(M124:M129,O124:O129,Q124:Q129,S124:S129,I124:I129,K124:K129)</f>
        <v>490</v>
      </c>
      <c r="G124" s="149">
        <f t="shared" ref="G124" si="94">SUM(M124:M129,O124:O129,Q124:Q129,S124:S129,U124:U129,K124:K129,I124:I129)</f>
        <v>490</v>
      </c>
      <c r="H124" s="99"/>
      <c r="I124" s="40">
        <f t="shared" si="61"/>
        <v>0</v>
      </c>
      <c r="J124" s="99"/>
      <c r="K124" s="40">
        <f t="shared" si="62"/>
        <v>0</v>
      </c>
      <c r="L124" s="99"/>
      <c r="M124" s="40">
        <f t="shared" si="63"/>
        <v>0</v>
      </c>
      <c r="N124" s="99"/>
      <c r="O124" s="40">
        <f t="shared" si="64"/>
        <v>0</v>
      </c>
      <c r="P124" s="99"/>
      <c r="Q124" s="40">
        <f t="shared" si="50"/>
        <v>0</v>
      </c>
      <c r="R124" s="99"/>
      <c r="S124" s="40">
        <f t="shared" si="51"/>
        <v>0</v>
      </c>
      <c r="T124" s="99"/>
      <c r="U124" s="40">
        <f t="shared" si="52"/>
        <v>0</v>
      </c>
      <c r="V124" s="34">
        <f t="shared" si="65"/>
        <v>0</v>
      </c>
      <c r="W124" s="135" t="str">
        <f t="shared" si="53"/>
        <v/>
      </c>
      <c r="X124" s="135" t="str">
        <f t="shared" si="54"/>
        <v/>
      </c>
      <c r="Y124" s="135" t="str">
        <f t="shared" si="55"/>
        <v/>
      </c>
      <c r="Z124" s="135" t="str">
        <f t="shared" si="56"/>
        <v/>
      </c>
      <c r="AA124" s="152">
        <f t="shared" ref="AA124" si="95">AVERAGE(W124:W129)</f>
        <v>33.793103448275865</v>
      </c>
      <c r="AB124" s="152">
        <f t="shared" ref="AB124" si="96">SUM(V124:V129)</f>
        <v>0.42534722222222221</v>
      </c>
      <c r="AC124" s="179"/>
      <c r="AD124" s="2"/>
      <c r="AE124" s="2"/>
      <c r="AF124" s="2"/>
      <c r="AG124" s="2"/>
      <c r="AH124" s="2"/>
      <c r="AI124" s="2"/>
      <c r="AJ124" s="2"/>
      <c r="AK124" s="2"/>
      <c r="AL124" s="2"/>
      <c r="AM124" s="2"/>
      <c r="AN124" s="2"/>
      <c r="AO124" s="1"/>
      <c r="AP124" s="1"/>
      <c r="AQ124" s="1"/>
      <c r="AR124" s="1"/>
      <c r="AS124" s="1"/>
      <c r="AT124" s="1"/>
      <c r="AU124" s="1"/>
      <c r="AV124" s="1"/>
      <c r="AW124" s="1"/>
      <c r="AX124" s="1"/>
      <c r="AY124" s="1"/>
    </row>
    <row r="125" spans="1:51" ht="17.25" thickBot="1" x14ac:dyDescent="0.35">
      <c r="A125" s="147"/>
      <c r="B125" s="97"/>
      <c r="C125" s="103"/>
      <c r="D125" s="103"/>
      <c r="E125" s="103"/>
      <c r="F125" s="150"/>
      <c r="G125" s="150"/>
      <c r="H125" s="100"/>
      <c r="I125" s="7">
        <f t="shared" si="61"/>
        <v>0</v>
      </c>
      <c r="J125" s="100"/>
      <c r="K125" s="7">
        <f t="shared" si="62"/>
        <v>0</v>
      </c>
      <c r="L125" s="100"/>
      <c r="M125" s="7">
        <f t="shared" si="63"/>
        <v>0</v>
      </c>
      <c r="N125" s="100"/>
      <c r="O125" s="7">
        <f t="shared" si="64"/>
        <v>0</v>
      </c>
      <c r="P125" s="100"/>
      <c r="Q125" s="7">
        <f t="shared" si="50"/>
        <v>0</v>
      </c>
      <c r="R125" s="100"/>
      <c r="S125" s="7">
        <f t="shared" si="51"/>
        <v>0</v>
      </c>
      <c r="T125" s="100"/>
      <c r="U125" s="7">
        <f t="shared" si="52"/>
        <v>0</v>
      </c>
      <c r="V125" s="8">
        <f t="shared" si="65"/>
        <v>0</v>
      </c>
      <c r="W125" s="136" t="str">
        <f t="shared" si="53"/>
        <v/>
      </c>
      <c r="X125" s="136" t="str">
        <f t="shared" si="54"/>
        <v/>
      </c>
      <c r="Y125" s="136" t="str">
        <f t="shared" si="55"/>
        <v/>
      </c>
      <c r="Z125" s="136" t="str">
        <f t="shared" si="56"/>
        <v/>
      </c>
      <c r="AA125" s="152"/>
      <c r="AB125" s="152"/>
      <c r="AC125" s="180"/>
      <c r="AD125" s="2"/>
      <c r="AE125" s="2"/>
      <c r="AF125" s="2"/>
      <c r="AG125" s="2"/>
      <c r="AH125" s="2"/>
      <c r="AI125" s="2"/>
      <c r="AJ125" s="2"/>
      <c r="AK125" s="2"/>
      <c r="AL125" s="2"/>
      <c r="AM125" s="2"/>
      <c r="AN125" s="2"/>
      <c r="AO125" s="1"/>
      <c r="AP125" s="1"/>
      <c r="AQ125" s="1"/>
      <c r="AR125" s="1"/>
      <c r="AS125" s="1"/>
      <c r="AT125" s="1"/>
      <c r="AU125" s="1"/>
      <c r="AV125" s="1"/>
      <c r="AW125" s="1"/>
      <c r="AX125" s="1"/>
      <c r="AY125" s="1"/>
    </row>
    <row r="126" spans="1:51" ht="17.25" thickBot="1" x14ac:dyDescent="0.35">
      <c r="A126" s="147"/>
      <c r="B126" s="97"/>
      <c r="C126" s="103"/>
      <c r="D126" s="103"/>
      <c r="E126" s="103"/>
      <c r="F126" s="150"/>
      <c r="G126" s="150"/>
      <c r="H126" s="100"/>
      <c r="I126" s="7">
        <f t="shared" si="61"/>
        <v>0</v>
      </c>
      <c r="J126" s="100"/>
      <c r="K126" s="7">
        <f t="shared" si="62"/>
        <v>0</v>
      </c>
      <c r="L126" s="100"/>
      <c r="M126" s="7">
        <f t="shared" si="63"/>
        <v>0</v>
      </c>
      <c r="N126" s="100"/>
      <c r="O126" s="7">
        <f t="shared" si="64"/>
        <v>0</v>
      </c>
      <c r="P126" s="100"/>
      <c r="Q126" s="7">
        <f t="shared" si="50"/>
        <v>0</v>
      </c>
      <c r="R126" s="100"/>
      <c r="S126" s="7">
        <f t="shared" si="51"/>
        <v>0</v>
      </c>
      <c r="T126" s="100"/>
      <c r="U126" s="7">
        <f t="shared" si="52"/>
        <v>0</v>
      </c>
      <c r="V126" s="8">
        <f t="shared" si="65"/>
        <v>0</v>
      </c>
      <c r="W126" s="136" t="str">
        <f t="shared" si="53"/>
        <v/>
      </c>
      <c r="X126" s="136" t="str">
        <f t="shared" si="54"/>
        <v/>
      </c>
      <c r="Y126" s="136" t="str">
        <f t="shared" si="55"/>
        <v/>
      </c>
      <c r="Z126" s="136" t="str">
        <f t="shared" si="56"/>
        <v/>
      </c>
      <c r="AA126" s="152"/>
      <c r="AB126" s="152"/>
      <c r="AC126" s="180"/>
      <c r="AD126" s="2"/>
      <c r="AE126" s="2"/>
      <c r="AF126" s="2"/>
      <c r="AG126" s="2"/>
      <c r="AH126" s="2"/>
      <c r="AI126" s="2"/>
      <c r="AJ126" s="2"/>
      <c r="AK126" s="2"/>
      <c r="AL126" s="2"/>
      <c r="AM126" s="2"/>
      <c r="AN126" s="2"/>
      <c r="AO126" s="1"/>
      <c r="AP126" s="1"/>
      <c r="AQ126" s="1"/>
      <c r="AR126" s="1"/>
      <c r="AS126" s="1"/>
      <c r="AT126" s="1"/>
      <c r="AU126" s="1"/>
      <c r="AV126" s="1"/>
      <c r="AW126" s="1"/>
      <c r="AX126" s="1"/>
      <c r="AY126" s="1"/>
    </row>
    <row r="127" spans="1:51" ht="17.25" thickBot="1" x14ac:dyDescent="0.35">
      <c r="A127" s="147"/>
      <c r="B127" s="97"/>
      <c r="C127" s="103"/>
      <c r="D127" s="103"/>
      <c r="E127" s="103"/>
      <c r="F127" s="150"/>
      <c r="G127" s="150"/>
      <c r="H127" s="100"/>
      <c r="I127" s="7">
        <f t="shared" si="61"/>
        <v>0</v>
      </c>
      <c r="J127" s="100"/>
      <c r="K127" s="7">
        <f t="shared" si="62"/>
        <v>0</v>
      </c>
      <c r="L127" s="100"/>
      <c r="M127" s="7">
        <f t="shared" si="63"/>
        <v>0</v>
      </c>
      <c r="N127" s="100"/>
      <c r="O127" s="7">
        <f t="shared" si="64"/>
        <v>0</v>
      </c>
      <c r="P127" s="100"/>
      <c r="Q127" s="7">
        <f t="shared" si="50"/>
        <v>0</v>
      </c>
      <c r="R127" s="100"/>
      <c r="S127" s="7">
        <f t="shared" si="51"/>
        <v>0</v>
      </c>
      <c r="T127" s="100"/>
      <c r="U127" s="7">
        <f t="shared" si="52"/>
        <v>0</v>
      </c>
      <c r="V127" s="8">
        <f t="shared" si="65"/>
        <v>0</v>
      </c>
      <c r="W127" s="136" t="str">
        <f t="shared" si="53"/>
        <v/>
      </c>
      <c r="X127" s="136" t="str">
        <f t="shared" si="54"/>
        <v/>
      </c>
      <c r="Y127" s="136" t="str">
        <f t="shared" si="55"/>
        <v/>
      </c>
      <c r="Z127" s="136" t="str">
        <f t="shared" si="56"/>
        <v/>
      </c>
      <c r="AA127" s="152"/>
      <c r="AB127" s="152"/>
      <c r="AC127" s="180"/>
      <c r="AD127" s="2"/>
      <c r="AE127" s="2"/>
      <c r="AF127" s="2"/>
      <c r="AG127" s="2"/>
      <c r="AH127" s="2"/>
      <c r="AI127" s="2"/>
      <c r="AJ127" s="2"/>
      <c r="AK127" s="2"/>
      <c r="AL127" s="2"/>
      <c r="AM127" s="2"/>
      <c r="AN127" s="2"/>
      <c r="AO127" s="1"/>
      <c r="AP127" s="1"/>
      <c r="AQ127" s="1"/>
      <c r="AR127" s="1"/>
      <c r="AS127" s="1"/>
      <c r="AT127" s="1"/>
      <c r="AU127" s="1"/>
      <c r="AV127" s="1"/>
      <c r="AW127" s="1"/>
      <c r="AX127" s="1"/>
      <c r="AY127" s="1"/>
    </row>
    <row r="128" spans="1:51" ht="17.25" thickBot="1" x14ac:dyDescent="0.35">
      <c r="A128" s="147"/>
      <c r="B128" s="97">
        <v>43693</v>
      </c>
      <c r="C128" s="103">
        <f>3.5*3+4</f>
        <v>14.5</v>
      </c>
      <c r="D128" s="103"/>
      <c r="E128" s="103"/>
      <c r="F128" s="150"/>
      <c r="G128" s="150"/>
      <c r="H128" s="100">
        <v>98</v>
      </c>
      <c r="I128" s="7">
        <f t="shared" si="61"/>
        <v>490</v>
      </c>
      <c r="J128" s="100"/>
      <c r="K128" s="7">
        <f t="shared" si="62"/>
        <v>0</v>
      </c>
      <c r="L128" s="100"/>
      <c r="M128" s="7">
        <f t="shared" si="63"/>
        <v>0</v>
      </c>
      <c r="N128" s="100"/>
      <c r="O128" s="7">
        <f t="shared" si="64"/>
        <v>0</v>
      </c>
      <c r="P128" s="100"/>
      <c r="Q128" s="7">
        <f t="shared" si="50"/>
        <v>0</v>
      </c>
      <c r="R128" s="100"/>
      <c r="S128" s="7">
        <f t="shared" si="51"/>
        <v>0</v>
      </c>
      <c r="T128" s="100"/>
      <c r="U128" s="7">
        <f t="shared" si="52"/>
        <v>0</v>
      </c>
      <c r="V128" s="8">
        <f t="shared" si="65"/>
        <v>0.42534722222222221</v>
      </c>
      <c r="W128" s="136">
        <f t="shared" si="53"/>
        <v>33.793103448275865</v>
      </c>
      <c r="X128" s="136">
        <f t="shared" si="54"/>
        <v>33.793103448275865</v>
      </c>
      <c r="Y128" s="136" t="str">
        <f t="shared" si="55"/>
        <v/>
      </c>
      <c r="Z128" s="136" t="str">
        <f t="shared" si="56"/>
        <v/>
      </c>
      <c r="AA128" s="152"/>
      <c r="AB128" s="152"/>
      <c r="AC128" s="180"/>
      <c r="AD128" s="2"/>
      <c r="AE128" s="2"/>
      <c r="AF128" s="2"/>
      <c r="AG128" s="2"/>
      <c r="AH128" s="2"/>
      <c r="AI128" s="2"/>
      <c r="AJ128" s="2"/>
      <c r="AK128" s="2"/>
      <c r="AL128" s="2"/>
      <c r="AM128" s="2"/>
      <c r="AN128" s="2"/>
      <c r="AO128" s="1"/>
      <c r="AP128" s="1"/>
      <c r="AQ128" s="1"/>
      <c r="AR128" s="1"/>
      <c r="AS128" s="1"/>
      <c r="AT128" s="1"/>
      <c r="AU128" s="1"/>
      <c r="AV128" s="1"/>
      <c r="AW128" s="1"/>
      <c r="AX128" s="1"/>
      <c r="AY128" s="1"/>
    </row>
    <row r="129" spans="1:51" ht="17.25" thickBot="1" x14ac:dyDescent="0.35">
      <c r="A129" s="148"/>
      <c r="B129" s="98"/>
      <c r="C129" s="104"/>
      <c r="D129" s="104"/>
      <c r="E129" s="104"/>
      <c r="F129" s="151"/>
      <c r="G129" s="151"/>
      <c r="H129" s="101"/>
      <c r="I129" s="39">
        <f t="shared" si="61"/>
        <v>0</v>
      </c>
      <c r="J129" s="101"/>
      <c r="K129" s="39">
        <f t="shared" si="62"/>
        <v>0</v>
      </c>
      <c r="L129" s="101"/>
      <c r="M129" s="39">
        <f t="shared" si="63"/>
        <v>0</v>
      </c>
      <c r="N129" s="101"/>
      <c r="O129" s="39">
        <f t="shared" si="64"/>
        <v>0</v>
      </c>
      <c r="P129" s="101"/>
      <c r="Q129" s="39">
        <f t="shared" si="50"/>
        <v>0</v>
      </c>
      <c r="R129" s="101"/>
      <c r="S129" s="39">
        <f t="shared" si="51"/>
        <v>0</v>
      </c>
      <c r="T129" s="101"/>
      <c r="U129" s="39">
        <f t="shared" si="52"/>
        <v>0</v>
      </c>
      <c r="V129" s="36">
        <f t="shared" si="65"/>
        <v>0</v>
      </c>
      <c r="W129" s="137" t="str">
        <f t="shared" si="53"/>
        <v/>
      </c>
      <c r="X129" s="137" t="str">
        <f t="shared" si="54"/>
        <v/>
      </c>
      <c r="Y129" s="137" t="str">
        <f t="shared" si="55"/>
        <v/>
      </c>
      <c r="Z129" s="137" t="str">
        <f t="shared" si="56"/>
        <v/>
      </c>
      <c r="AA129" s="152"/>
      <c r="AB129" s="152"/>
      <c r="AC129" s="181"/>
      <c r="AD129" s="2"/>
      <c r="AE129" s="2"/>
      <c r="AF129" s="2"/>
      <c r="AG129" s="2"/>
      <c r="AH129" s="2"/>
      <c r="AI129" s="2"/>
      <c r="AJ129" s="2"/>
      <c r="AK129" s="2"/>
      <c r="AL129" s="2"/>
      <c r="AM129" s="2"/>
      <c r="AN129" s="2"/>
      <c r="AO129" s="1"/>
      <c r="AP129" s="1"/>
      <c r="AQ129" s="1"/>
      <c r="AR129" s="1"/>
      <c r="AS129" s="1"/>
      <c r="AT129" s="1"/>
      <c r="AU129" s="1"/>
      <c r="AV129" s="1"/>
      <c r="AW129" s="1"/>
      <c r="AX129" s="1"/>
      <c r="AY129" s="1"/>
    </row>
    <row r="130" spans="1:51" ht="17.25" thickBot="1" x14ac:dyDescent="0.35">
      <c r="A130" s="147">
        <v>34</v>
      </c>
      <c r="B130" s="105"/>
      <c r="C130" s="102"/>
      <c r="D130" s="102"/>
      <c r="E130" s="102"/>
      <c r="F130" s="149">
        <f t="shared" ref="F130" si="97">SUM(M130:M135,O130:O135,Q130:Q135,S130:S135,I130:I135,K130:K135)</f>
        <v>0</v>
      </c>
      <c r="G130" s="149">
        <f t="shared" ref="G130" si="98">SUM(M130:M135,O130:O135,Q130:Q135,S130:S135,U130:U135,K130:K135,I130:I135)</f>
        <v>0</v>
      </c>
      <c r="H130" s="99"/>
      <c r="I130" s="7">
        <f t="shared" si="61"/>
        <v>0</v>
      </c>
      <c r="J130" s="99"/>
      <c r="K130" s="7">
        <f t="shared" si="62"/>
        <v>0</v>
      </c>
      <c r="L130" s="99"/>
      <c r="M130" s="7">
        <f t="shared" si="63"/>
        <v>0</v>
      </c>
      <c r="N130" s="99"/>
      <c r="O130" s="7">
        <f t="shared" si="64"/>
        <v>0</v>
      </c>
      <c r="P130" s="99"/>
      <c r="Q130" s="7">
        <f t="shared" si="50"/>
        <v>0</v>
      </c>
      <c r="R130" s="99"/>
      <c r="S130" s="7">
        <f t="shared" si="51"/>
        <v>0</v>
      </c>
      <c r="T130" s="99"/>
      <c r="U130" s="7">
        <f t="shared" si="52"/>
        <v>0</v>
      </c>
      <c r="V130" s="8">
        <f t="shared" si="65"/>
        <v>0</v>
      </c>
      <c r="W130" s="135" t="str">
        <f t="shared" si="53"/>
        <v/>
      </c>
      <c r="X130" s="135" t="str">
        <f t="shared" si="54"/>
        <v/>
      </c>
      <c r="Y130" s="135" t="str">
        <f t="shared" si="55"/>
        <v/>
      </c>
      <c r="Z130" s="135" t="str">
        <f t="shared" si="56"/>
        <v/>
      </c>
      <c r="AA130" s="152" t="e">
        <f>AVERAGE(W130:W135)</f>
        <v>#DIV/0!</v>
      </c>
      <c r="AB130" s="152">
        <f t="shared" ref="AB130" si="99">SUM(V130:V135)</f>
        <v>0</v>
      </c>
      <c r="AC130" s="179"/>
      <c r="AD130" s="2"/>
      <c r="AE130" s="2"/>
      <c r="AF130" s="2"/>
      <c r="AG130" s="2"/>
      <c r="AH130" s="2"/>
      <c r="AI130" s="2"/>
      <c r="AJ130" s="2"/>
      <c r="AK130" s="2"/>
      <c r="AL130" s="2"/>
      <c r="AM130" s="2"/>
      <c r="AN130" s="2"/>
      <c r="AO130" s="1"/>
      <c r="AP130" s="1"/>
      <c r="AQ130" s="1"/>
      <c r="AR130" s="1"/>
      <c r="AS130" s="1"/>
      <c r="AT130" s="1"/>
      <c r="AU130" s="1"/>
      <c r="AV130" s="1"/>
      <c r="AW130" s="1"/>
      <c r="AX130" s="1"/>
      <c r="AY130" s="1"/>
    </row>
    <row r="131" spans="1:51" ht="17.25" thickBot="1" x14ac:dyDescent="0.35">
      <c r="A131" s="147"/>
      <c r="B131" s="97"/>
      <c r="C131" s="103"/>
      <c r="D131" s="103"/>
      <c r="E131" s="103"/>
      <c r="F131" s="150"/>
      <c r="G131" s="150"/>
      <c r="H131" s="100"/>
      <c r="I131" s="7">
        <f t="shared" si="61"/>
        <v>0</v>
      </c>
      <c r="J131" s="100"/>
      <c r="K131" s="7">
        <f t="shared" si="62"/>
        <v>0</v>
      </c>
      <c r="L131" s="100"/>
      <c r="M131" s="7">
        <f t="shared" si="63"/>
        <v>0</v>
      </c>
      <c r="N131" s="100"/>
      <c r="O131" s="7">
        <f t="shared" si="64"/>
        <v>0</v>
      </c>
      <c r="P131" s="100"/>
      <c r="Q131" s="7">
        <f t="shared" si="50"/>
        <v>0</v>
      </c>
      <c r="R131" s="100"/>
      <c r="S131" s="7">
        <f t="shared" si="51"/>
        <v>0</v>
      </c>
      <c r="T131" s="100"/>
      <c r="U131" s="7">
        <f t="shared" si="52"/>
        <v>0</v>
      </c>
      <c r="V131" s="8">
        <f t="shared" si="65"/>
        <v>0</v>
      </c>
      <c r="W131" s="136" t="str">
        <f t="shared" si="53"/>
        <v/>
      </c>
      <c r="X131" s="136" t="str">
        <f t="shared" si="54"/>
        <v/>
      </c>
      <c r="Y131" s="136" t="str">
        <f t="shared" si="55"/>
        <v/>
      </c>
      <c r="Z131" s="136" t="str">
        <f t="shared" si="56"/>
        <v/>
      </c>
      <c r="AA131" s="152"/>
      <c r="AB131" s="152"/>
      <c r="AC131" s="180"/>
      <c r="AD131" s="2"/>
      <c r="AE131" s="2"/>
      <c r="AF131" s="2"/>
      <c r="AG131" s="2"/>
      <c r="AH131" s="2"/>
      <c r="AI131" s="2"/>
      <c r="AJ131" s="2"/>
      <c r="AK131" s="2"/>
      <c r="AL131" s="2"/>
      <c r="AM131" s="2"/>
      <c r="AN131" s="2"/>
      <c r="AO131" s="1"/>
      <c r="AP131" s="1"/>
      <c r="AQ131" s="1"/>
      <c r="AR131" s="1"/>
      <c r="AS131" s="1"/>
      <c r="AT131" s="1"/>
      <c r="AU131" s="1"/>
      <c r="AV131" s="1"/>
      <c r="AW131" s="1"/>
      <c r="AX131" s="1"/>
      <c r="AY131" s="1"/>
    </row>
    <row r="132" spans="1:51" ht="17.25" thickBot="1" x14ac:dyDescent="0.35">
      <c r="A132" s="147"/>
      <c r="B132" s="97"/>
      <c r="C132" s="103"/>
      <c r="D132" s="103"/>
      <c r="E132" s="103"/>
      <c r="F132" s="150"/>
      <c r="G132" s="150"/>
      <c r="H132" s="100"/>
      <c r="I132" s="7">
        <f t="shared" si="61"/>
        <v>0</v>
      </c>
      <c r="J132" s="100"/>
      <c r="K132" s="7">
        <f t="shared" si="62"/>
        <v>0</v>
      </c>
      <c r="L132" s="100"/>
      <c r="M132" s="7">
        <f t="shared" si="63"/>
        <v>0</v>
      </c>
      <c r="N132" s="100"/>
      <c r="O132" s="7">
        <f t="shared" si="64"/>
        <v>0</v>
      </c>
      <c r="P132" s="100"/>
      <c r="Q132" s="7">
        <f t="shared" ref="Q132:Q195" si="100">P132*P$3</f>
        <v>0</v>
      </c>
      <c r="R132" s="100"/>
      <c r="S132" s="7">
        <f t="shared" ref="S132:S195" si="101">R132*R$3</f>
        <v>0</v>
      </c>
      <c r="T132" s="100"/>
      <c r="U132" s="7">
        <f t="shared" ref="U132:U195" si="102">T132*T$3</f>
        <v>0</v>
      </c>
      <c r="V132" s="8">
        <f t="shared" si="65"/>
        <v>0</v>
      </c>
      <c r="W132" s="136" t="str">
        <f t="shared" si="53"/>
        <v/>
      </c>
      <c r="X132" s="136" t="str">
        <f t="shared" si="54"/>
        <v/>
      </c>
      <c r="Y132" s="136" t="str">
        <f t="shared" si="55"/>
        <v/>
      </c>
      <c r="Z132" s="136" t="str">
        <f t="shared" si="56"/>
        <v/>
      </c>
      <c r="AA132" s="152"/>
      <c r="AB132" s="152"/>
      <c r="AC132" s="180"/>
      <c r="AD132" s="2"/>
      <c r="AE132" s="2"/>
      <c r="AF132" s="2"/>
      <c r="AG132" s="2"/>
      <c r="AH132" s="2"/>
      <c r="AI132" s="2"/>
      <c r="AJ132" s="2"/>
      <c r="AK132" s="2"/>
      <c r="AL132" s="2"/>
      <c r="AM132" s="2"/>
      <c r="AN132" s="2"/>
      <c r="AO132" s="1"/>
      <c r="AP132" s="1"/>
      <c r="AQ132" s="1"/>
      <c r="AR132" s="1"/>
      <c r="AS132" s="1"/>
      <c r="AT132" s="1"/>
      <c r="AU132" s="1"/>
      <c r="AV132" s="1"/>
      <c r="AW132" s="1"/>
      <c r="AX132" s="1"/>
      <c r="AY132" s="1"/>
    </row>
    <row r="133" spans="1:51" ht="17.25" thickBot="1" x14ac:dyDescent="0.35">
      <c r="A133" s="147"/>
      <c r="B133" s="97"/>
      <c r="C133" s="103"/>
      <c r="D133" s="103"/>
      <c r="E133" s="103"/>
      <c r="F133" s="150"/>
      <c r="G133" s="150"/>
      <c r="H133" s="100"/>
      <c r="I133" s="7">
        <f t="shared" si="61"/>
        <v>0</v>
      </c>
      <c r="J133" s="100"/>
      <c r="K133" s="7">
        <f t="shared" si="62"/>
        <v>0</v>
      </c>
      <c r="L133" s="100"/>
      <c r="M133" s="7">
        <f t="shared" si="63"/>
        <v>0</v>
      </c>
      <c r="N133" s="100"/>
      <c r="O133" s="7">
        <f t="shared" si="64"/>
        <v>0</v>
      </c>
      <c r="P133" s="100"/>
      <c r="Q133" s="7">
        <f t="shared" si="100"/>
        <v>0</v>
      </c>
      <c r="R133" s="100"/>
      <c r="S133" s="7">
        <f t="shared" si="101"/>
        <v>0</v>
      </c>
      <c r="T133" s="100"/>
      <c r="U133" s="7">
        <f t="shared" si="102"/>
        <v>0</v>
      </c>
      <c r="V133" s="8">
        <f t="shared" si="65"/>
        <v>0</v>
      </c>
      <c r="W133" s="136" t="str">
        <f t="shared" ref="W133:W196" si="103">IF(C133+D133+E133=0,"",(M133+O133+Q133+S133+U133+I133+K133)/(C133+D133+E133))</f>
        <v/>
      </c>
      <c r="X133" s="136" t="str">
        <f t="shared" ref="X133:X196" si="104">IF(C133=0,"",(S133+U133+I133)/C133)</f>
        <v/>
      </c>
      <c r="Y133" s="136" t="str">
        <f t="shared" ref="Y133:Y196" si="105">IF(D133=0,"",(K133+M133+O133)/D133)</f>
        <v/>
      </c>
      <c r="Z133" s="136" t="str">
        <f t="shared" ref="Z133:Z196" si="106">IF(E133=0,"",Q133/E133)</f>
        <v/>
      </c>
      <c r="AA133" s="152"/>
      <c r="AB133" s="152"/>
      <c r="AC133" s="180"/>
      <c r="AD133" s="2"/>
      <c r="AE133" s="2"/>
      <c r="AF133" s="2"/>
      <c r="AG133" s="2"/>
      <c r="AH133" s="2"/>
      <c r="AI133" s="2"/>
      <c r="AJ133" s="2"/>
      <c r="AK133" s="2"/>
      <c r="AL133" s="2"/>
      <c r="AM133" s="2"/>
      <c r="AN133" s="2"/>
      <c r="AO133" s="1"/>
      <c r="AP133" s="1"/>
      <c r="AQ133" s="1"/>
      <c r="AR133" s="1"/>
      <c r="AS133" s="1"/>
      <c r="AT133" s="1"/>
      <c r="AU133" s="1"/>
      <c r="AV133" s="1"/>
      <c r="AW133" s="1"/>
      <c r="AX133" s="1"/>
      <c r="AY133" s="1"/>
    </row>
    <row r="134" spans="1:51" ht="17.25" thickBot="1" x14ac:dyDescent="0.35">
      <c r="A134" s="147"/>
      <c r="B134" s="97"/>
      <c r="C134" s="103"/>
      <c r="D134" s="103"/>
      <c r="E134" s="103"/>
      <c r="F134" s="150"/>
      <c r="G134" s="150"/>
      <c r="H134" s="100"/>
      <c r="I134" s="7">
        <f t="shared" si="61"/>
        <v>0</v>
      </c>
      <c r="J134" s="100"/>
      <c r="K134" s="7">
        <f t="shared" si="62"/>
        <v>0</v>
      </c>
      <c r="L134" s="100"/>
      <c r="M134" s="7">
        <f t="shared" si="63"/>
        <v>0</v>
      </c>
      <c r="N134" s="100"/>
      <c r="O134" s="7">
        <f t="shared" si="64"/>
        <v>0</v>
      </c>
      <c r="P134" s="100"/>
      <c r="Q134" s="7">
        <f t="shared" si="100"/>
        <v>0</v>
      </c>
      <c r="R134" s="100"/>
      <c r="S134" s="7">
        <f t="shared" si="101"/>
        <v>0</v>
      </c>
      <c r="T134" s="100"/>
      <c r="U134" s="7">
        <f t="shared" si="102"/>
        <v>0</v>
      </c>
      <c r="V134" s="8">
        <f t="shared" si="65"/>
        <v>0</v>
      </c>
      <c r="W134" s="136" t="str">
        <f t="shared" si="103"/>
        <v/>
      </c>
      <c r="X134" s="136" t="str">
        <f t="shared" si="104"/>
        <v/>
      </c>
      <c r="Y134" s="136" t="str">
        <f t="shared" si="105"/>
        <v/>
      </c>
      <c r="Z134" s="136" t="str">
        <f t="shared" si="106"/>
        <v/>
      </c>
      <c r="AA134" s="152"/>
      <c r="AB134" s="152"/>
      <c r="AC134" s="180"/>
      <c r="AD134" s="2"/>
      <c r="AE134" s="2"/>
      <c r="AF134" s="2"/>
      <c r="AG134" s="2"/>
      <c r="AH134" s="2"/>
      <c r="AI134" s="2"/>
      <c r="AJ134" s="2"/>
      <c r="AK134" s="2"/>
      <c r="AL134" s="2"/>
      <c r="AM134" s="2"/>
      <c r="AN134" s="2"/>
      <c r="AO134" s="1"/>
      <c r="AP134" s="1"/>
      <c r="AQ134" s="1"/>
      <c r="AR134" s="1"/>
      <c r="AS134" s="1"/>
      <c r="AT134" s="1"/>
      <c r="AU134" s="1"/>
      <c r="AV134" s="1"/>
      <c r="AW134" s="1"/>
      <c r="AX134" s="1"/>
      <c r="AY134" s="1"/>
    </row>
    <row r="135" spans="1:51" ht="17.25" thickBot="1" x14ac:dyDescent="0.35">
      <c r="A135" s="147"/>
      <c r="B135" s="98"/>
      <c r="C135" s="104"/>
      <c r="D135" s="104"/>
      <c r="E135" s="104"/>
      <c r="F135" s="151"/>
      <c r="G135" s="151"/>
      <c r="H135" s="101"/>
      <c r="I135" s="7">
        <f t="shared" si="61"/>
        <v>0</v>
      </c>
      <c r="J135" s="101"/>
      <c r="K135" s="7">
        <f t="shared" si="62"/>
        <v>0</v>
      </c>
      <c r="L135" s="101"/>
      <c r="M135" s="7">
        <f t="shared" si="63"/>
        <v>0</v>
      </c>
      <c r="N135" s="101"/>
      <c r="O135" s="7">
        <f t="shared" si="64"/>
        <v>0</v>
      </c>
      <c r="P135" s="101"/>
      <c r="Q135" s="7">
        <f t="shared" si="100"/>
        <v>0</v>
      </c>
      <c r="R135" s="101"/>
      <c r="S135" s="7">
        <f t="shared" si="101"/>
        <v>0</v>
      </c>
      <c r="T135" s="101"/>
      <c r="U135" s="7">
        <f t="shared" si="102"/>
        <v>0</v>
      </c>
      <c r="V135" s="8">
        <f t="shared" si="65"/>
        <v>0</v>
      </c>
      <c r="W135" s="137" t="str">
        <f t="shared" si="103"/>
        <v/>
      </c>
      <c r="X135" s="137" t="str">
        <f t="shared" si="104"/>
        <v/>
      </c>
      <c r="Y135" s="137" t="str">
        <f t="shared" si="105"/>
        <v/>
      </c>
      <c r="Z135" s="137" t="str">
        <f t="shared" si="106"/>
        <v/>
      </c>
      <c r="AA135" s="152"/>
      <c r="AB135" s="152"/>
      <c r="AC135" s="181"/>
      <c r="AD135" s="2"/>
      <c r="AE135" s="2"/>
      <c r="AF135" s="2"/>
      <c r="AG135" s="2"/>
      <c r="AH135" s="2"/>
      <c r="AI135" s="2"/>
      <c r="AJ135" s="2"/>
      <c r="AK135" s="2"/>
      <c r="AL135" s="2"/>
      <c r="AM135" s="2"/>
      <c r="AN135" s="2"/>
      <c r="AO135" s="1"/>
      <c r="AP135" s="1"/>
      <c r="AQ135" s="1"/>
      <c r="AR135" s="1"/>
      <c r="AS135" s="1"/>
      <c r="AT135" s="1"/>
      <c r="AU135" s="1"/>
      <c r="AV135" s="1"/>
      <c r="AW135" s="1"/>
      <c r="AX135" s="1"/>
      <c r="AY135" s="1"/>
    </row>
    <row r="136" spans="1:51" ht="17.25" thickBot="1" x14ac:dyDescent="0.35">
      <c r="A136" s="146">
        <v>35</v>
      </c>
      <c r="B136" s="105">
        <v>43703</v>
      </c>
      <c r="C136" s="102">
        <v>19</v>
      </c>
      <c r="D136" s="102"/>
      <c r="E136" s="102"/>
      <c r="F136" s="149">
        <f t="shared" ref="F136" si="107">SUM(M136:M141,O136:O141,Q136:Q141,S136:S141,I136:I141,K136:K141)</f>
        <v>740</v>
      </c>
      <c r="G136" s="149">
        <f t="shared" ref="G136" si="108">SUM(M136:M141,O136:O141,Q136:Q141,S136:S141,U136:U141,K136:K141,I136:I141)</f>
        <v>740</v>
      </c>
      <c r="H136" s="99">
        <v>114</v>
      </c>
      <c r="I136" s="40">
        <f t="shared" si="61"/>
        <v>570</v>
      </c>
      <c r="J136" s="99"/>
      <c r="K136" s="40">
        <f t="shared" si="62"/>
        <v>0</v>
      </c>
      <c r="L136" s="99"/>
      <c r="M136" s="40">
        <f t="shared" si="63"/>
        <v>0</v>
      </c>
      <c r="N136" s="99"/>
      <c r="O136" s="40">
        <f t="shared" si="64"/>
        <v>0</v>
      </c>
      <c r="P136" s="99"/>
      <c r="Q136" s="40">
        <f t="shared" si="100"/>
        <v>0</v>
      </c>
      <c r="R136" s="99"/>
      <c r="S136" s="40">
        <f t="shared" si="101"/>
        <v>0</v>
      </c>
      <c r="T136" s="99"/>
      <c r="U136" s="40">
        <f t="shared" si="102"/>
        <v>0</v>
      </c>
      <c r="V136" s="34">
        <f t="shared" si="65"/>
        <v>0.49479166666666669</v>
      </c>
      <c r="W136" s="135">
        <f t="shared" si="103"/>
        <v>30</v>
      </c>
      <c r="X136" s="135">
        <f t="shared" si="104"/>
        <v>30</v>
      </c>
      <c r="Y136" s="135" t="str">
        <f t="shared" si="105"/>
        <v/>
      </c>
      <c r="Z136" s="135" t="str">
        <f t="shared" si="106"/>
        <v/>
      </c>
      <c r="AA136" s="152">
        <f t="shared" ref="AA136" si="109">AVERAGE(W136:W141)</f>
        <v>29.166666666666664</v>
      </c>
      <c r="AB136" s="152">
        <f t="shared" ref="AB136" si="110">SUM(V136:V141)</f>
        <v>0.64236111111111116</v>
      </c>
      <c r="AC136" s="179"/>
      <c r="AD136" s="2"/>
      <c r="AE136" s="2"/>
      <c r="AF136" s="2"/>
      <c r="AG136" s="2"/>
      <c r="AH136" s="2"/>
      <c r="AI136" s="2"/>
      <c r="AJ136" s="2"/>
      <c r="AK136" s="2"/>
      <c r="AL136" s="2"/>
      <c r="AM136" s="2"/>
      <c r="AN136" s="2"/>
      <c r="AO136" s="1"/>
      <c r="AP136" s="1"/>
      <c r="AQ136" s="1"/>
      <c r="AR136" s="1"/>
      <c r="AS136" s="1"/>
      <c r="AT136" s="1"/>
      <c r="AU136" s="1"/>
      <c r="AV136" s="1"/>
      <c r="AW136" s="1"/>
      <c r="AX136" s="1"/>
      <c r="AY136" s="1"/>
    </row>
    <row r="137" spans="1:51" ht="17.25" thickBot="1" x14ac:dyDescent="0.35">
      <c r="A137" s="147"/>
      <c r="B137" s="97">
        <v>43704</v>
      </c>
      <c r="C137" s="103">
        <v>6</v>
      </c>
      <c r="D137" s="103"/>
      <c r="E137" s="103"/>
      <c r="F137" s="150"/>
      <c r="G137" s="150"/>
      <c r="H137" s="100">
        <v>34</v>
      </c>
      <c r="I137" s="7">
        <f t="shared" si="61"/>
        <v>170</v>
      </c>
      <c r="J137" s="100"/>
      <c r="K137" s="7">
        <f t="shared" si="62"/>
        <v>0</v>
      </c>
      <c r="L137" s="100"/>
      <c r="M137" s="7">
        <f t="shared" si="63"/>
        <v>0</v>
      </c>
      <c r="N137" s="100"/>
      <c r="O137" s="7">
        <f t="shared" si="64"/>
        <v>0</v>
      </c>
      <c r="P137" s="100"/>
      <c r="Q137" s="7">
        <f t="shared" si="100"/>
        <v>0</v>
      </c>
      <c r="R137" s="100"/>
      <c r="S137" s="7">
        <f t="shared" si="101"/>
        <v>0</v>
      </c>
      <c r="T137" s="100"/>
      <c r="U137" s="7">
        <f t="shared" si="102"/>
        <v>0</v>
      </c>
      <c r="V137" s="8">
        <f t="shared" si="65"/>
        <v>0.14756944444444445</v>
      </c>
      <c r="W137" s="136">
        <f t="shared" si="103"/>
        <v>28.333333333333332</v>
      </c>
      <c r="X137" s="136">
        <f t="shared" si="104"/>
        <v>28.333333333333332</v>
      </c>
      <c r="Y137" s="136" t="str">
        <f t="shared" si="105"/>
        <v/>
      </c>
      <c r="Z137" s="136" t="str">
        <f t="shared" si="106"/>
        <v/>
      </c>
      <c r="AA137" s="152"/>
      <c r="AB137" s="152"/>
      <c r="AC137" s="180"/>
      <c r="AD137" s="2"/>
      <c r="AE137" s="2"/>
      <c r="AF137" s="2"/>
      <c r="AG137" s="2"/>
      <c r="AH137" s="2"/>
      <c r="AI137" s="2"/>
      <c r="AJ137" s="2"/>
      <c r="AK137" s="2"/>
      <c r="AL137" s="2"/>
      <c r="AM137" s="2"/>
      <c r="AN137" s="2"/>
      <c r="AO137" s="1"/>
      <c r="AP137" s="1"/>
      <c r="AQ137" s="1"/>
      <c r="AR137" s="1"/>
      <c r="AS137" s="1"/>
      <c r="AT137" s="1"/>
      <c r="AU137" s="1"/>
      <c r="AV137" s="1"/>
      <c r="AW137" s="1"/>
      <c r="AX137" s="1"/>
      <c r="AY137" s="1"/>
    </row>
    <row r="138" spans="1:51" ht="17.25" thickBot="1" x14ac:dyDescent="0.35">
      <c r="A138" s="147"/>
      <c r="B138" s="97"/>
      <c r="C138" s="103"/>
      <c r="D138" s="103"/>
      <c r="E138" s="103"/>
      <c r="F138" s="150"/>
      <c r="G138" s="150"/>
      <c r="H138" s="100"/>
      <c r="I138" s="7">
        <f t="shared" si="61"/>
        <v>0</v>
      </c>
      <c r="J138" s="100"/>
      <c r="K138" s="7">
        <f t="shared" si="62"/>
        <v>0</v>
      </c>
      <c r="L138" s="100"/>
      <c r="M138" s="7">
        <f t="shared" si="63"/>
        <v>0</v>
      </c>
      <c r="N138" s="100"/>
      <c r="O138" s="7">
        <f t="shared" si="64"/>
        <v>0</v>
      </c>
      <c r="P138" s="100"/>
      <c r="Q138" s="7">
        <f t="shared" si="100"/>
        <v>0</v>
      </c>
      <c r="R138" s="100"/>
      <c r="S138" s="7">
        <f t="shared" si="101"/>
        <v>0</v>
      </c>
      <c r="T138" s="100"/>
      <c r="U138" s="7">
        <f t="shared" si="102"/>
        <v>0</v>
      </c>
      <c r="V138" s="8">
        <f t="shared" si="65"/>
        <v>0</v>
      </c>
      <c r="W138" s="136" t="str">
        <f t="shared" si="103"/>
        <v/>
      </c>
      <c r="X138" s="136" t="str">
        <f t="shared" si="104"/>
        <v/>
      </c>
      <c r="Y138" s="136" t="str">
        <f t="shared" si="105"/>
        <v/>
      </c>
      <c r="Z138" s="136" t="str">
        <f t="shared" si="106"/>
        <v/>
      </c>
      <c r="AA138" s="152"/>
      <c r="AB138" s="152"/>
      <c r="AC138" s="180"/>
      <c r="AD138" s="2"/>
      <c r="AE138" s="2"/>
      <c r="AF138" s="2"/>
      <c r="AG138" s="2"/>
      <c r="AH138" s="2"/>
      <c r="AI138" s="2"/>
      <c r="AJ138" s="2"/>
      <c r="AK138" s="2"/>
      <c r="AL138" s="2"/>
      <c r="AM138" s="2"/>
      <c r="AN138" s="2"/>
      <c r="AO138" s="1"/>
      <c r="AP138" s="1"/>
      <c r="AQ138" s="1"/>
      <c r="AR138" s="1"/>
      <c r="AS138" s="1"/>
      <c r="AT138" s="1"/>
      <c r="AU138" s="1"/>
      <c r="AV138" s="1"/>
      <c r="AW138" s="1"/>
      <c r="AX138" s="1"/>
      <c r="AY138" s="1"/>
    </row>
    <row r="139" spans="1:51" ht="17.25" thickBot="1" x14ac:dyDescent="0.35">
      <c r="A139" s="147"/>
      <c r="B139" s="97"/>
      <c r="C139" s="103"/>
      <c r="D139" s="103"/>
      <c r="E139" s="103"/>
      <c r="F139" s="150"/>
      <c r="G139" s="150"/>
      <c r="H139" s="100"/>
      <c r="I139" s="7">
        <f t="shared" ref="I139:I202" si="111">H139*H$3</f>
        <v>0</v>
      </c>
      <c r="J139" s="100"/>
      <c r="K139" s="7">
        <f t="shared" ref="K139:K202" si="112">J139*J$3</f>
        <v>0</v>
      </c>
      <c r="L139" s="100"/>
      <c r="M139" s="7">
        <f t="shared" ref="M139:M202" si="113">L139*L$3</f>
        <v>0</v>
      </c>
      <c r="N139" s="100"/>
      <c r="O139" s="7">
        <f t="shared" ref="O139:O202" si="114">N139*N$3</f>
        <v>0</v>
      </c>
      <c r="P139" s="100"/>
      <c r="Q139" s="7">
        <f t="shared" si="100"/>
        <v>0</v>
      </c>
      <c r="R139" s="100"/>
      <c r="S139" s="7">
        <f t="shared" si="101"/>
        <v>0</v>
      </c>
      <c r="T139" s="100"/>
      <c r="U139" s="7">
        <f t="shared" si="102"/>
        <v>0</v>
      </c>
      <c r="V139" s="8">
        <f t="shared" ref="V139:V202" si="115">(M139+O139+Q139+S139+I139+K139)/H$1</f>
        <v>0</v>
      </c>
      <c r="W139" s="136" t="str">
        <f t="shared" si="103"/>
        <v/>
      </c>
      <c r="X139" s="136" t="str">
        <f t="shared" si="104"/>
        <v/>
      </c>
      <c r="Y139" s="136" t="str">
        <f t="shared" si="105"/>
        <v/>
      </c>
      <c r="Z139" s="136" t="str">
        <f t="shared" si="106"/>
        <v/>
      </c>
      <c r="AA139" s="152"/>
      <c r="AB139" s="152"/>
      <c r="AC139" s="180"/>
      <c r="AD139" s="2"/>
      <c r="AE139" s="2"/>
      <c r="AF139" s="2"/>
      <c r="AG139" s="2"/>
      <c r="AH139" s="2"/>
      <c r="AI139" s="2"/>
      <c r="AJ139" s="2"/>
      <c r="AK139" s="2"/>
      <c r="AL139" s="2"/>
      <c r="AM139" s="2"/>
      <c r="AN139" s="2"/>
      <c r="AO139" s="1"/>
      <c r="AP139" s="1"/>
      <c r="AQ139" s="1"/>
      <c r="AR139" s="1"/>
      <c r="AS139" s="1"/>
      <c r="AT139" s="1"/>
      <c r="AU139" s="1"/>
      <c r="AV139" s="1"/>
      <c r="AW139" s="1"/>
      <c r="AX139" s="1"/>
      <c r="AY139" s="1"/>
    </row>
    <row r="140" spans="1:51" ht="17.25" thickBot="1" x14ac:dyDescent="0.35">
      <c r="A140" s="147"/>
      <c r="B140" s="97"/>
      <c r="C140" s="103"/>
      <c r="D140" s="103"/>
      <c r="E140" s="103"/>
      <c r="F140" s="150"/>
      <c r="G140" s="150"/>
      <c r="H140" s="100"/>
      <c r="I140" s="7">
        <f t="shared" si="111"/>
        <v>0</v>
      </c>
      <c r="J140" s="100"/>
      <c r="K140" s="7">
        <f t="shared" si="112"/>
        <v>0</v>
      </c>
      <c r="L140" s="100"/>
      <c r="M140" s="7">
        <f t="shared" si="113"/>
        <v>0</v>
      </c>
      <c r="N140" s="100"/>
      <c r="O140" s="7">
        <f t="shared" si="114"/>
        <v>0</v>
      </c>
      <c r="P140" s="100"/>
      <c r="Q140" s="7">
        <f t="shared" si="100"/>
        <v>0</v>
      </c>
      <c r="R140" s="100"/>
      <c r="S140" s="7">
        <f t="shared" si="101"/>
        <v>0</v>
      </c>
      <c r="T140" s="100"/>
      <c r="U140" s="7">
        <f t="shared" si="102"/>
        <v>0</v>
      </c>
      <c r="V140" s="8">
        <f t="shared" si="115"/>
        <v>0</v>
      </c>
      <c r="W140" s="136" t="str">
        <f t="shared" si="103"/>
        <v/>
      </c>
      <c r="X140" s="136" t="str">
        <f t="shared" si="104"/>
        <v/>
      </c>
      <c r="Y140" s="136" t="str">
        <f t="shared" si="105"/>
        <v/>
      </c>
      <c r="Z140" s="136" t="str">
        <f t="shared" si="106"/>
        <v/>
      </c>
      <c r="AA140" s="152"/>
      <c r="AB140" s="152"/>
      <c r="AC140" s="180"/>
      <c r="AD140" s="2"/>
      <c r="AE140" s="2"/>
      <c r="AF140" s="2"/>
      <c r="AG140" s="2"/>
      <c r="AH140" s="2"/>
      <c r="AI140" s="2"/>
      <c r="AJ140" s="2"/>
      <c r="AK140" s="2"/>
      <c r="AL140" s="2"/>
      <c r="AM140" s="2"/>
      <c r="AN140" s="2"/>
      <c r="AO140" s="1"/>
      <c r="AP140" s="1"/>
      <c r="AQ140" s="1"/>
      <c r="AR140" s="1"/>
      <c r="AS140" s="1"/>
      <c r="AT140" s="1"/>
      <c r="AU140" s="1"/>
      <c r="AV140" s="1"/>
      <c r="AW140" s="1"/>
      <c r="AX140" s="1"/>
      <c r="AY140" s="1"/>
    </row>
    <row r="141" spans="1:51" ht="17.25" thickBot="1" x14ac:dyDescent="0.35">
      <c r="A141" s="148"/>
      <c r="B141" s="98"/>
      <c r="C141" s="104"/>
      <c r="D141" s="104"/>
      <c r="E141" s="104"/>
      <c r="F141" s="151"/>
      <c r="G141" s="151"/>
      <c r="H141" s="101"/>
      <c r="I141" s="39">
        <f t="shared" si="111"/>
        <v>0</v>
      </c>
      <c r="J141" s="101"/>
      <c r="K141" s="39">
        <f t="shared" si="112"/>
        <v>0</v>
      </c>
      <c r="L141" s="101"/>
      <c r="M141" s="39">
        <f t="shared" si="113"/>
        <v>0</v>
      </c>
      <c r="N141" s="101"/>
      <c r="O141" s="39">
        <f t="shared" si="114"/>
        <v>0</v>
      </c>
      <c r="P141" s="101"/>
      <c r="Q141" s="39">
        <f t="shared" si="100"/>
        <v>0</v>
      </c>
      <c r="R141" s="101"/>
      <c r="S141" s="39">
        <f t="shared" si="101"/>
        <v>0</v>
      </c>
      <c r="T141" s="101"/>
      <c r="U141" s="39">
        <f t="shared" si="102"/>
        <v>0</v>
      </c>
      <c r="V141" s="36">
        <f t="shared" si="115"/>
        <v>0</v>
      </c>
      <c r="W141" s="137" t="str">
        <f t="shared" si="103"/>
        <v/>
      </c>
      <c r="X141" s="137" t="str">
        <f t="shared" si="104"/>
        <v/>
      </c>
      <c r="Y141" s="137" t="str">
        <f t="shared" si="105"/>
        <v/>
      </c>
      <c r="Z141" s="137" t="str">
        <f t="shared" si="106"/>
        <v/>
      </c>
      <c r="AA141" s="152"/>
      <c r="AB141" s="152"/>
      <c r="AC141" s="181"/>
      <c r="AD141" s="2"/>
      <c r="AE141" s="2"/>
      <c r="AF141" s="2"/>
      <c r="AG141" s="2"/>
      <c r="AH141" s="2"/>
      <c r="AI141" s="2"/>
      <c r="AJ141" s="2"/>
      <c r="AK141" s="2"/>
      <c r="AL141" s="2"/>
      <c r="AM141" s="2"/>
      <c r="AN141" s="2"/>
      <c r="AO141" s="1"/>
      <c r="AP141" s="1"/>
      <c r="AQ141" s="1"/>
      <c r="AR141" s="1"/>
      <c r="AS141" s="1"/>
      <c r="AT141" s="1"/>
      <c r="AU141" s="1"/>
      <c r="AV141" s="1"/>
      <c r="AW141" s="1"/>
      <c r="AX141" s="1"/>
      <c r="AY141" s="1"/>
    </row>
    <row r="142" spans="1:51" ht="17.25" thickBot="1" x14ac:dyDescent="0.35">
      <c r="A142" s="147">
        <v>36</v>
      </c>
      <c r="B142" s="105"/>
      <c r="C142" s="102"/>
      <c r="D142" s="102"/>
      <c r="E142" s="102"/>
      <c r="F142" s="149">
        <f t="shared" ref="F142" si="116">SUM(M142:M147,O142:O147,Q142:Q147,S142:S147,I142:I147,K142:K147)</f>
        <v>930</v>
      </c>
      <c r="G142" s="149">
        <f t="shared" ref="G142" si="117">SUM(M142:M147,O142:O147,Q142:Q147,S142:S147,U142:U147,K142:K147,I142:I147)</f>
        <v>930</v>
      </c>
      <c r="H142" s="99"/>
      <c r="I142" s="7">
        <f t="shared" si="111"/>
        <v>0</v>
      </c>
      <c r="J142" s="99"/>
      <c r="K142" s="7">
        <f t="shared" si="112"/>
        <v>0</v>
      </c>
      <c r="L142" s="99"/>
      <c r="M142" s="7">
        <f t="shared" si="113"/>
        <v>0</v>
      </c>
      <c r="N142" s="99"/>
      <c r="O142" s="7">
        <f t="shared" si="114"/>
        <v>0</v>
      </c>
      <c r="P142" s="99"/>
      <c r="Q142" s="7">
        <f t="shared" si="100"/>
        <v>0</v>
      </c>
      <c r="R142" s="99"/>
      <c r="S142" s="7">
        <f t="shared" si="101"/>
        <v>0</v>
      </c>
      <c r="T142" s="99"/>
      <c r="U142" s="7">
        <f t="shared" si="102"/>
        <v>0</v>
      </c>
      <c r="V142" s="8">
        <f t="shared" si="115"/>
        <v>0</v>
      </c>
      <c r="W142" s="135" t="str">
        <f t="shared" si="103"/>
        <v/>
      </c>
      <c r="X142" s="135" t="str">
        <f t="shared" si="104"/>
        <v/>
      </c>
      <c r="Y142" s="135" t="str">
        <f t="shared" si="105"/>
        <v/>
      </c>
      <c r="Z142" s="135" t="str">
        <f t="shared" si="106"/>
        <v/>
      </c>
      <c r="AA142" s="152">
        <f>AVERAGE(W142:W147)</f>
        <v>42.244582043343655</v>
      </c>
      <c r="AB142" s="152">
        <f t="shared" ref="AB142" si="118">SUM(V142:V147)</f>
        <v>0.80729166666666674</v>
      </c>
      <c r="AC142" s="179"/>
      <c r="AD142" s="2"/>
      <c r="AE142" s="2"/>
      <c r="AF142" s="2"/>
      <c r="AG142" s="2"/>
      <c r="AH142" s="2"/>
      <c r="AI142" s="2"/>
      <c r="AJ142" s="2"/>
      <c r="AK142" s="2"/>
      <c r="AL142" s="2"/>
      <c r="AM142" s="2"/>
      <c r="AN142" s="2"/>
      <c r="AO142" s="1"/>
      <c r="AP142" s="1"/>
      <c r="AQ142" s="1"/>
      <c r="AR142" s="1"/>
      <c r="AS142" s="1"/>
      <c r="AT142" s="1"/>
      <c r="AU142" s="1"/>
      <c r="AV142" s="1"/>
      <c r="AW142" s="1"/>
      <c r="AX142" s="1"/>
      <c r="AY142" s="1"/>
    </row>
    <row r="143" spans="1:51" ht="17.25" thickBot="1" x14ac:dyDescent="0.35">
      <c r="A143" s="147"/>
      <c r="B143" s="97"/>
      <c r="C143" s="103"/>
      <c r="D143" s="103"/>
      <c r="E143" s="103"/>
      <c r="F143" s="150"/>
      <c r="G143" s="150"/>
      <c r="H143" s="100"/>
      <c r="I143" s="7">
        <f t="shared" si="111"/>
        <v>0</v>
      </c>
      <c r="J143" s="100"/>
      <c r="K143" s="7">
        <f t="shared" si="112"/>
        <v>0</v>
      </c>
      <c r="L143" s="100"/>
      <c r="M143" s="7">
        <f t="shared" si="113"/>
        <v>0</v>
      </c>
      <c r="N143" s="100"/>
      <c r="O143" s="7">
        <f t="shared" si="114"/>
        <v>0</v>
      </c>
      <c r="P143" s="100"/>
      <c r="Q143" s="7">
        <f t="shared" si="100"/>
        <v>0</v>
      </c>
      <c r="R143" s="100"/>
      <c r="S143" s="7">
        <f t="shared" si="101"/>
        <v>0</v>
      </c>
      <c r="T143" s="100"/>
      <c r="U143" s="7">
        <f t="shared" si="102"/>
        <v>0</v>
      </c>
      <c r="V143" s="8">
        <f t="shared" si="115"/>
        <v>0</v>
      </c>
      <c r="W143" s="136" t="str">
        <f t="shared" si="103"/>
        <v/>
      </c>
      <c r="X143" s="136" t="str">
        <f t="shared" si="104"/>
        <v/>
      </c>
      <c r="Y143" s="136" t="str">
        <f t="shared" si="105"/>
        <v/>
      </c>
      <c r="Z143" s="136" t="str">
        <f t="shared" si="106"/>
        <v/>
      </c>
      <c r="AA143" s="152"/>
      <c r="AB143" s="152"/>
      <c r="AC143" s="180"/>
      <c r="AD143" s="2"/>
      <c r="AE143" s="2"/>
      <c r="AF143" s="2"/>
      <c r="AG143" s="2"/>
      <c r="AH143" s="2"/>
      <c r="AI143" s="2"/>
      <c r="AJ143" s="2"/>
      <c r="AK143" s="2"/>
      <c r="AL143" s="2"/>
      <c r="AM143" s="2"/>
      <c r="AN143" s="2"/>
      <c r="AO143" s="1"/>
      <c r="AP143" s="1"/>
      <c r="AQ143" s="1"/>
      <c r="AR143" s="1"/>
      <c r="AS143" s="1"/>
      <c r="AT143" s="1"/>
      <c r="AU143" s="1"/>
      <c r="AV143" s="1"/>
      <c r="AW143" s="1"/>
      <c r="AX143" s="1"/>
      <c r="AY143" s="1"/>
    </row>
    <row r="144" spans="1:51" ht="17.25" thickBot="1" x14ac:dyDescent="0.35">
      <c r="A144" s="147"/>
      <c r="B144" s="97"/>
      <c r="C144" s="103"/>
      <c r="D144" s="103"/>
      <c r="E144" s="103"/>
      <c r="F144" s="150"/>
      <c r="G144" s="150"/>
      <c r="H144" s="100"/>
      <c r="I144" s="7">
        <f t="shared" si="111"/>
        <v>0</v>
      </c>
      <c r="J144" s="100"/>
      <c r="K144" s="7">
        <f t="shared" si="112"/>
        <v>0</v>
      </c>
      <c r="L144" s="100"/>
      <c r="M144" s="7">
        <f t="shared" si="113"/>
        <v>0</v>
      </c>
      <c r="N144" s="100"/>
      <c r="O144" s="7">
        <f t="shared" si="114"/>
        <v>0</v>
      </c>
      <c r="P144" s="100"/>
      <c r="Q144" s="7">
        <f t="shared" si="100"/>
        <v>0</v>
      </c>
      <c r="R144" s="100"/>
      <c r="S144" s="7">
        <f t="shared" si="101"/>
        <v>0</v>
      </c>
      <c r="T144" s="100"/>
      <c r="U144" s="7">
        <f t="shared" si="102"/>
        <v>0</v>
      </c>
      <c r="V144" s="8">
        <f t="shared" si="115"/>
        <v>0</v>
      </c>
      <c r="W144" s="136" t="str">
        <f t="shared" si="103"/>
        <v/>
      </c>
      <c r="X144" s="136" t="str">
        <f t="shared" si="104"/>
        <v/>
      </c>
      <c r="Y144" s="136" t="str">
        <f t="shared" si="105"/>
        <v/>
      </c>
      <c r="Z144" s="136" t="str">
        <f t="shared" si="106"/>
        <v/>
      </c>
      <c r="AA144" s="152"/>
      <c r="AB144" s="152"/>
      <c r="AC144" s="180"/>
      <c r="AD144" s="2"/>
      <c r="AE144" s="2"/>
      <c r="AF144" s="2"/>
      <c r="AG144" s="2"/>
      <c r="AH144" s="2"/>
      <c r="AI144" s="2"/>
      <c r="AJ144" s="2"/>
      <c r="AK144" s="2"/>
      <c r="AL144" s="2"/>
      <c r="AM144" s="2"/>
      <c r="AN144" s="2"/>
      <c r="AO144" s="1"/>
      <c r="AP144" s="1"/>
      <c r="AQ144" s="1"/>
      <c r="AR144" s="1"/>
      <c r="AS144" s="1"/>
      <c r="AT144" s="1"/>
      <c r="AU144" s="1"/>
      <c r="AV144" s="1"/>
      <c r="AW144" s="1"/>
      <c r="AX144" s="1"/>
      <c r="AY144" s="1"/>
    </row>
    <row r="145" spans="1:51" ht="17.25" thickBot="1" x14ac:dyDescent="0.35">
      <c r="A145" s="147"/>
      <c r="B145" s="97">
        <v>43713</v>
      </c>
      <c r="C145" s="103">
        <v>14.25</v>
      </c>
      <c r="D145" s="103"/>
      <c r="E145" s="103"/>
      <c r="F145" s="150"/>
      <c r="G145" s="150"/>
      <c r="H145" s="100">
        <v>105</v>
      </c>
      <c r="I145" s="7">
        <f t="shared" si="111"/>
        <v>525</v>
      </c>
      <c r="J145" s="100"/>
      <c r="K145" s="7">
        <f t="shared" si="112"/>
        <v>0</v>
      </c>
      <c r="L145" s="100"/>
      <c r="M145" s="7">
        <f t="shared" si="113"/>
        <v>0</v>
      </c>
      <c r="N145" s="100"/>
      <c r="O145" s="7">
        <f t="shared" si="114"/>
        <v>0</v>
      </c>
      <c r="P145" s="100"/>
      <c r="Q145" s="7">
        <f t="shared" si="100"/>
        <v>0</v>
      </c>
      <c r="R145" s="100"/>
      <c r="S145" s="7">
        <f t="shared" si="101"/>
        <v>0</v>
      </c>
      <c r="T145" s="100"/>
      <c r="U145" s="7">
        <f t="shared" si="102"/>
        <v>0</v>
      </c>
      <c r="V145" s="8">
        <f t="shared" si="115"/>
        <v>0.45572916666666669</v>
      </c>
      <c r="W145" s="136">
        <f t="shared" si="103"/>
        <v>36.842105263157897</v>
      </c>
      <c r="X145" s="136">
        <f t="shared" si="104"/>
        <v>36.842105263157897</v>
      </c>
      <c r="Y145" s="136" t="str">
        <f t="shared" si="105"/>
        <v/>
      </c>
      <c r="Z145" s="136" t="str">
        <f t="shared" si="106"/>
        <v/>
      </c>
      <c r="AA145" s="152"/>
      <c r="AB145" s="152"/>
      <c r="AC145" s="180"/>
      <c r="AD145" s="2"/>
      <c r="AE145" s="2"/>
      <c r="AF145" s="2"/>
      <c r="AG145" s="2"/>
      <c r="AH145" s="2"/>
      <c r="AI145" s="2"/>
      <c r="AJ145" s="2"/>
      <c r="AK145" s="2"/>
      <c r="AL145" s="2"/>
      <c r="AM145" s="2"/>
      <c r="AN145" s="2"/>
      <c r="AO145" s="1"/>
      <c r="AP145" s="1"/>
      <c r="AQ145" s="1"/>
      <c r="AR145" s="1"/>
      <c r="AS145" s="1"/>
      <c r="AT145" s="1"/>
      <c r="AU145" s="1"/>
      <c r="AV145" s="1"/>
      <c r="AW145" s="1"/>
      <c r="AX145" s="1"/>
      <c r="AY145" s="1"/>
    </row>
    <row r="146" spans="1:51" ht="17.25" thickBot="1" x14ac:dyDescent="0.35">
      <c r="A146" s="147"/>
      <c r="B146" s="97">
        <v>43714</v>
      </c>
      <c r="C146" s="103">
        <v>8.5</v>
      </c>
      <c r="D146" s="103"/>
      <c r="E146" s="103"/>
      <c r="F146" s="150"/>
      <c r="G146" s="150"/>
      <c r="H146" s="100">
        <v>81</v>
      </c>
      <c r="I146" s="7">
        <f t="shared" si="111"/>
        <v>405</v>
      </c>
      <c r="J146" s="100"/>
      <c r="K146" s="7">
        <f t="shared" si="112"/>
        <v>0</v>
      </c>
      <c r="L146" s="100"/>
      <c r="M146" s="7">
        <f t="shared" si="113"/>
        <v>0</v>
      </c>
      <c r="N146" s="100"/>
      <c r="O146" s="7">
        <f t="shared" si="114"/>
        <v>0</v>
      </c>
      <c r="P146" s="100"/>
      <c r="Q146" s="7">
        <f t="shared" si="100"/>
        <v>0</v>
      </c>
      <c r="R146" s="100"/>
      <c r="S146" s="7">
        <f t="shared" si="101"/>
        <v>0</v>
      </c>
      <c r="T146" s="100"/>
      <c r="U146" s="7">
        <f t="shared" si="102"/>
        <v>0</v>
      </c>
      <c r="V146" s="8">
        <f t="shared" si="115"/>
        <v>0.3515625</v>
      </c>
      <c r="W146" s="136">
        <f t="shared" si="103"/>
        <v>47.647058823529413</v>
      </c>
      <c r="X146" s="136">
        <f t="shared" si="104"/>
        <v>47.647058823529413</v>
      </c>
      <c r="Y146" s="136" t="str">
        <f t="shared" si="105"/>
        <v/>
      </c>
      <c r="Z146" s="136" t="str">
        <f t="shared" si="106"/>
        <v/>
      </c>
      <c r="AA146" s="152"/>
      <c r="AB146" s="152"/>
      <c r="AC146" s="180"/>
      <c r="AD146" s="2"/>
      <c r="AE146" s="2"/>
      <c r="AF146" s="2"/>
      <c r="AG146" s="2"/>
      <c r="AH146" s="2"/>
      <c r="AI146" s="2"/>
      <c r="AJ146" s="2"/>
      <c r="AK146" s="2"/>
      <c r="AL146" s="2"/>
      <c r="AM146" s="2"/>
      <c r="AN146" s="2"/>
      <c r="AO146" s="1"/>
      <c r="AP146" s="1"/>
      <c r="AQ146" s="1"/>
      <c r="AR146" s="1"/>
      <c r="AS146" s="1"/>
      <c r="AT146" s="1"/>
      <c r="AU146" s="1"/>
      <c r="AV146" s="1"/>
      <c r="AW146" s="1"/>
      <c r="AX146" s="1"/>
      <c r="AY146" s="1"/>
    </row>
    <row r="147" spans="1:51" ht="17.25" thickBot="1" x14ac:dyDescent="0.35">
      <c r="A147" s="147"/>
      <c r="B147" s="98"/>
      <c r="C147" s="104"/>
      <c r="D147" s="104"/>
      <c r="E147" s="104"/>
      <c r="F147" s="151"/>
      <c r="G147" s="151"/>
      <c r="H147" s="101"/>
      <c r="I147" s="7">
        <f t="shared" si="111"/>
        <v>0</v>
      </c>
      <c r="J147" s="101"/>
      <c r="K147" s="7">
        <f t="shared" si="112"/>
        <v>0</v>
      </c>
      <c r="L147" s="101"/>
      <c r="M147" s="7">
        <f t="shared" si="113"/>
        <v>0</v>
      </c>
      <c r="N147" s="101"/>
      <c r="O147" s="7">
        <f t="shared" si="114"/>
        <v>0</v>
      </c>
      <c r="P147" s="101"/>
      <c r="Q147" s="7">
        <f t="shared" si="100"/>
        <v>0</v>
      </c>
      <c r="R147" s="101"/>
      <c r="S147" s="7">
        <f t="shared" si="101"/>
        <v>0</v>
      </c>
      <c r="T147" s="101"/>
      <c r="U147" s="7">
        <f t="shared" si="102"/>
        <v>0</v>
      </c>
      <c r="V147" s="8">
        <f t="shared" si="115"/>
        <v>0</v>
      </c>
      <c r="W147" s="137" t="str">
        <f t="shared" si="103"/>
        <v/>
      </c>
      <c r="X147" s="137" t="str">
        <f t="shared" si="104"/>
        <v/>
      </c>
      <c r="Y147" s="137" t="str">
        <f t="shared" si="105"/>
        <v/>
      </c>
      <c r="Z147" s="137" t="str">
        <f t="shared" si="106"/>
        <v/>
      </c>
      <c r="AA147" s="152"/>
      <c r="AB147" s="152"/>
      <c r="AC147" s="181"/>
      <c r="AD147" s="2"/>
      <c r="AE147" s="2"/>
      <c r="AF147" s="2"/>
      <c r="AG147" s="2"/>
      <c r="AH147" s="2"/>
      <c r="AI147" s="2"/>
      <c r="AJ147" s="2"/>
      <c r="AK147" s="2"/>
      <c r="AL147" s="2"/>
      <c r="AM147" s="2"/>
      <c r="AN147" s="2"/>
      <c r="AO147" s="1"/>
      <c r="AP147" s="1"/>
      <c r="AQ147" s="1"/>
      <c r="AR147" s="1"/>
      <c r="AS147" s="1"/>
      <c r="AT147" s="1"/>
      <c r="AU147" s="1"/>
      <c r="AV147" s="1"/>
      <c r="AW147" s="1"/>
      <c r="AX147" s="1"/>
      <c r="AY147" s="1"/>
    </row>
    <row r="148" spans="1:51" ht="17.25" thickBot="1" x14ac:dyDescent="0.35">
      <c r="A148" s="146">
        <v>37</v>
      </c>
      <c r="B148" s="105"/>
      <c r="C148" s="102"/>
      <c r="D148" s="102"/>
      <c r="E148" s="102"/>
      <c r="F148" s="149">
        <f t="shared" ref="F148" si="119">SUM(M148:M153,O148:O153,Q148:Q153,S148:S153,I148:I153,K148:K153)</f>
        <v>905</v>
      </c>
      <c r="G148" s="149">
        <f t="shared" ref="G148" si="120">SUM(M148:M153,O148:O153,Q148:Q153,S148:S153,U148:U153,K148:K153,I148:I153)</f>
        <v>905</v>
      </c>
      <c r="H148" s="99"/>
      <c r="I148" s="40">
        <f t="shared" si="111"/>
        <v>0</v>
      </c>
      <c r="J148" s="99"/>
      <c r="K148" s="40">
        <f t="shared" si="112"/>
        <v>0</v>
      </c>
      <c r="L148" s="99"/>
      <c r="M148" s="40">
        <f t="shared" si="113"/>
        <v>0</v>
      </c>
      <c r="N148" s="99"/>
      <c r="O148" s="40">
        <f t="shared" si="114"/>
        <v>0</v>
      </c>
      <c r="P148" s="99"/>
      <c r="Q148" s="40">
        <f t="shared" si="100"/>
        <v>0</v>
      </c>
      <c r="R148" s="99"/>
      <c r="S148" s="40">
        <f t="shared" si="101"/>
        <v>0</v>
      </c>
      <c r="T148" s="99"/>
      <c r="U148" s="40">
        <f t="shared" si="102"/>
        <v>0</v>
      </c>
      <c r="V148" s="34">
        <f t="shared" si="115"/>
        <v>0</v>
      </c>
      <c r="W148" s="135" t="str">
        <f t="shared" si="103"/>
        <v/>
      </c>
      <c r="X148" s="135" t="str">
        <f t="shared" si="104"/>
        <v/>
      </c>
      <c r="Y148" s="135" t="str">
        <f t="shared" si="105"/>
        <v/>
      </c>
      <c r="Z148" s="135" t="str">
        <f t="shared" si="106"/>
        <v/>
      </c>
      <c r="AA148" s="152">
        <f t="shared" ref="AA148" si="121">AVERAGE(W148:W153)</f>
        <v>42.140522875816998</v>
      </c>
      <c r="AB148" s="152">
        <f t="shared" ref="AB148" si="122">SUM(V148:V153)</f>
        <v>0.78559027777777779</v>
      </c>
      <c r="AC148" s="179"/>
      <c r="AD148" s="2"/>
      <c r="AE148" s="2"/>
      <c r="AF148" s="2"/>
      <c r="AG148" s="2"/>
      <c r="AH148" s="2"/>
      <c r="AI148" s="2"/>
      <c r="AJ148" s="2"/>
      <c r="AK148" s="2"/>
      <c r="AL148" s="2"/>
      <c r="AM148" s="2"/>
      <c r="AN148" s="2"/>
      <c r="AO148" s="1"/>
      <c r="AP148" s="1"/>
      <c r="AQ148" s="1"/>
      <c r="AR148" s="1"/>
      <c r="AS148" s="1"/>
      <c r="AT148" s="1"/>
      <c r="AU148" s="1"/>
      <c r="AV148" s="1"/>
      <c r="AW148" s="1"/>
      <c r="AX148" s="1"/>
      <c r="AY148" s="1"/>
    </row>
    <row r="149" spans="1:51" ht="17.25" thickBot="1" x14ac:dyDescent="0.35">
      <c r="A149" s="147"/>
      <c r="B149" s="97"/>
      <c r="C149" s="103"/>
      <c r="D149" s="103"/>
      <c r="E149" s="103"/>
      <c r="F149" s="150"/>
      <c r="G149" s="150"/>
      <c r="H149" s="100"/>
      <c r="I149" s="7">
        <f t="shared" si="111"/>
        <v>0</v>
      </c>
      <c r="J149" s="100"/>
      <c r="K149" s="7">
        <f t="shared" si="112"/>
        <v>0</v>
      </c>
      <c r="L149" s="100"/>
      <c r="M149" s="7">
        <f t="shared" si="113"/>
        <v>0</v>
      </c>
      <c r="N149" s="100"/>
      <c r="O149" s="7">
        <f t="shared" si="114"/>
        <v>0</v>
      </c>
      <c r="P149" s="100"/>
      <c r="Q149" s="7">
        <f t="shared" si="100"/>
        <v>0</v>
      </c>
      <c r="R149" s="100"/>
      <c r="S149" s="7">
        <f t="shared" si="101"/>
        <v>0</v>
      </c>
      <c r="T149" s="100"/>
      <c r="U149" s="7">
        <f t="shared" si="102"/>
        <v>0</v>
      </c>
      <c r="V149" s="8">
        <f t="shared" si="115"/>
        <v>0</v>
      </c>
      <c r="W149" s="136" t="str">
        <f t="shared" si="103"/>
        <v/>
      </c>
      <c r="X149" s="136" t="str">
        <f t="shared" si="104"/>
        <v/>
      </c>
      <c r="Y149" s="136" t="str">
        <f t="shared" si="105"/>
        <v/>
      </c>
      <c r="Z149" s="136" t="str">
        <f t="shared" si="106"/>
        <v/>
      </c>
      <c r="AA149" s="152"/>
      <c r="AB149" s="152"/>
      <c r="AC149" s="180"/>
      <c r="AD149" s="2"/>
      <c r="AE149" s="2"/>
      <c r="AF149" s="2"/>
      <c r="AG149" s="2"/>
      <c r="AH149" s="2"/>
      <c r="AI149" s="2"/>
      <c r="AJ149" s="2"/>
      <c r="AK149" s="2"/>
      <c r="AL149" s="2"/>
      <c r="AM149" s="2"/>
      <c r="AN149" s="2"/>
      <c r="AO149" s="1"/>
      <c r="AP149" s="1"/>
      <c r="AQ149" s="1"/>
      <c r="AR149" s="1"/>
      <c r="AS149" s="1"/>
      <c r="AT149" s="1"/>
      <c r="AU149" s="1"/>
      <c r="AV149" s="1"/>
      <c r="AW149" s="1"/>
      <c r="AX149" s="1"/>
      <c r="AY149" s="1"/>
    </row>
    <row r="150" spans="1:51" ht="17.25" thickBot="1" x14ac:dyDescent="0.35">
      <c r="A150" s="147"/>
      <c r="B150" s="97"/>
      <c r="C150" s="103"/>
      <c r="D150" s="103"/>
      <c r="E150" s="103"/>
      <c r="F150" s="150"/>
      <c r="G150" s="150"/>
      <c r="H150" s="100"/>
      <c r="I150" s="7">
        <f t="shared" si="111"/>
        <v>0</v>
      </c>
      <c r="J150" s="100"/>
      <c r="K150" s="7">
        <f t="shared" si="112"/>
        <v>0</v>
      </c>
      <c r="L150" s="100"/>
      <c r="M150" s="7">
        <f t="shared" si="113"/>
        <v>0</v>
      </c>
      <c r="N150" s="100"/>
      <c r="O150" s="7">
        <f t="shared" si="114"/>
        <v>0</v>
      </c>
      <c r="P150" s="100"/>
      <c r="Q150" s="7">
        <f t="shared" si="100"/>
        <v>0</v>
      </c>
      <c r="R150" s="100"/>
      <c r="S150" s="7">
        <f t="shared" si="101"/>
        <v>0</v>
      </c>
      <c r="T150" s="100"/>
      <c r="U150" s="7">
        <f t="shared" si="102"/>
        <v>0</v>
      </c>
      <c r="V150" s="8">
        <f t="shared" si="115"/>
        <v>0</v>
      </c>
      <c r="W150" s="136" t="str">
        <f t="shared" si="103"/>
        <v/>
      </c>
      <c r="X150" s="136" t="str">
        <f t="shared" si="104"/>
        <v/>
      </c>
      <c r="Y150" s="136" t="str">
        <f t="shared" si="105"/>
        <v/>
      </c>
      <c r="Z150" s="136" t="str">
        <f t="shared" si="106"/>
        <v/>
      </c>
      <c r="AA150" s="152"/>
      <c r="AB150" s="152"/>
      <c r="AC150" s="180"/>
      <c r="AD150" s="2"/>
      <c r="AE150" s="2"/>
      <c r="AF150" s="2"/>
      <c r="AG150" s="2"/>
      <c r="AH150" s="2"/>
      <c r="AI150" s="2"/>
      <c r="AJ150" s="2"/>
      <c r="AK150" s="2"/>
      <c r="AL150" s="2"/>
      <c r="AM150" s="2"/>
      <c r="AN150" s="2"/>
      <c r="AO150" s="1"/>
      <c r="AP150" s="1"/>
      <c r="AQ150" s="1"/>
      <c r="AR150" s="1"/>
      <c r="AS150" s="1"/>
      <c r="AT150" s="1"/>
      <c r="AU150" s="1"/>
      <c r="AV150" s="1"/>
      <c r="AW150" s="1"/>
      <c r="AX150" s="1"/>
      <c r="AY150" s="1"/>
    </row>
    <row r="151" spans="1:51" ht="17.25" thickBot="1" x14ac:dyDescent="0.35">
      <c r="A151" s="147"/>
      <c r="B151" s="97">
        <v>43720</v>
      </c>
      <c r="C151" s="103">
        <v>17</v>
      </c>
      <c r="D151" s="103"/>
      <c r="E151" s="103"/>
      <c r="F151" s="150"/>
      <c r="G151" s="150"/>
      <c r="H151" s="100">
        <v>143</v>
      </c>
      <c r="I151" s="7">
        <f t="shared" si="111"/>
        <v>715</v>
      </c>
      <c r="J151" s="100"/>
      <c r="K151" s="7">
        <f t="shared" si="112"/>
        <v>0</v>
      </c>
      <c r="L151" s="100"/>
      <c r="M151" s="7">
        <f t="shared" si="113"/>
        <v>0</v>
      </c>
      <c r="N151" s="100"/>
      <c r="O151" s="7">
        <f t="shared" si="114"/>
        <v>0</v>
      </c>
      <c r="P151" s="100"/>
      <c r="Q151" s="7">
        <f t="shared" si="100"/>
        <v>0</v>
      </c>
      <c r="R151" s="100"/>
      <c r="S151" s="7">
        <f t="shared" si="101"/>
        <v>0</v>
      </c>
      <c r="T151" s="100"/>
      <c r="U151" s="7">
        <f t="shared" si="102"/>
        <v>0</v>
      </c>
      <c r="V151" s="8">
        <f t="shared" si="115"/>
        <v>0.62065972222222221</v>
      </c>
      <c r="W151" s="136">
        <f t="shared" si="103"/>
        <v>42.058823529411768</v>
      </c>
      <c r="X151" s="136">
        <f t="shared" si="104"/>
        <v>42.058823529411768</v>
      </c>
      <c r="Y151" s="136" t="str">
        <f t="shared" si="105"/>
        <v/>
      </c>
      <c r="Z151" s="136" t="str">
        <f t="shared" si="106"/>
        <v/>
      </c>
      <c r="AA151" s="152"/>
      <c r="AB151" s="152"/>
      <c r="AC151" s="180"/>
      <c r="AD151" s="2"/>
      <c r="AE151" s="2"/>
      <c r="AF151" s="2"/>
      <c r="AG151" s="2"/>
      <c r="AH151" s="2"/>
      <c r="AI151" s="2"/>
      <c r="AJ151" s="2"/>
      <c r="AK151" s="2"/>
      <c r="AL151" s="2"/>
      <c r="AM151" s="2"/>
      <c r="AN151" s="2"/>
      <c r="AO151" s="1"/>
      <c r="AP151" s="1"/>
      <c r="AQ151" s="1"/>
      <c r="AR151" s="1"/>
      <c r="AS151" s="1"/>
      <c r="AT151" s="1"/>
      <c r="AU151" s="1"/>
      <c r="AV151" s="1"/>
      <c r="AW151" s="1"/>
      <c r="AX151" s="1"/>
      <c r="AY151" s="1"/>
    </row>
    <row r="152" spans="1:51" ht="17.25" thickBot="1" x14ac:dyDescent="0.35">
      <c r="A152" s="147"/>
      <c r="B152" s="97">
        <v>43721</v>
      </c>
      <c r="C152" s="103">
        <v>4.5</v>
      </c>
      <c r="D152" s="103"/>
      <c r="E152" s="103"/>
      <c r="F152" s="150"/>
      <c r="G152" s="150"/>
      <c r="H152" s="100">
        <v>38</v>
      </c>
      <c r="I152" s="7">
        <f t="shared" si="111"/>
        <v>190</v>
      </c>
      <c r="J152" s="100"/>
      <c r="K152" s="7">
        <f t="shared" si="112"/>
        <v>0</v>
      </c>
      <c r="L152" s="100"/>
      <c r="M152" s="7">
        <f t="shared" si="113"/>
        <v>0</v>
      </c>
      <c r="N152" s="100"/>
      <c r="O152" s="7">
        <f t="shared" si="114"/>
        <v>0</v>
      </c>
      <c r="P152" s="100"/>
      <c r="Q152" s="7">
        <f t="shared" si="100"/>
        <v>0</v>
      </c>
      <c r="R152" s="100"/>
      <c r="S152" s="7">
        <f t="shared" si="101"/>
        <v>0</v>
      </c>
      <c r="T152" s="100"/>
      <c r="U152" s="7">
        <f t="shared" si="102"/>
        <v>0</v>
      </c>
      <c r="V152" s="8">
        <f t="shared" si="115"/>
        <v>0.16493055555555555</v>
      </c>
      <c r="W152" s="136">
        <f t="shared" si="103"/>
        <v>42.222222222222221</v>
      </c>
      <c r="X152" s="136">
        <f t="shared" si="104"/>
        <v>42.222222222222221</v>
      </c>
      <c r="Y152" s="136" t="str">
        <f t="shared" si="105"/>
        <v/>
      </c>
      <c r="Z152" s="136" t="str">
        <f t="shared" si="106"/>
        <v/>
      </c>
      <c r="AA152" s="152"/>
      <c r="AB152" s="152"/>
      <c r="AC152" s="180"/>
      <c r="AD152" s="2"/>
      <c r="AE152" s="2"/>
      <c r="AF152" s="2"/>
      <c r="AG152" s="2"/>
      <c r="AH152" s="2"/>
      <c r="AI152" s="2"/>
      <c r="AJ152" s="2"/>
      <c r="AK152" s="2"/>
      <c r="AL152" s="2"/>
      <c r="AM152" s="2"/>
      <c r="AN152" s="2"/>
      <c r="AO152" s="1"/>
      <c r="AP152" s="1"/>
      <c r="AQ152" s="1"/>
      <c r="AR152" s="1"/>
      <c r="AS152" s="1"/>
      <c r="AT152" s="1"/>
      <c r="AU152" s="1"/>
      <c r="AV152" s="1"/>
      <c r="AW152" s="1"/>
      <c r="AX152" s="1"/>
      <c r="AY152" s="1"/>
    </row>
    <row r="153" spans="1:51" ht="17.25" thickBot="1" x14ac:dyDescent="0.35">
      <c r="A153" s="148"/>
      <c r="B153" s="98"/>
      <c r="C153" s="104"/>
      <c r="D153" s="104"/>
      <c r="E153" s="104"/>
      <c r="F153" s="151"/>
      <c r="G153" s="151"/>
      <c r="H153" s="101"/>
      <c r="I153" s="39">
        <f t="shared" si="111"/>
        <v>0</v>
      </c>
      <c r="J153" s="101"/>
      <c r="K153" s="39">
        <f t="shared" si="112"/>
        <v>0</v>
      </c>
      <c r="L153" s="101"/>
      <c r="M153" s="39">
        <f t="shared" si="113"/>
        <v>0</v>
      </c>
      <c r="N153" s="101"/>
      <c r="O153" s="39">
        <f t="shared" si="114"/>
        <v>0</v>
      </c>
      <c r="P153" s="101"/>
      <c r="Q153" s="39">
        <f t="shared" si="100"/>
        <v>0</v>
      </c>
      <c r="R153" s="101"/>
      <c r="S153" s="39">
        <f t="shared" si="101"/>
        <v>0</v>
      </c>
      <c r="T153" s="101"/>
      <c r="U153" s="39">
        <f t="shared" si="102"/>
        <v>0</v>
      </c>
      <c r="V153" s="36">
        <f t="shared" si="115"/>
        <v>0</v>
      </c>
      <c r="W153" s="137" t="str">
        <f t="shared" si="103"/>
        <v/>
      </c>
      <c r="X153" s="137" t="str">
        <f t="shared" si="104"/>
        <v/>
      </c>
      <c r="Y153" s="137" t="str">
        <f t="shared" si="105"/>
        <v/>
      </c>
      <c r="Z153" s="137" t="str">
        <f t="shared" si="106"/>
        <v/>
      </c>
      <c r="AA153" s="152"/>
      <c r="AB153" s="152"/>
      <c r="AC153" s="181"/>
      <c r="AD153" s="2"/>
      <c r="AE153" s="2"/>
      <c r="AF153" s="2"/>
      <c r="AG153" s="2"/>
      <c r="AH153" s="2"/>
      <c r="AI153" s="2"/>
      <c r="AJ153" s="2"/>
      <c r="AK153" s="2"/>
      <c r="AL153" s="2"/>
      <c r="AM153" s="2"/>
      <c r="AN153" s="2"/>
      <c r="AO153" s="1"/>
      <c r="AP153" s="1"/>
      <c r="AQ153" s="1"/>
      <c r="AR153" s="1"/>
      <c r="AS153" s="1"/>
      <c r="AT153" s="1"/>
      <c r="AU153" s="1"/>
      <c r="AV153" s="1"/>
      <c r="AW153" s="1"/>
      <c r="AX153" s="1"/>
      <c r="AY153" s="1"/>
    </row>
    <row r="154" spans="1:51" ht="17.25" thickBot="1" x14ac:dyDescent="0.35">
      <c r="A154" s="147">
        <v>38</v>
      </c>
      <c r="B154" s="105"/>
      <c r="C154" s="102"/>
      <c r="D154" s="102"/>
      <c r="E154" s="102"/>
      <c r="F154" s="149">
        <f t="shared" ref="F154" si="123">SUM(M154:M159,O154:O159,Q154:Q159,S154:S159,I154:I159,K154:K159)</f>
        <v>975</v>
      </c>
      <c r="G154" s="149">
        <f t="shared" ref="G154" si="124">SUM(M154:M159,O154:O159,Q154:Q159,S154:S159,U154:U159,K154:K159,I154:I159)</f>
        <v>975</v>
      </c>
      <c r="H154" s="99"/>
      <c r="I154" s="7">
        <f t="shared" si="111"/>
        <v>0</v>
      </c>
      <c r="J154" s="99"/>
      <c r="K154" s="7">
        <f t="shared" si="112"/>
        <v>0</v>
      </c>
      <c r="L154" s="99"/>
      <c r="M154" s="7">
        <f t="shared" si="113"/>
        <v>0</v>
      </c>
      <c r="N154" s="99"/>
      <c r="O154" s="7">
        <f t="shared" si="114"/>
        <v>0</v>
      </c>
      <c r="P154" s="99"/>
      <c r="Q154" s="7">
        <f t="shared" si="100"/>
        <v>0</v>
      </c>
      <c r="R154" s="99"/>
      <c r="S154" s="7">
        <f t="shared" si="101"/>
        <v>0</v>
      </c>
      <c r="T154" s="99"/>
      <c r="U154" s="7">
        <f t="shared" si="102"/>
        <v>0</v>
      </c>
      <c r="V154" s="8">
        <f t="shared" si="115"/>
        <v>0</v>
      </c>
      <c r="W154" s="135" t="str">
        <f t="shared" si="103"/>
        <v/>
      </c>
      <c r="X154" s="135" t="str">
        <f t="shared" si="104"/>
        <v/>
      </c>
      <c r="Y154" s="135" t="str">
        <f t="shared" si="105"/>
        <v/>
      </c>
      <c r="Z154" s="135" t="str">
        <f t="shared" si="106"/>
        <v/>
      </c>
      <c r="AA154" s="152">
        <f t="shared" ref="AA154" si="125">AVERAGE(W154:W159)</f>
        <v>39.462209302325583</v>
      </c>
      <c r="AB154" s="152">
        <f t="shared" ref="AB154" si="126">SUM(V154:V159)</f>
        <v>0.84635416666666663</v>
      </c>
      <c r="AC154" s="179"/>
      <c r="AD154" s="2"/>
      <c r="AE154" s="2"/>
      <c r="AF154" s="2"/>
      <c r="AG154" s="2"/>
      <c r="AH154" s="2"/>
      <c r="AI154" s="2"/>
      <c r="AJ154" s="2"/>
      <c r="AK154" s="2"/>
      <c r="AL154" s="2"/>
      <c r="AM154" s="2"/>
      <c r="AN154" s="2"/>
      <c r="AO154" s="1"/>
      <c r="AP154" s="1"/>
      <c r="AQ154" s="1"/>
      <c r="AR154" s="1"/>
      <c r="AS154" s="1"/>
      <c r="AT154" s="1"/>
      <c r="AU154" s="1"/>
      <c r="AV154" s="1"/>
      <c r="AW154" s="1"/>
      <c r="AX154" s="1"/>
      <c r="AY154" s="1"/>
    </row>
    <row r="155" spans="1:51" ht="17.25" thickBot="1" x14ac:dyDescent="0.35">
      <c r="A155" s="147"/>
      <c r="B155" s="97"/>
      <c r="C155" s="103"/>
      <c r="D155" s="103"/>
      <c r="E155" s="103"/>
      <c r="F155" s="150"/>
      <c r="G155" s="150"/>
      <c r="H155" s="100"/>
      <c r="I155" s="7">
        <f t="shared" si="111"/>
        <v>0</v>
      </c>
      <c r="J155" s="100"/>
      <c r="K155" s="7">
        <f t="shared" si="112"/>
        <v>0</v>
      </c>
      <c r="L155" s="100"/>
      <c r="M155" s="7">
        <f t="shared" si="113"/>
        <v>0</v>
      </c>
      <c r="N155" s="100"/>
      <c r="O155" s="7">
        <f t="shared" si="114"/>
        <v>0</v>
      </c>
      <c r="P155" s="100"/>
      <c r="Q155" s="7">
        <f t="shared" si="100"/>
        <v>0</v>
      </c>
      <c r="R155" s="100"/>
      <c r="S155" s="7">
        <f t="shared" si="101"/>
        <v>0</v>
      </c>
      <c r="T155" s="100"/>
      <c r="U155" s="7">
        <f t="shared" si="102"/>
        <v>0</v>
      </c>
      <c r="V155" s="8">
        <f t="shared" si="115"/>
        <v>0</v>
      </c>
      <c r="W155" s="136" t="str">
        <f t="shared" si="103"/>
        <v/>
      </c>
      <c r="X155" s="136" t="str">
        <f t="shared" si="104"/>
        <v/>
      </c>
      <c r="Y155" s="136" t="str">
        <f t="shared" si="105"/>
        <v/>
      </c>
      <c r="Z155" s="136" t="str">
        <f t="shared" si="106"/>
        <v/>
      </c>
      <c r="AA155" s="152"/>
      <c r="AB155" s="152"/>
      <c r="AC155" s="180"/>
      <c r="AD155" s="2"/>
      <c r="AE155" s="2"/>
      <c r="AF155" s="2"/>
      <c r="AG155" s="2"/>
      <c r="AH155" s="2"/>
      <c r="AI155" s="2"/>
      <c r="AJ155" s="2"/>
      <c r="AK155" s="2"/>
      <c r="AL155" s="2"/>
      <c r="AM155" s="2"/>
      <c r="AN155" s="2"/>
      <c r="AO155" s="1"/>
      <c r="AP155" s="1"/>
      <c r="AQ155" s="1"/>
      <c r="AR155" s="1"/>
      <c r="AS155" s="1"/>
      <c r="AT155" s="1"/>
      <c r="AU155" s="1"/>
      <c r="AV155" s="1"/>
      <c r="AW155" s="1"/>
      <c r="AX155" s="1"/>
      <c r="AY155" s="1"/>
    </row>
    <row r="156" spans="1:51" ht="17.25" thickBot="1" x14ac:dyDescent="0.35">
      <c r="A156" s="147"/>
      <c r="B156" s="97"/>
      <c r="C156" s="103"/>
      <c r="D156" s="103"/>
      <c r="E156" s="103"/>
      <c r="F156" s="150"/>
      <c r="G156" s="150"/>
      <c r="H156" s="100"/>
      <c r="I156" s="7">
        <f t="shared" si="111"/>
        <v>0</v>
      </c>
      <c r="J156" s="100"/>
      <c r="K156" s="7">
        <f t="shared" si="112"/>
        <v>0</v>
      </c>
      <c r="L156" s="100"/>
      <c r="M156" s="7">
        <f t="shared" si="113"/>
        <v>0</v>
      </c>
      <c r="N156" s="100"/>
      <c r="O156" s="7">
        <f t="shared" si="114"/>
        <v>0</v>
      </c>
      <c r="P156" s="100"/>
      <c r="Q156" s="7">
        <f t="shared" si="100"/>
        <v>0</v>
      </c>
      <c r="R156" s="100"/>
      <c r="S156" s="7">
        <f t="shared" si="101"/>
        <v>0</v>
      </c>
      <c r="T156" s="100"/>
      <c r="U156" s="7">
        <f t="shared" si="102"/>
        <v>0</v>
      </c>
      <c r="V156" s="8">
        <f t="shared" si="115"/>
        <v>0</v>
      </c>
      <c r="W156" s="136" t="str">
        <f t="shared" si="103"/>
        <v/>
      </c>
      <c r="X156" s="136" t="str">
        <f t="shared" si="104"/>
        <v/>
      </c>
      <c r="Y156" s="136" t="str">
        <f t="shared" si="105"/>
        <v/>
      </c>
      <c r="Z156" s="136" t="str">
        <f t="shared" si="106"/>
        <v/>
      </c>
      <c r="AA156" s="152"/>
      <c r="AB156" s="152"/>
      <c r="AC156" s="180"/>
      <c r="AD156" s="2"/>
      <c r="AE156" s="2"/>
      <c r="AF156" s="2"/>
      <c r="AG156" s="2"/>
      <c r="AH156" s="2"/>
      <c r="AI156" s="2"/>
      <c r="AJ156" s="2"/>
      <c r="AK156" s="2"/>
      <c r="AL156" s="2"/>
      <c r="AM156" s="2"/>
      <c r="AN156" s="2"/>
      <c r="AO156" s="1"/>
      <c r="AP156" s="1"/>
      <c r="AQ156" s="1"/>
      <c r="AR156" s="1"/>
      <c r="AS156" s="1"/>
      <c r="AT156" s="1"/>
      <c r="AU156" s="1"/>
      <c r="AV156" s="1"/>
      <c r="AW156" s="1"/>
      <c r="AX156" s="1"/>
      <c r="AY156" s="1"/>
    </row>
    <row r="157" spans="1:51" ht="17.25" thickBot="1" x14ac:dyDescent="0.35">
      <c r="A157" s="147"/>
      <c r="B157" s="97">
        <v>43727</v>
      </c>
      <c r="C157" s="103">
        <v>21.5</v>
      </c>
      <c r="D157" s="103"/>
      <c r="E157" s="103"/>
      <c r="F157" s="150"/>
      <c r="G157" s="150"/>
      <c r="H157" s="100">
        <v>162</v>
      </c>
      <c r="I157" s="7">
        <f t="shared" si="111"/>
        <v>810</v>
      </c>
      <c r="J157" s="100"/>
      <c r="K157" s="7">
        <f t="shared" si="112"/>
        <v>0</v>
      </c>
      <c r="L157" s="100"/>
      <c r="M157" s="7">
        <f t="shared" si="113"/>
        <v>0</v>
      </c>
      <c r="N157" s="100"/>
      <c r="O157" s="7">
        <f t="shared" si="114"/>
        <v>0</v>
      </c>
      <c r="P157" s="100"/>
      <c r="Q157" s="7">
        <f t="shared" si="100"/>
        <v>0</v>
      </c>
      <c r="R157" s="100"/>
      <c r="S157" s="7">
        <f t="shared" si="101"/>
        <v>0</v>
      </c>
      <c r="T157" s="100"/>
      <c r="U157" s="7">
        <f t="shared" si="102"/>
        <v>0</v>
      </c>
      <c r="V157" s="8">
        <f t="shared" si="115"/>
        <v>0.703125</v>
      </c>
      <c r="W157" s="136">
        <f t="shared" si="103"/>
        <v>37.674418604651166</v>
      </c>
      <c r="X157" s="136">
        <f t="shared" si="104"/>
        <v>37.674418604651166</v>
      </c>
      <c r="Y157" s="136" t="str">
        <f t="shared" si="105"/>
        <v/>
      </c>
      <c r="Z157" s="136" t="str">
        <f t="shared" si="106"/>
        <v/>
      </c>
      <c r="AA157" s="152"/>
      <c r="AB157" s="152"/>
      <c r="AC157" s="180"/>
      <c r="AD157" s="2"/>
      <c r="AE157" s="2"/>
      <c r="AF157" s="2"/>
      <c r="AG157" s="2"/>
      <c r="AH157" s="2"/>
      <c r="AI157" s="2"/>
      <c r="AJ157" s="2"/>
      <c r="AK157" s="2"/>
      <c r="AL157" s="2"/>
      <c r="AM157" s="2"/>
      <c r="AN157" s="2"/>
      <c r="AO157" s="1"/>
      <c r="AP157" s="1"/>
      <c r="AQ157" s="1"/>
      <c r="AR157" s="1"/>
      <c r="AS157" s="1"/>
      <c r="AT157" s="1"/>
      <c r="AU157" s="1"/>
      <c r="AV157" s="1"/>
      <c r="AW157" s="1"/>
      <c r="AX157" s="1"/>
      <c r="AY157" s="1"/>
    </row>
    <row r="158" spans="1:51" ht="17.25" thickBot="1" x14ac:dyDescent="0.35">
      <c r="A158" s="147"/>
      <c r="B158" s="97">
        <v>43728</v>
      </c>
      <c r="C158" s="103">
        <v>4</v>
      </c>
      <c r="D158" s="103"/>
      <c r="E158" s="103"/>
      <c r="F158" s="150"/>
      <c r="G158" s="150"/>
      <c r="H158" s="100">
        <v>33</v>
      </c>
      <c r="I158" s="7">
        <f t="shared" si="111"/>
        <v>165</v>
      </c>
      <c r="J158" s="100"/>
      <c r="K158" s="7">
        <f t="shared" si="112"/>
        <v>0</v>
      </c>
      <c r="L158" s="100"/>
      <c r="M158" s="7">
        <f t="shared" si="113"/>
        <v>0</v>
      </c>
      <c r="N158" s="100"/>
      <c r="O158" s="7">
        <f t="shared" si="114"/>
        <v>0</v>
      </c>
      <c r="P158" s="100"/>
      <c r="Q158" s="7">
        <f t="shared" si="100"/>
        <v>0</v>
      </c>
      <c r="R158" s="100"/>
      <c r="S158" s="7">
        <f t="shared" si="101"/>
        <v>0</v>
      </c>
      <c r="T158" s="100"/>
      <c r="U158" s="7">
        <f t="shared" si="102"/>
        <v>0</v>
      </c>
      <c r="V158" s="8">
        <f t="shared" si="115"/>
        <v>0.14322916666666666</v>
      </c>
      <c r="W158" s="136">
        <f t="shared" si="103"/>
        <v>41.25</v>
      </c>
      <c r="X158" s="136">
        <f t="shared" si="104"/>
        <v>41.25</v>
      </c>
      <c r="Y158" s="136" t="str">
        <f t="shared" si="105"/>
        <v/>
      </c>
      <c r="Z158" s="136" t="str">
        <f t="shared" si="106"/>
        <v/>
      </c>
      <c r="AA158" s="152"/>
      <c r="AB158" s="152"/>
      <c r="AC158" s="180"/>
      <c r="AD158" s="2"/>
      <c r="AE158" s="2"/>
      <c r="AF158" s="2"/>
      <c r="AG158" s="2"/>
      <c r="AH158" s="2"/>
      <c r="AI158" s="2"/>
      <c r="AJ158" s="2"/>
      <c r="AK158" s="2"/>
      <c r="AL158" s="2"/>
      <c r="AM158" s="2"/>
      <c r="AN158" s="2"/>
      <c r="AO158" s="1"/>
      <c r="AP158" s="1"/>
      <c r="AQ158" s="1"/>
      <c r="AR158" s="1"/>
      <c r="AS158" s="1"/>
      <c r="AT158" s="1"/>
      <c r="AU158" s="1"/>
      <c r="AV158" s="1"/>
      <c r="AW158" s="1"/>
      <c r="AX158" s="1"/>
      <c r="AY158" s="1"/>
    </row>
    <row r="159" spans="1:51" ht="17.25" thickBot="1" x14ac:dyDescent="0.35">
      <c r="A159" s="147"/>
      <c r="B159" s="98"/>
      <c r="C159" s="104"/>
      <c r="D159" s="104"/>
      <c r="E159" s="104"/>
      <c r="F159" s="151"/>
      <c r="G159" s="151"/>
      <c r="H159" s="101"/>
      <c r="I159" s="7">
        <f t="shared" si="111"/>
        <v>0</v>
      </c>
      <c r="J159" s="101"/>
      <c r="K159" s="7">
        <f t="shared" si="112"/>
        <v>0</v>
      </c>
      <c r="L159" s="101"/>
      <c r="M159" s="7">
        <f t="shared" si="113"/>
        <v>0</v>
      </c>
      <c r="N159" s="101"/>
      <c r="O159" s="7">
        <f t="shared" si="114"/>
        <v>0</v>
      </c>
      <c r="P159" s="101"/>
      <c r="Q159" s="7">
        <f t="shared" si="100"/>
        <v>0</v>
      </c>
      <c r="R159" s="101"/>
      <c r="S159" s="7">
        <f t="shared" si="101"/>
        <v>0</v>
      </c>
      <c r="T159" s="101"/>
      <c r="U159" s="7">
        <f t="shared" si="102"/>
        <v>0</v>
      </c>
      <c r="V159" s="8">
        <f t="shared" si="115"/>
        <v>0</v>
      </c>
      <c r="W159" s="137" t="str">
        <f t="shared" si="103"/>
        <v/>
      </c>
      <c r="X159" s="137" t="str">
        <f t="shared" si="104"/>
        <v/>
      </c>
      <c r="Y159" s="137" t="str">
        <f t="shared" si="105"/>
        <v/>
      </c>
      <c r="Z159" s="137" t="str">
        <f t="shared" si="106"/>
        <v/>
      </c>
      <c r="AA159" s="152"/>
      <c r="AB159" s="152"/>
      <c r="AC159" s="181"/>
      <c r="AD159" s="2"/>
      <c r="AE159" s="2"/>
      <c r="AF159" s="2"/>
      <c r="AG159" s="2"/>
      <c r="AH159" s="2"/>
      <c r="AI159" s="2"/>
      <c r="AJ159" s="2"/>
      <c r="AK159" s="2"/>
      <c r="AL159" s="2"/>
      <c r="AM159" s="2"/>
      <c r="AN159" s="2"/>
      <c r="AO159" s="1"/>
      <c r="AP159" s="1"/>
      <c r="AQ159" s="1"/>
      <c r="AR159" s="1"/>
      <c r="AS159" s="1"/>
      <c r="AT159" s="1"/>
      <c r="AU159" s="1"/>
      <c r="AV159" s="1"/>
      <c r="AW159" s="1"/>
      <c r="AX159" s="1"/>
      <c r="AY159" s="1"/>
    </row>
    <row r="160" spans="1:51" ht="17.25" thickBot="1" x14ac:dyDescent="0.35">
      <c r="A160" s="146">
        <v>39</v>
      </c>
      <c r="B160" s="105"/>
      <c r="C160" s="102"/>
      <c r="D160" s="102"/>
      <c r="E160" s="102"/>
      <c r="F160" s="149">
        <f t="shared" ref="F160" si="127">SUM(M160:M165,O160:O165,Q160:Q165,S160:S165,I160:I165,K160:K165)</f>
        <v>570</v>
      </c>
      <c r="G160" s="149">
        <f t="shared" ref="G160" si="128">SUM(M160:M165,O160:O165,Q160:Q165,S160:S165,U160:U165,K160:K165,I160:I165)</f>
        <v>570</v>
      </c>
      <c r="H160" s="99"/>
      <c r="I160" s="40">
        <f t="shared" si="111"/>
        <v>0</v>
      </c>
      <c r="J160" s="99"/>
      <c r="K160" s="40">
        <f t="shared" si="112"/>
        <v>0</v>
      </c>
      <c r="L160" s="99"/>
      <c r="M160" s="40">
        <f t="shared" si="113"/>
        <v>0</v>
      </c>
      <c r="N160" s="99"/>
      <c r="O160" s="40">
        <f t="shared" si="114"/>
        <v>0</v>
      </c>
      <c r="P160" s="99"/>
      <c r="Q160" s="40">
        <f t="shared" si="100"/>
        <v>0</v>
      </c>
      <c r="R160" s="99"/>
      <c r="S160" s="40">
        <f t="shared" si="101"/>
        <v>0</v>
      </c>
      <c r="T160" s="99"/>
      <c r="U160" s="40">
        <f t="shared" si="102"/>
        <v>0</v>
      </c>
      <c r="V160" s="34">
        <f t="shared" si="115"/>
        <v>0</v>
      </c>
      <c r="W160" s="135" t="str">
        <f t="shared" si="103"/>
        <v/>
      </c>
      <c r="X160" s="135" t="str">
        <f t="shared" si="104"/>
        <v/>
      </c>
      <c r="Y160" s="135" t="str">
        <f t="shared" si="105"/>
        <v/>
      </c>
      <c r="Z160" s="135" t="str">
        <f t="shared" si="106"/>
        <v/>
      </c>
      <c r="AA160" s="152">
        <f>AVERAGE(W160:W165)</f>
        <v>40.714285714285715</v>
      </c>
      <c r="AB160" s="152">
        <f t="shared" ref="AB160" si="129">SUM(V160:V165)</f>
        <v>0.49479166666666669</v>
      </c>
      <c r="AC160" s="179"/>
      <c r="AD160" s="2"/>
      <c r="AE160" s="2"/>
      <c r="AF160" s="2"/>
      <c r="AG160" s="2"/>
      <c r="AH160" s="2"/>
      <c r="AI160" s="2"/>
      <c r="AJ160" s="2"/>
      <c r="AK160" s="2"/>
      <c r="AL160" s="2"/>
      <c r="AM160" s="2"/>
      <c r="AN160" s="2"/>
      <c r="AO160" s="1"/>
      <c r="AP160" s="1"/>
      <c r="AQ160" s="1"/>
      <c r="AR160" s="1"/>
      <c r="AS160" s="1"/>
      <c r="AT160" s="1"/>
      <c r="AU160" s="1"/>
      <c r="AV160" s="1"/>
      <c r="AW160" s="1"/>
      <c r="AX160" s="1"/>
      <c r="AY160" s="1"/>
    </row>
    <row r="161" spans="1:51" ht="17.25" thickBot="1" x14ac:dyDescent="0.35">
      <c r="A161" s="147"/>
      <c r="B161" s="97"/>
      <c r="C161" s="103"/>
      <c r="D161" s="103"/>
      <c r="E161" s="103"/>
      <c r="F161" s="150"/>
      <c r="G161" s="150"/>
      <c r="H161" s="100"/>
      <c r="I161" s="7">
        <f t="shared" si="111"/>
        <v>0</v>
      </c>
      <c r="J161" s="100"/>
      <c r="K161" s="7">
        <f t="shared" si="112"/>
        <v>0</v>
      </c>
      <c r="L161" s="100"/>
      <c r="M161" s="7">
        <f t="shared" si="113"/>
        <v>0</v>
      </c>
      <c r="N161" s="100"/>
      <c r="O161" s="7">
        <f t="shared" si="114"/>
        <v>0</v>
      </c>
      <c r="P161" s="100"/>
      <c r="Q161" s="7">
        <f t="shared" si="100"/>
        <v>0</v>
      </c>
      <c r="R161" s="100"/>
      <c r="S161" s="7">
        <f t="shared" si="101"/>
        <v>0</v>
      </c>
      <c r="T161" s="100"/>
      <c r="U161" s="7">
        <f t="shared" si="102"/>
        <v>0</v>
      </c>
      <c r="V161" s="8">
        <f t="shared" si="115"/>
        <v>0</v>
      </c>
      <c r="W161" s="136" t="str">
        <f t="shared" si="103"/>
        <v/>
      </c>
      <c r="X161" s="136" t="str">
        <f t="shared" si="104"/>
        <v/>
      </c>
      <c r="Y161" s="136" t="str">
        <f t="shared" si="105"/>
        <v/>
      </c>
      <c r="Z161" s="136" t="str">
        <f t="shared" si="106"/>
        <v/>
      </c>
      <c r="AA161" s="152"/>
      <c r="AB161" s="152"/>
      <c r="AC161" s="180"/>
      <c r="AD161" s="2"/>
      <c r="AE161" s="2"/>
      <c r="AF161" s="2"/>
      <c r="AG161" s="2"/>
      <c r="AH161" s="2"/>
      <c r="AI161" s="2"/>
      <c r="AJ161" s="2"/>
      <c r="AK161" s="2"/>
      <c r="AL161" s="2"/>
      <c r="AM161" s="2"/>
      <c r="AN161" s="2"/>
      <c r="AO161" s="1"/>
      <c r="AP161" s="1"/>
      <c r="AQ161" s="1"/>
      <c r="AR161" s="1"/>
      <c r="AS161" s="1"/>
      <c r="AT161" s="1"/>
      <c r="AU161" s="1"/>
      <c r="AV161" s="1"/>
      <c r="AW161" s="1"/>
      <c r="AX161" s="1"/>
      <c r="AY161" s="1"/>
    </row>
    <row r="162" spans="1:51" ht="17.25" thickBot="1" x14ac:dyDescent="0.35">
      <c r="A162" s="147"/>
      <c r="B162" s="97"/>
      <c r="C162" s="103"/>
      <c r="D162" s="103"/>
      <c r="E162" s="103"/>
      <c r="F162" s="150"/>
      <c r="G162" s="150"/>
      <c r="H162" s="100"/>
      <c r="I162" s="7">
        <f t="shared" si="111"/>
        <v>0</v>
      </c>
      <c r="J162" s="100"/>
      <c r="K162" s="7">
        <f t="shared" si="112"/>
        <v>0</v>
      </c>
      <c r="L162" s="100"/>
      <c r="M162" s="7">
        <f t="shared" si="113"/>
        <v>0</v>
      </c>
      <c r="N162" s="100"/>
      <c r="O162" s="7">
        <f t="shared" si="114"/>
        <v>0</v>
      </c>
      <c r="P162" s="100"/>
      <c r="Q162" s="7">
        <f t="shared" si="100"/>
        <v>0</v>
      </c>
      <c r="R162" s="100"/>
      <c r="S162" s="7">
        <f t="shared" si="101"/>
        <v>0</v>
      </c>
      <c r="T162" s="100"/>
      <c r="U162" s="7">
        <f t="shared" si="102"/>
        <v>0</v>
      </c>
      <c r="V162" s="8">
        <f t="shared" si="115"/>
        <v>0</v>
      </c>
      <c r="W162" s="136" t="str">
        <f t="shared" si="103"/>
        <v/>
      </c>
      <c r="X162" s="136" t="str">
        <f t="shared" si="104"/>
        <v/>
      </c>
      <c r="Y162" s="136" t="str">
        <f t="shared" si="105"/>
        <v/>
      </c>
      <c r="Z162" s="136" t="str">
        <f t="shared" si="106"/>
        <v/>
      </c>
      <c r="AA162" s="152"/>
      <c r="AB162" s="152"/>
      <c r="AC162" s="180"/>
      <c r="AD162" s="2"/>
      <c r="AE162" s="2"/>
      <c r="AF162" s="2"/>
      <c r="AG162" s="2"/>
      <c r="AH162" s="2"/>
      <c r="AI162" s="2"/>
      <c r="AJ162" s="2"/>
      <c r="AK162" s="2"/>
      <c r="AL162" s="2"/>
      <c r="AM162" s="2"/>
      <c r="AN162" s="2"/>
      <c r="AO162" s="1"/>
      <c r="AP162" s="1"/>
      <c r="AQ162" s="1"/>
      <c r="AR162" s="1"/>
      <c r="AS162" s="1"/>
      <c r="AT162" s="1"/>
      <c r="AU162" s="1"/>
      <c r="AV162" s="1"/>
      <c r="AW162" s="1"/>
      <c r="AX162" s="1"/>
      <c r="AY162" s="1"/>
    </row>
    <row r="163" spans="1:51" ht="17.25" thickBot="1" x14ac:dyDescent="0.35">
      <c r="A163" s="147"/>
      <c r="B163" s="97">
        <v>43734</v>
      </c>
      <c r="C163" s="103">
        <v>14</v>
      </c>
      <c r="D163" s="103"/>
      <c r="E163" s="103"/>
      <c r="F163" s="150"/>
      <c r="G163" s="150"/>
      <c r="H163" s="100">
        <v>114</v>
      </c>
      <c r="I163" s="7">
        <f t="shared" si="111"/>
        <v>570</v>
      </c>
      <c r="J163" s="100"/>
      <c r="K163" s="7">
        <f t="shared" si="112"/>
        <v>0</v>
      </c>
      <c r="L163" s="100"/>
      <c r="M163" s="7">
        <f t="shared" si="113"/>
        <v>0</v>
      </c>
      <c r="N163" s="100"/>
      <c r="O163" s="7">
        <f t="shared" si="114"/>
        <v>0</v>
      </c>
      <c r="P163" s="100"/>
      <c r="Q163" s="7">
        <f t="shared" si="100"/>
        <v>0</v>
      </c>
      <c r="R163" s="100"/>
      <c r="S163" s="7">
        <f t="shared" si="101"/>
        <v>0</v>
      </c>
      <c r="T163" s="100"/>
      <c r="U163" s="7">
        <f t="shared" si="102"/>
        <v>0</v>
      </c>
      <c r="V163" s="8">
        <f t="shared" si="115"/>
        <v>0.49479166666666669</v>
      </c>
      <c r="W163" s="136">
        <f t="shared" si="103"/>
        <v>40.714285714285715</v>
      </c>
      <c r="X163" s="136">
        <f t="shared" si="104"/>
        <v>40.714285714285715</v>
      </c>
      <c r="Y163" s="136" t="str">
        <f t="shared" si="105"/>
        <v/>
      </c>
      <c r="Z163" s="136" t="str">
        <f t="shared" si="106"/>
        <v/>
      </c>
      <c r="AA163" s="152"/>
      <c r="AB163" s="152"/>
      <c r="AC163" s="180"/>
      <c r="AD163" s="2"/>
      <c r="AE163" s="2"/>
      <c r="AF163" s="2"/>
      <c r="AG163" s="2"/>
      <c r="AH163" s="2"/>
      <c r="AI163" s="2"/>
      <c r="AJ163" s="2"/>
      <c r="AK163" s="2"/>
      <c r="AL163" s="2"/>
      <c r="AM163" s="2"/>
      <c r="AN163" s="2"/>
      <c r="AO163" s="1"/>
      <c r="AP163" s="1"/>
      <c r="AQ163" s="1"/>
      <c r="AR163" s="1"/>
      <c r="AS163" s="1"/>
      <c r="AT163" s="1"/>
      <c r="AU163" s="1"/>
      <c r="AV163" s="1"/>
      <c r="AW163" s="1"/>
      <c r="AX163" s="1"/>
      <c r="AY163" s="1"/>
    </row>
    <row r="164" spans="1:51" ht="17.25" thickBot="1" x14ac:dyDescent="0.35">
      <c r="A164" s="147"/>
      <c r="B164" s="97"/>
      <c r="C164" s="103"/>
      <c r="D164" s="103"/>
      <c r="E164" s="103"/>
      <c r="F164" s="150"/>
      <c r="G164" s="150"/>
      <c r="H164" s="100"/>
      <c r="I164" s="7">
        <f t="shared" si="111"/>
        <v>0</v>
      </c>
      <c r="J164" s="100"/>
      <c r="K164" s="7">
        <f t="shared" si="112"/>
        <v>0</v>
      </c>
      <c r="L164" s="100"/>
      <c r="M164" s="7">
        <f t="shared" si="113"/>
        <v>0</v>
      </c>
      <c r="N164" s="100"/>
      <c r="O164" s="7">
        <f t="shared" si="114"/>
        <v>0</v>
      </c>
      <c r="P164" s="100"/>
      <c r="Q164" s="7">
        <f t="shared" si="100"/>
        <v>0</v>
      </c>
      <c r="R164" s="100"/>
      <c r="S164" s="7">
        <f t="shared" si="101"/>
        <v>0</v>
      </c>
      <c r="T164" s="100"/>
      <c r="U164" s="7">
        <f t="shared" si="102"/>
        <v>0</v>
      </c>
      <c r="V164" s="8">
        <f t="shared" si="115"/>
        <v>0</v>
      </c>
      <c r="W164" s="136" t="str">
        <f t="shared" si="103"/>
        <v/>
      </c>
      <c r="X164" s="136" t="str">
        <f t="shared" si="104"/>
        <v/>
      </c>
      <c r="Y164" s="136" t="str">
        <f t="shared" si="105"/>
        <v/>
      </c>
      <c r="Z164" s="136" t="str">
        <f t="shared" si="106"/>
        <v/>
      </c>
      <c r="AA164" s="152"/>
      <c r="AB164" s="152"/>
      <c r="AC164" s="180"/>
      <c r="AD164" s="2"/>
      <c r="AE164" s="2"/>
      <c r="AF164" s="2"/>
      <c r="AG164" s="2"/>
      <c r="AH164" s="2"/>
      <c r="AI164" s="2"/>
      <c r="AJ164" s="2"/>
      <c r="AK164" s="2"/>
      <c r="AL164" s="2"/>
      <c r="AM164" s="2"/>
      <c r="AN164" s="2"/>
      <c r="AO164" s="1"/>
      <c r="AP164" s="1"/>
      <c r="AQ164" s="1"/>
      <c r="AR164" s="1"/>
      <c r="AS164" s="1"/>
      <c r="AT164" s="1"/>
      <c r="AU164" s="1"/>
      <c r="AV164" s="1"/>
      <c r="AW164" s="1"/>
      <c r="AX164" s="1"/>
      <c r="AY164" s="1"/>
    </row>
    <row r="165" spans="1:51" ht="17.25" thickBot="1" x14ac:dyDescent="0.35">
      <c r="A165" s="148"/>
      <c r="B165" s="98"/>
      <c r="C165" s="104"/>
      <c r="D165" s="104"/>
      <c r="E165" s="104"/>
      <c r="F165" s="151"/>
      <c r="G165" s="151"/>
      <c r="H165" s="101"/>
      <c r="I165" s="39">
        <f t="shared" si="111"/>
        <v>0</v>
      </c>
      <c r="J165" s="101"/>
      <c r="K165" s="39">
        <f t="shared" si="112"/>
        <v>0</v>
      </c>
      <c r="L165" s="101"/>
      <c r="M165" s="39">
        <f t="shared" si="113"/>
        <v>0</v>
      </c>
      <c r="N165" s="101"/>
      <c r="O165" s="39">
        <f t="shared" si="114"/>
        <v>0</v>
      </c>
      <c r="P165" s="101"/>
      <c r="Q165" s="39">
        <f t="shared" si="100"/>
        <v>0</v>
      </c>
      <c r="R165" s="101"/>
      <c r="S165" s="39">
        <f t="shared" si="101"/>
        <v>0</v>
      </c>
      <c r="T165" s="101"/>
      <c r="U165" s="39">
        <f t="shared" si="102"/>
        <v>0</v>
      </c>
      <c r="V165" s="36">
        <f t="shared" si="115"/>
        <v>0</v>
      </c>
      <c r="W165" s="137" t="str">
        <f t="shared" si="103"/>
        <v/>
      </c>
      <c r="X165" s="137" t="str">
        <f t="shared" si="104"/>
        <v/>
      </c>
      <c r="Y165" s="137" t="str">
        <f t="shared" si="105"/>
        <v/>
      </c>
      <c r="Z165" s="137" t="str">
        <f t="shared" si="106"/>
        <v/>
      </c>
      <c r="AA165" s="152"/>
      <c r="AB165" s="152"/>
      <c r="AC165" s="181"/>
      <c r="AD165" s="2"/>
      <c r="AE165" s="2"/>
      <c r="AF165" s="2"/>
      <c r="AG165" s="2"/>
      <c r="AH165" s="2"/>
      <c r="AI165" s="2"/>
      <c r="AJ165" s="2"/>
      <c r="AK165" s="2"/>
      <c r="AL165" s="2"/>
      <c r="AM165" s="2"/>
      <c r="AN165" s="2"/>
      <c r="AO165" s="1"/>
      <c r="AP165" s="1"/>
      <c r="AQ165" s="1"/>
      <c r="AR165" s="1"/>
      <c r="AS165" s="1"/>
      <c r="AT165" s="1"/>
      <c r="AU165" s="1"/>
      <c r="AV165" s="1"/>
      <c r="AW165" s="1"/>
      <c r="AX165" s="1"/>
      <c r="AY165" s="1"/>
    </row>
    <row r="166" spans="1:51" ht="17.25" thickBot="1" x14ac:dyDescent="0.35">
      <c r="A166" s="147">
        <v>40</v>
      </c>
      <c r="B166" s="105"/>
      <c r="C166" s="102"/>
      <c r="D166" s="102"/>
      <c r="E166" s="102"/>
      <c r="F166" s="149">
        <f t="shared" ref="F166" si="130">SUM(M166:M171,O166:O171,Q166:Q171,S166:S171,I166:I171,K166:K171)</f>
        <v>1090</v>
      </c>
      <c r="G166" s="149">
        <f t="shared" ref="G166" si="131">SUM(M166:M171,O166:O171,Q166:Q171,S166:S171,U166:U171,K166:K171,I166:I171)</f>
        <v>1090</v>
      </c>
      <c r="H166" s="99"/>
      <c r="I166" s="7">
        <f t="shared" si="111"/>
        <v>0</v>
      </c>
      <c r="J166" s="99"/>
      <c r="K166" s="7">
        <f t="shared" si="112"/>
        <v>0</v>
      </c>
      <c r="L166" s="99"/>
      <c r="M166" s="7">
        <f t="shared" si="113"/>
        <v>0</v>
      </c>
      <c r="N166" s="99"/>
      <c r="O166" s="7">
        <f t="shared" si="114"/>
        <v>0</v>
      </c>
      <c r="P166" s="99"/>
      <c r="Q166" s="7">
        <f t="shared" si="100"/>
        <v>0</v>
      </c>
      <c r="R166" s="99"/>
      <c r="S166" s="7">
        <f t="shared" si="101"/>
        <v>0</v>
      </c>
      <c r="T166" s="99"/>
      <c r="U166" s="7">
        <f t="shared" si="102"/>
        <v>0</v>
      </c>
      <c r="V166" s="8">
        <f t="shared" si="115"/>
        <v>0</v>
      </c>
      <c r="W166" s="135" t="str">
        <f t="shared" si="103"/>
        <v/>
      </c>
      <c r="X166" s="135" t="str">
        <f t="shared" si="104"/>
        <v/>
      </c>
      <c r="Y166" s="135" t="str">
        <f t="shared" si="105"/>
        <v/>
      </c>
      <c r="Z166" s="135" t="str">
        <f t="shared" si="106"/>
        <v/>
      </c>
      <c r="AA166" s="152">
        <f t="shared" ref="AA166" si="132">AVERAGE(W166:W171)</f>
        <v>42.745098039215684</v>
      </c>
      <c r="AB166" s="152">
        <f t="shared" ref="AB166" si="133">SUM(V166:V171)</f>
        <v>0.94618055555555558</v>
      </c>
      <c r="AC166" s="179"/>
      <c r="AD166" s="2"/>
      <c r="AE166" s="2"/>
      <c r="AF166" s="2"/>
      <c r="AG166" s="2"/>
      <c r="AH166" s="2"/>
      <c r="AI166" s="2"/>
      <c r="AJ166" s="2"/>
      <c r="AK166" s="2"/>
      <c r="AL166" s="2"/>
      <c r="AM166" s="2"/>
      <c r="AN166" s="2"/>
      <c r="AO166" s="1"/>
      <c r="AP166" s="1"/>
      <c r="AQ166" s="1"/>
      <c r="AR166" s="1"/>
      <c r="AS166" s="1"/>
      <c r="AT166" s="1"/>
      <c r="AU166" s="1"/>
      <c r="AV166" s="1"/>
      <c r="AW166" s="1"/>
      <c r="AX166" s="1"/>
      <c r="AY166" s="1"/>
    </row>
    <row r="167" spans="1:51" ht="17.25" thickBot="1" x14ac:dyDescent="0.35">
      <c r="A167" s="147"/>
      <c r="B167" s="97"/>
      <c r="C167" s="103"/>
      <c r="D167" s="103"/>
      <c r="E167" s="103"/>
      <c r="F167" s="150"/>
      <c r="G167" s="150"/>
      <c r="H167" s="100"/>
      <c r="I167" s="7">
        <f t="shared" si="111"/>
        <v>0</v>
      </c>
      <c r="J167" s="100"/>
      <c r="K167" s="7">
        <f t="shared" si="112"/>
        <v>0</v>
      </c>
      <c r="L167" s="100"/>
      <c r="M167" s="7">
        <f t="shared" si="113"/>
        <v>0</v>
      </c>
      <c r="N167" s="100"/>
      <c r="O167" s="7">
        <f t="shared" si="114"/>
        <v>0</v>
      </c>
      <c r="P167" s="100"/>
      <c r="Q167" s="7">
        <f t="shared" si="100"/>
        <v>0</v>
      </c>
      <c r="R167" s="100"/>
      <c r="S167" s="7">
        <f t="shared" si="101"/>
        <v>0</v>
      </c>
      <c r="T167" s="100"/>
      <c r="U167" s="7">
        <f t="shared" si="102"/>
        <v>0</v>
      </c>
      <c r="V167" s="8">
        <f t="shared" si="115"/>
        <v>0</v>
      </c>
      <c r="W167" s="136" t="str">
        <f t="shared" si="103"/>
        <v/>
      </c>
      <c r="X167" s="136" t="str">
        <f t="shared" si="104"/>
        <v/>
      </c>
      <c r="Y167" s="136" t="str">
        <f t="shared" si="105"/>
        <v/>
      </c>
      <c r="Z167" s="136" t="str">
        <f t="shared" si="106"/>
        <v/>
      </c>
      <c r="AA167" s="152"/>
      <c r="AB167" s="152"/>
      <c r="AC167" s="180"/>
      <c r="AD167" s="2"/>
      <c r="AE167" s="2"/>
      <c r="AF167" s="2"/>
      <c r="AG167" s="2"/>
      <c r="AH167" s="2"/>
      <c r="AI167" s="2"/>
      <c r="AJ167" s="2"/>
      <c r="AK167" s="2"/>
      <c r="AL167" s="2"/>
      <c r="AM167" s="2"/>
      <c r="AN167" s="2"/>
      <c r="AO167" s="1"/>
      <c r="AP167" s="1"/>
      <c r="AQ167" s="1"/>
      <c r="AR167" s="1"/>
      <c r="AS167" s="1"/>
      <c r="AT167" s="1"/>
      <c r="AU167" s="1"/>
      <c r="AV167" s="1"/>
      <c r="AW167" s="1"/>
      <c r="AX167" s="1"/>
      <c r="AY167" s="1"/>
    </row>
    <row r="168" spans="1:51" ht="17.25" thickBot="1" x14ac:dyDescent="0.35">
      <c r="A168" s="147"/>
      <c r="B168" s="97"/>
      <c r="C168" s="103"/>
      <c r="D168" s="103"/>
      <c r="E168" s="103"/>
      <c r="F168" s="150"/>
      <c r="G168" s="150"/>
      <c r="H168" s="100"/>
      <c r="I168" s="7">
        <f t="shared" si="111"/>
        <v>0</v>
      </c>
      <c r="J168" s="100"/>
      <c r="K168" s="7">
        <f t="shared" si="112"/>
        <v>0</v>
      </c>
      <c r="L168" s="100"/>
      <c r="M168" s="7">
        <f t="shared" si="113"/>
        <v>0</v>
      </c>
      <c r="N168" s="100"/>
      <c r="O168" s="7">
        <f t="shared" si="114"/>
        <v>0</v>
      </c>
      <c r="P168" s="100"/>
      <c r="Q168" s="7">
        <f t="shared" si="100"/>
        <v>0</v>
      </c>
      <c r="R168" s="100"/>
      <c r="S168" s="7">
        <f t="shared" si="101"/>
        <v>0</v>
      </c>
      <c r="T168" s="100"/>
      <c r="U168" s="7">
        <f t="shared" si="102"/>
        <v>0</v>
      </c>
      <c r="V168" s="8">
        <f t="shared" si="115"/>
        <v>0</v>
      </c>
      <c r="W168" s="136" t="str">
        <f t="shared" si="103"/>
        <v/>
      </c>
      <c r="X168" s="136" t="str">
        <f t="shared" si="104"/>
        <v/>
      </c>
      <c r="Y168" s="136" t="str">
        <f t="shared" si="105"/>
        <v/>
      </c>
      <c r="Z168" s="136" t="str">
        <f t="shared" si="106"/>
        <v/>
      </c>
      <c r="AA168" s="152"/>
      <c r="AB168" s="152"/>
      <c r="AC168" s="180"/>
      <c r="AD168" s="2"/>
      <c r="AE168" s="2"/>
      <c r="AF168" s="2"/>
      <c r="AG168" s="2"/>
      <c r="AH168" s="2"/>
      <c r="AI168" s="2"/>
      <c r="AJ168" s="2"/>
      <c r="AK168" s="2"/>
      <c r="AL168" s="2"/>
      <c r="AM168" s="2"/>
      <c r="AN168" s="2"/>
      <c r="AO168" s="1"/>
      <c r="AP168" s="1"/>
      <c r="AQ168" s="1"/>
      <c r="AR168" s="1"/>
      <c r="AS168" s="1"/>
      <c r="AT168" s="1"/>
      <c r="AU168" s="1"/>
      <c r="AV168" s="1"/>
      <c r="AW168" s="1"/>
      <c r="AX168" s="1"/>
      <c r="AY168" s="1"/>
    </row>
    <row r="169" spans="1:51" ht="17.25" thickBot="1" x14ac:dyDescent="0.35">
      <c r="A169" s="147"/>
      <c r="B169" s="97">
        <v>43741</v>
      </c>
      <c r="C169" s="103">
        <v>25.5</v>
      </c>
      <c r="D169" s="103"/>
      <c r="E169" s="103"/>
      <c r="F169" s="150"/>
      <c r="G169" s="150"/>
      <c r="H169" s="100">
        <v>218</v>
      </c>
      <c r="I169" s="7">
        <f t="shared" si="111"/>
        <v>1090</v>
      </c>
      <c r="J169" s="100"/>
      <c r="K169" s="7">
        <f t="shared" si="112"/>
        <v>0</v>
      </c>
      <c r="L169" s="100"/>
      <c r="M169" s="7">
        <f t="shared" si="113"/>
        <v>0</v>
      </c>
      <c r="N169" s="100"/>
      <c r="O169" s="7">
        <f t="shared" si="114"/>
        <v>0</v>
      </c>
      <c r="P169" s="100"/>
      <c r="Q169" s="7">
        <f t="shared" si="100"/>
        <v>0</v>
      </c>
      <c r="R169" s="100"/>
      <c r="S169" s="7">
        <f t="shared" si="101"/>
        <v>0</v>
      </c>
      <c r="T169" s="100"/>
      <c r="U169" s="7">
        <f t="shared" si="102"/>
        <v>0</v>
      </c>
      <c r="V169" s="8">
        <f t="shared" si="115"/>
        <v>0.94618055555555558</v>
      </c>
      <c r="W169" s="136">
        <f t="shared" si="103"/>
        <v>42.745098039215684</v>
      </c>
      <c r="X169" s="136">
        <f t="shared" si="104"/>
        <v>42.745098039215684</v>
      </c>
      <c r="Y169" s="136" t="str">
        <f t="shared" si="105"/>
        <v/>
      </c>
      <c r="Z169" s="136" t="str">
        <f t="shared" si="106"/>
        <v/>
      </c>
      <c r="AA169" s="152"/>
      <c r="AB169" s="152"/>
      <c r="AC169" s="180"/>
      <c r="AD169" s="2"/>
      <c r="AE169" s="2"/>
      <c r="AF169" s="2"/>
      <c r="AG169" s="2"/>
      <c r="AH169" s="2"/>
      <c r="AI169" s="2"/>
      <c r="AJ169" s="2"/>
      <c r="AK169" s="2"/>
      <c r="AL169" s="2"/>
      <c r="AM169" s="2"/>
      <c r="AN169" s="2"/>
      <c r="AO169" s="1"/>
      <c r="AP169" s="1"/>
      <c r="AQ169" s="1"/>
      <c r="AR169" s="1"/>
      <c r="AS169" s="1"/>
      <c r="AT169" s="1"/>
      <c r="AU169" s="1"/>
      <c r="AV169" s="1"/>
      <c r="AW169" s="1"/>
      <c r="AX169" s="1"/>
      <c r="AY169" s="1"/>
    </row>
    <row r="170" spans="1:51" ht="17.25" thickBot="1" x14ac:dyDescent="0.35">
      <c r="A170" s="147"/>
      <c r="B170" s="97"/>
      <c r="C170" s="103"/>
      <c r="D170" s="103"/>
      <c r="E170" s="103"/>
      <c r="F170" s="150"/>
      <c r="G170" s="150"/>
      <c r="H170" s="100"/>
      <c r="I170" s="7">
        <f t="shared" si="111"/>
        <v>0</v>
      </c>
      <c r="J170" s="100"/>
      <c r="K170" s="7">
        <f t="shared" si="112"/>
        <v>0</v>
      </c>
      <c r="L170" s="100"/>
      <c r="M170" s="7">
        <f t="shared" si="113"/>
        <v>0</v>
      </c>
      <c r="N170" s="100"/>
      <c r="O170" s="7">
        <f t="shared" si="114"/>
        <v>0</v>
      </c>
      <c r="P170" s="100"/>
      <c r="Q170" s="7">
        <f t="shared" si="100"/>
        <v>0</v>
      </c>
      <c r="R170" s="100"/>
      <c r="S170" s="7">
        <f t="shared" si="101"/>
        <v>0</v>
      </c>
      <c r="T170" s="100"/>
      <c r="U170" s="7">
        <f t="shared" si="102"/>
        <v>0</v>
      </c>
      <c r="V170" s="8">
        <f t="shared" si="115"/>
        <v>0</v>
      </c>
      <c r="W170" s="136" t="str">
        <f t="shared" si="103"/>
        <v/>
      </c>
      <c r="X170" s="136" t="str">
        <f t="shared" si="104"/>
        <v/>
      </c>
      <c r="Y170" s="136" t="str">
        <f t="shared" si="105"/>
        <v/>
      </c>
      <c r="Z170" s="136" t="str">
        <f t="shared" si="106"/>
        <v/>
      </c>
      <c r="AA170" s="152"/>
      <c r="AB170" s="152"/>
      <c r="AC170" s="180"/>
      <c r="AD170" s="2"/>
      <c r="AE170" s="2"/>
      <c r="AF170" s="2"/>
      <c r="AG170" s="2"/>
      <c r="AH170" s="2"/>
      <c r="AI170" s="2"/>
      <c r="AJ170" s="2"/>
      <c r="AK170" s="2"/>
      <c r="AL170" s="2"/>
      <c r="AM170" s="2"/>
      <c r="AN170" s="2"/>
      <c r="AO170" s="1"/>
      <c r="AP170" s="1"/>
      <c r="AQ170" s="1"/>
      <c r="AR170" s="1"/>
      <c r="AS170" s="1"/>
      <c r="AT170" s="1"/>
      <c r="AU170" s="1"/>
      <c r="AV170" s="1"/>
      <c r="AW170" s="1"/>
      <c r="AX170" s="1"/>
      <c r="AY170" s="1"/>
    </row>
    <row r="171" spans="1:51" ht="17.25" thickBot="1" x14ac:dyDescent="0.35">
      <c r="A171" s="147"/>
      <c r="B171" s="98"/>
      <c r="C171" s="104"/>
      <c r="D171" s="104"/>
      <c r="E171" s="104"/>
      <c r="F171" s="151"/>
      <c r="G171" s="151"/>
      <c r="H171" s="101"/>
      <c r="I171" s="7">
        <f t="shared" si="111"/>
        <v>0</v>
      </c>
      <c r="J171" s="101"/>
      <c r="K171" s="7">
        <f t="shared" si="112"/>
        <v>0</v>
      </c>
      <c r="L171" s="101"/>
      <c r="M171" s="7">
        <f t="shared" si="113"/>
        <v>0</v>
      </c>
      <c r="N171" s="101"/>
      <c r="O171" s="7">
        <f t="shared" si="114"/>
        <v>0</v>
      </c>
      <c r="P171" s="101"/>
      <c r="Q171" s="7">
        <f t="shared" si="100"/>
        <v>0</v>
      </c>
      <c r="R171" s="101"/>
      <c r="S171" s="7">
        <f t="shared" si="101"/>
        <v>0</v>
      </c>
      <c r="T171" s="101"/>
      <c r="U171" s="7">
        <f t="shared" si="102"/>
        <v>0</v>
      </c>
      <c r="V171" s="8">
        <f t="shared" si="115"/>
        <v>0</v>
      </c>
      <c r="W171" s="137" t="str">
        <f t="shared" si="103"/>
        <v/>
      </c>
      <c r="X171" s="137" t="str">
        <f t="shared" si="104"/>
        <v/>
      </c>
      <c r="Y171" s="137" t="str">
        <f t="shared" si="105"/>
        <v/>
      </c>
      <c r="Z171" s="137" t="str">
        <f t="shared" si="106"/>
        <v/>
      </c>
      <c r="AA171" s="152"/>
      <c r="AB171" s="152"/>
      <c r="AC171" s="181"/>
      <c r="AD171" s="2"/>
      <c r="AE171" s="2"/>
      <c r="AF171" s="2"/>
      <c r="AG171" s="2"/>
      <c r="AH171" s="2"/>
      <c r="AI171" s="2"/>
      <c r="AJ171" s="2"/>
      <c r="AK171" s="2"/>
      <c r="AL171" s="2"/>
      <c r="AM171" s="2"/>
      <c r="AN171" s="2"/>
      <c r="AO171" s="1"/>
      <c r="AP171" s="1"/>
      <c r="AQ171" s="1"/>
      <c r="AR171" s="1"/>
      <c r="AS171" s="1"/>
      <c r="AT171" s="1"/>
      <c r="AU171" s="1"/>
      <c r="AV171" s="1"/>
      <c r="AW171" s="1"/>
      <c r="AX171" s="1"/>
      <c r="AY171" s="1"/>
    </row>
    <row r="172" spans="1:51" ht="17.25" thickBot="1" x14ac:dyDescent="0.35">
      <c r="A172" s="146">
        <v>41</v>
      </c>
      <c r="B172" s="105"/>
      <c r="C172" s="102"/>
      <c r="D172" s="102"/>
      <c r="E172" s="102"/>
      <c r="F172" s="149">
        <f t="shared" ref="F172" si="134">SUM(M172:M177,O172:O177,Q172:Q177,S172:S177,I172:I177,K172:K177)</f>
        <v>0</v>
      </c>
      <c r="G172" s="149">
        <f t="shared" ref="G172" si="135">SUM(M172:M177,O172:O177,Q172:Q177,S172:S177,U172:U177,K172:K177,I172:I177)</f>
        <v>0</v>
      </c>
      <c r="H172" s="99"/>
      <c r="I172" s="40">
        <f t="shared" si="111"/>
        <v>0</v>
      </c>
      <c r="J172" s="99"/>
      <c r="K172" s="40">
        <f t="shared" si="112"/>
        <v>0</v>
      </c>
      <c r="L172" s="99"/>
      <c r="M172" s="40">
        <f t="shared" si="113"/>
        <v>0</v>
      </c>
      <c r="N172" s="99"/>
      <c r="O172" s="40">
        <f t="shared" si="114"/>
        <v>0</v>
      </c>
      <c r="P172" s="99"/>
      <c r="Q172" s="40">
        <f t="shared" si="100"/>
        <v>0</v>
      </c>
      <c r="R172" s="99"/>
      <c r="S172" s="40">
        <f t="shared" si="101"/>
        <v>0</v>
      </c>
      <c r="T172" s="99"/>
      <c r="U172" s="40">
        <f t="shared" si="102"/>
        <v>0</v>
      </c>
      <c r="V172" s="34">
        <f t="shared" si="115"/>
        <v>0</v>
      </c>
      <c r="W172" s="135" t="str">
        <f t="shared" si="103"/>
        <v/>
      </c>
      <c r="X172" s="135" t="str">
        <f t="shared" si="104"/>
        <v/>
      </c>
      <c r="Y172" s="135" t="str">
        <f t="shared" si="105"/>
        <v/>
      </c>
      <c r="Z172" s="135" t="str">
        <f t="shared" si="106"/>
        <v/>
      </c>
      <c r="AA172" s="152" t="e">
        <f>AVERAGE(W172:W177)</f>
        <v>#DIV/0!</v>
      </c>
      <c r="AB172" s="152">
        <f t="shared" ref="AB172" si="136">SUM(V172:V177)</f>
        <v>0</v>
      </c>
      <c r="AC172" s="179"/>
      <c r="AD172" s="2"/>
      <c r="AE172" s="2"/>
      <c r="AF172" s="2"/>
      <c r="AG172" s="2"/>
      <c r="AH172" s="2"/>
      <c r="AI172" s="2"/>
      <c r="AJ172" s="2"/>
      <c r="AK172" s="2"/>
      <c r="AL172" s="2"/>
      <c r="AM172" s="2"/>
      <c r="AN172" s="2"/>
      <c r="AO172" s="1"/>
      <c r="AP172" s="1"/>
      <c r="AQ172" s="1"/>
      <c r="AR172" s="1"/>
      <c r="AS172" s="1"/>
      <c r="AT172" s="1"/>
      <c r="AU172" s="1"/>
      <c r="AV172" s="1"/>
      <c r="AW172" s="1"/>
      <c r="AX172" s="1"/>
      <c r="AY172" s="1"/>
    </row>
    <row r="173" spans="1:51" ht="17.25" thickBot="1" x14ac:dyDescent="0.35">
      <c r="A173" s="147"/>
      <c r="B173" s="97"/>
      <c r="C173" s="103"/>
      <c r="D173" s="103"/>
      <c r="E173" s="103"/>
      <c r="F173" s="150"/>
      <c r="G173" s="150"/>
      <c r="H173" s="100"/>
      <c r="I173" s="7">
        <f t="shared" si="111"/>
        <v>0</v>
      </c>
      <c r="J173" s="100"/>
      <c r="K173" s="7">
        <f t="shared" si="112"/>
        <v>0</v>
      </c>
      <c r="L173" s="100"/>
      <c r="M173" s="7">
        <f t="shared" si="113"/>
        <v>0</v>
      </c>
      <c r="N173" s="100"/>
      <c r="O173" s="7">
        <f t="shared" si="114"/>
        <v>0</v>
      </c>
      <c r="P173" s="100"/>
      <c r="Q173" s="7">
        <f t="shared" si="100"/>
        <v>0</v>
      </c>
      <c r="R173" s="100"/>
      <c r="S173" s="7">
        <f t="shared" si="101"/>
        <v>0</v>
      </c>
      <c r="T173" s="100"/>
      <c r="U173" s="7">
        <f t="shared" si="102"/>
        <v>0</v>
      </c>
      <c r="V173" s="8">
        <f t="shared" si="115"/>
        <v>0</v>
      </c>
      <c r="W173" s="136" t="str">
        <f t="shared" si="103"/>
        <v/>
      </c>
      <c r="X173" s="136" t="str">
        <f t="shared" si="104"/>
        <v/>
      </c>
      <c r="Y173" s="136" t="str">
        <f t="shared" si="105"/>
        <v/>
      </c>
      <c r="Z173" s="136" t="str">
        <f t="shared" si="106"/>
        <v/>
      </c>
      <c r="AA173" s="152"/>
      <c r="AB173" s="152"/>
      <c r="AC173" s="180"/>
      <c r="AD173" s="2"/>
      <c r="AE173" s="2"/>
      <c r="AF173" s="2"/>
      <c r="AG173" s="2"/>
      <c r="AH173" s="2"/>
      <c r="AI173" s="2"/>
      <c r="AJ173" s="2"/>
      <c r="AK173" s="2"/>
      <c r="AL173" s="2"/>
      <c r="AM173" s="2"/>
      <c r="AN173" s="2"/>
      <c r="AO173" s="1"/>
      <c r="AP173" s="1"/>
      <c r="AQ173" s="1"/>
      <c r="AR173" s="1"/>
      <c r="AS173" s="1"/>
      <c r="AT173" s="1"/>
      <c r="AU173" s="1"/>
      <c r="AV173" s="1"/>
      <c r="AW173" s="1"/>
      <c r="AX173" s="1"/>
      <c r="AY173" s="1"/>
    </row>
    <row r="174" spans="1:51" ht="17.25" thickBot="1" x14ac:dyDescent="0.35">
      <c r="A174" s="147"/>
      <c r="B174" s="97"/>
      <c r="C174" s="103"/>
      <c r="D174" s="103"/>
      <c r="E174" s="103"/>
      <c r="F174" s="150"/>
      <c r="G174" s="150"/>
      <c r="H174" s="100"/>
      <c r="I174" s="7">
        <f t="shared" si="111"/>
        <v>0</v>
      </c>
      <c r="J174" s="100"/>
      <c r="K174" s="7">
        <f t="shared" si="112"/>
        <v>0</v>
      </c>
      <c r="L174" s="100"/>
      <c r="M174" s="7">
        <f t="shared" si="113"/>
        <v>0</v>
      </c>
      <c r="N174" s="100"/>
      <c r="O174" s="7">
        <f t="shared" si="114"/>
        <v>0</v>
      </c>
      <c r="P174" s="100"/>
      <c r="Q174" s="7">
        <f t="shared" si="100"/>
        <v>0</v>
      </c>
      <c r="R174" s="100"/>
      <c r="S174" s="7">
        <f t="shared" si="101"/>
        <v>0</v>
      </c>
      <c r="T174" s="100"/>
      <c r="U174" s="7">
        <f t="shared" si="102"/>
        <v>0</v>
      </c>
      <c r="V174" s="8">
        <f t="shared" si="115"/>
        <v>0</v>
      </c>
      <c r="W174" s="136" t="str">
        <f t="shared" si="103"/>
        <v/>
      </c>
      <c r="X174" s="136" t="str">
        <f t="shared" si="104"/>
        <v/>
      </c>
      <c r="Y174" s="136" t="str">
        <f t="shared" si="105"/>
        <v/>
      </c>
      <c r="Z174" s="136" t="str">
        <f t="shared" si="106"/>
        <v/>
      </c>
      <c r="AA174" s="152"/>
      <c r="AB174" s="152"/>
      <c r="AC174" s="180"/>
      <c r="AD174" s="2"/>
      <c r="AE174" s="2"/>
      <c r="AF174" s="2"/>
      <c r="AG174" s="2"/>
      <c r="AH174" s="2"/>
      <c r="AI174" s="2"/>
      <c r="AJ174" s="2"/>
      <c r="AK174" s="2"/>
      <c r="AL174" s="2"/>
      <c r="AM174" s="2"/>
      <c r="AN174" s="2"/>
      <c r="AO174" s="1"/>
      <c r="AP174" s="1"/>
      <c r="AQ174" s="1"/>
      <c r="AR174" s="1"/>
      <c r="AS174" s="1"/>
      <c r="AT174" s="1"/>
      <c r="AU174" s="1"/>
      <c r="AV174" s="1"/>
      <c r="AW174" s="1"/>
      <c r="AX174" s="1"/>
      <c r="AY174" s="1"/>
    </row>
    <row r="175" spans="1:51" ht="17.25" thickBot="1" x14ac:dyDescent="0.35">
      <c r="A175" s="147"/>
      <c r="B175" s="97"/>
      <c r="C175" s="103"/>
      <c r="D175" s="103"/>
      <c r="E175" s="103"/>
      <c r="F175" s="150"/>
      <c r="G175" s="150"/>
      <c r="H175" s="100"/>
      <c r="I175" s="7">
        <f t="shared" si="111"/>
        <v>0</v>
      </c>
      <c r="J175" s="100"/>
      <c r="K175" s="7">
        <f t="shared" si="112"/>
        <v>0</v>
      </c>
      <c r="L175" s="100"/>
      <c r="M175" s="7">
        <f t="shared" si="113"/>
        <v>0</v>
      </c>
      <c r="N175" s="100"/>
      <c r="O175" s="7">
        <f t="shared" si="114"/>
        <v>0</v>
      </c>
      <c r="P175" s="100"/>
      <c r="Q175" s="7">
        <f t="shared" si="100"/>
        <v>0</v>
      </c>
      <c r="R175" s="100"/>
      <c r="S175" s="7">
        <f t="shared" si="101"/>
        <v>0</v>
      </c>
      <c r="T175" s="100"/>
      <c r="U175" s="7">
        <f t="shared" si="102"/>
        <v>0</v>
      </c>
      <c r="V175" s="8">
        <f t="shared" si="115"/>
        <v>0</v>
      </c>
      <c r="W175" s="136" t="str">
        <f t="shared" si="103"/>
        <v/>
      </c>
      <c r="X175" s="136" t="str">
        <f t="shared" si="104"/>
        <v/>
      </c>
      <c r="Y175" s="136" t="str">
        <f t="shared" si="105"/>
        <v/>
      </c>
      <c r="Z175" s="136" t="str">
        <f t="shared" si="106"/>
        <v/>
      </c>
      <c r="AA175" s="152"/>
      <c r="AB175" s="152"/>
      <c r="AC175" s="180"/>
      <c r="AD175" s="2"/>
      <c r="AE175" s="2"/>
      <c r="AF175" s="2"/>
      <c r="AG175" s="2"/>
      <c r="AH175" s="2"/>
      <c r="AI175" s="2"/>
      <c r="AJ175" s="2"/>
      <c r="AK175" s="2"/>
      <c r="AL175" s="2"/>
      <c r="AM175" s="2"/>
      <c r="AN175" s="2"/>
      <c r="AO175" s="1"/>
      <c r="AP175" s="1"/>
      <c r="AQ175" s="1"/>
      <c r="AR175" s="1"/>
      <c r="AS175" s="1"/>
      <c r="AT175" s="1"/>
      <c r="AU175" s="1"/>
      <c r="AV175" s="1"/>
      <c r="AW175" s="1"/>
      <c r="AX175" s="1"/>
      <c r="AY175" s="1"/>
    </row>
    <row r="176" spans="1:51" ht="17.25" thickBot="1" x14ac:dyDescent="0.35">
      <c r="A176" s="147"/>
      <c r="B176" s="97"/>
      <c r="C176" s="103"/>
      <c r="D176" s="103"/>
      <c r="E176" s="103"/>
      <c r="F176" s="150"/>
      <c r="G176" s="150"/>
      <c r="H176" s="100"/>
      <c r="I176" s="7">
        <f t="shared" si="111"/>
        <v>0</v>
      </c>
      <c r="J176" s="100"/>
      <c r="K176" s="7">
        <f t="shared" si="112"/>
        <v>0</v>
      </c>
      <c r="L176" s="100"/>
      <c r="M176" s="7">
        <f t="shared" si="113"/>
        <v>0</v>
      </c>
      <c r="N176" s="100"/>
      <c r="O176" s="7">
        <f t="shared" si="114"/>
        <v>0</v>
      </c>
      <c r="P176" s="100"/>
      <c r="Q176" s="7">
        <f t="shared" si="100"/>
        <v>0</v>
      </c>
      <c r="R176" s="100"/>
      <c r="S176" s="7">
        <f t="shared" si="101"/>
        <v>0</v>
      </c>
      <c r="T176" s="100"/>
      <c r="U176" s="7">
        <f t="shared" si="102"/>
        <v>0</v>
      </c>
      <c r="V176" s="8">
        <f t="shared" si="115"/>
        <v>0</v>
      </c>
      <c r="W176" s="136" t="str">
        <f t="shared" si="103"/>
        <v/>
      </c>
      <c r="X176" s="136" t="str">
        <f t="shared" si="104"/>
        <v/>
      </c>
      <c r="Y176" s="136" t="str">
        <f t="shared" si="105"/>
        <v/>
      </c>
      <c r="Z176" s="136" t="str">
        <f t="shared" si="106"/>
        <v/>
      </c>
      <c r="AA176" s="152"/>
      <c r="AB176" s="152"/>
      <c r="AC176" s="180"/>
      <c r="AD176" s="2"/>
      <c r="AE176" s="2"/>
      <c r="AF176" s="2"/>
      <c r="AG176" s="2"/>
      <c r="AH176" s="2"/>
      <c r="AI176" s="2"/>
      <c r="AJ176" s="2"/>
      <c r="AK176" s="2"/>
      <c r="AL176" s="2"/>
      <c r="AM176" s="2"/>
      <c r="AN176" s="2"/>
      <c r="AO176" s="1"/>
      <c r="AP176" s="1"/>
      <c r="AQ176" s="1"/>
      <c r="AR176" s="1"/>
      <c r="AS176" s="1"/>
      <c r="AT176" s="1"/>
      <c r="AU176" s="1"/>
      <c r="AV176" s="1"/>
      <c r="AW176" s="1"/>
      <c r="AX176" s="1"/>
      <c r="AY176" s="1"/>
    </row>
    <row r="177" spans="1:51" ht="17.25" thickBot="1" x14ac:dyDescent="0.35">
      <c r="A177" s="148"/>
      <c r="B177" s="98"/>
      <c r="C177" s="104"/>
      <c r="D177" s="104"/>
      <c r="E177" s="104"/>
      <c r="F177" s="151"/>
      <c r="G177" s="151"/>
      <c r="H177" s="101"/>
      <c r="I177" s="39">
        <f t="shared" si="111"/>
        <v>0</v>
      </c>
      <c r="J177" s="101"/>
      <c r="K177" s="39">
        <f t="shared" si="112"/>
        <v>0</v>
      </c>
      <c r="L177" s="101"/>
      <c r="M177" s="39">
        <f t="shared" si="113"/>
        <v>0</v>
      </c>
      <c r="N177" s="101"/>
      <c r="O177" s="39">
        <f t="shared" si="114"/>
        <v>0</v>
      </c>
      <c r="P177" s="101"/>
      <c r="Q177" s="39">
        <f t="shared" si="100"/>
        <v>0</v>
      </c>
      <c r="R177" s="101"/>
      <c r="S177" s="39">
        <f t="shared" si="101"/>
        <v>0</v>
      </c>
      <c r="T177" s="101"/>
      <c r="U177" s="39">
        <f t="shared" si="102"/>
        <v>0</v>
      </c>
      <c r="V177" s="36">
        <f t="shared" si="115"/>
        <v>0</v>
      </c>
      <c r="W177" s="137" t="str">
        <f t="shared" si="103"/>
        <v/>
      </c>
      <c r="X177" s="137" t="str">
        <f t="shared" si="104"/>
        <v/>
      </c>
      <c r="Y177" s="137" t="str">
        <f t="shared" si="105"/>
        <v/>
      </c>
      <c r="Z177" s="137" t="str">
        <f t="shared" si="106"/>
        <v/>
      </c>
      <c r="AA177" s="152"/>
      <c r="AB177" s="152"/>
      <c r="AC177" s="181"/>
      <c r="AD177" s="2"/>
      <c r="AE177" s="2"/>
      <c r="AF177" s="2"/>
      <c r="AG177" s="2"/>
      <c r="AH177" s="2"/>
      <c r="AI177" s="2"/>
      <c r="AJ177" s="2"/>
      <c r="AK177" s="2"/>
      <c r="AL177" s="2"/>
      <c r="AM177" s="2"/>
      <c r="AN177" s="2"/>
      <c r="AO177" s="1"/>
      <c r="AP177" s="1"/>
      <c r="AQ177" s="1"/>
      <c r="AR177" s="1"/>
      <c r="AS177" s="1"/>
      <c r="AT177" s="1"/>
      <c r="AU177" s="1"/>
      <c r="AV177" s="1"/>
      <c r="AW177" s="1"/>
      <c r="AX177" s="1"/>
      <c r="AY177" s="1"/>
    </row>
    <row r="178" spans="1:51" ht="17.25" thickBot="1" x14ac:dyDescent="0.35">
      <c r="A178" s="147">
        <v>42</v>
      </c>
      <c r="B178" s="105">
        <v>43752</v>
      </c>
      <c r="C178" s="102">
        <v>16.5</v>
      </c>
      <c r="D178" s="102"/>
      <c r="E178" s="102"/>
      <c r="F178" s="149">
        <f t="shared" ref="F178" si="137">SUM(M178:M183,O178:O183,Q178:Q183,S178:S183,I178:I183,K178:K183)</f>
        <v>815</v>
      </c>
      <c r="G178" s="149">
        <f t="shared" ref="G178" si="138">SUM(M178:M183,O178:O183,Q178:Q183,S178:S183,U178:U183,K178:K183,I178:I183)</f>
        <v>815</v>
      </c>
      <c r="H178" s="99">
        <v>163</v>
      </c>
      <c r="I178" s="7">
        <f t="shared" si="111"/>
        <v>815</v>
      </c>
      <c r="J178" s="99"/>
      <c r="K178" s="7">
        <f t="shared" si="112"/>
        <v>0</v>
      </c>
      <c r="L178" s="99"/>
      <c r="M178" s="7">
        <f t="shared" si="113"/>
        <v>0</v>
      </c>
      <c r="N178" s="99"/>
      <c r="O178" s="7">
        <f t="shared" si="114"/>
        <v>0</v>
      </c>
      <c r="P178" s="99"/>
      <c r="Q178" s="7">
        <f t="shared" si="100"/>
        <v>0</v>
      </c>
      <c r="R178" s="99"/>
      <c r="S178" s="7">
        <f t="shared" si="101"/>
        <v>0</v>
      </c>
      <c r="T178" s="99"/>
      <c r="U178" s="7">
        <f t="shared" si="102"/>
        <v>0</v>
      </c>
      <c r="V178" s="8">
        <f t="shared" si="115"/>
        <v>0.70746527777777779</v>
      </c>
      <c r="W178" s="135">
        <f t="shared" si="103"/>
        <v>49.393939393939391</v>
      </c>
      <c r="X178" s="135">
        <f t="shared" si="104"/>
        <v>49.393939393939391</v>
      </c>
      <c r="Y178" s="135" t="str">
        <f t="shared" si="105"/>
        <v/>
      </c>
      <c r="Z178" s="135" t="str">
        <f t="shared" si="106"/>
        <v/>
      </c>
      <c r="AA178" s="152">
        <f t="shared" ref="AA178" si="139">AVERAGE(W178:W183)</f>
        <v>49.393939393939391</v>
      </c>
      <c r="AB178" s="152">
        <f t="shared" ref="AB178" si="140">SUM(V178:V183)</f>
        <v>0.70746527777777779</v>
      </c>
      <c r="AC178" s="179"/>
      <c r="AD178" s="2"/>
      <c r="AE178" s="2"/>
      <c r="AF178" s="2"/>
      <c r="AG178" s="2"/>
      <c r="AH178" s="2"/>
      <c r="AI178" s="2"/>
      <c r="AJ178" s="2"/>
      <c r="AK178" s="2"/>
      <c r="AL178" s="2"/>
      <c r="AM178" s="2"/>
      <c r="AN178" s="2"/>
      <c r="AO178" s="1"/>
      <c r="AP178" s="1"/>
      <c r="AQ178" s="1"/>
      <c r="AR178" s="1"/>
      <c r="AS178" s="1"/>
      <c r="AT178" s="1"/>
      <c r="AU178" s="1"/>
      <c r="AV178" s="1"/>
      <c r="AW178" s="1"/>
      <c r="AX178" s="1"/>
      <c r="AY178" s="1"/>
    </row>
    <row r="179" spans="1:51" ht="17.25" thickBot="1" x14ac:dyDescent="0.35">
      <c r="A179" s="147"/>
      <c r="B179" s="97"/>
      <c r="C179" s="103"/>
      <c r="D179" s="103"/>
      <c r="E179" s="103"/>
      <c r="F179" s="150"/>
      <c r="G179" s="150"/>
      <c r="H179" s="100"/>
      <c r="I179" s="7">
        <f t="shared" si="111"/>
        <v>0</v>
      </c>
      <c r="J179" s="100"/>
      <c r="K179" s="7">
        <f t="shared" si="112"/>
        <v>0</v>
      </c>
      <c r="L179" s="100"/>
      <c r="M179" s="7">
        <f t="shared" si="113"/>
        <v>0</v>
      </c>
      <c r="N179" s="100"/>
      <c r="O179" s="7">
        <f t="shared" si="114"/>
        <v>0</v>
      </c>
      <c r="P179" s="100"/>
      <c r="Q179" s="7">
        <f t="shared" si="100"/>
        <v>0</v>
      </c>
      <c r="R179" s="100"/>
      <c r="S179" s="7">
        <f t="shared" si="101"/>
        <v>0</v>
      </c>
      <c r="T179" s="100"/>
      <c r="U179" s="7">
        <f t="shared" si="102"/>
        <v>0</v>
      </c>
      <c r="V179" s="8">
        <f t="shared" si="115"/>
        <v>0</v>
      </c>
      <c r="W179" s="136" t="str">
        <f t="shared" si="103"/>
        <v/>
      </c>
      <c r="X179" s="136" t="str">
        <f t="shared" si="104"/>
        <v/>
      </c>
      <c r="Y179" s="136" t="str">
        <f t="shared" si="105"/>
        <v/>
      </c>
      <c r="Z179" s="136" t="str">
        <f t="shared" si="106"/>
        <v/>
      </c>
      <c r="AA179" s="152"/>
      <c r="AB179" s="152"/>
      <c r="AC179" s="180"/>
      <c r="AD179" s="2"/>
      <c r="AE179" s="2"/>
      <c r="AF179" s="2"/>
      <c r="AG179" s="2"/>
      <c r="AH179" s="2"/>
      <c r="AI179" s="2"/>
      <c r="AJ179" s="2"/>
      <c r="AK179" s="2"/>
      <c r="AL179" s="2"/>
      <c r="AM179" s="2"/>
      <c r="AN179" s="2"/>
      <c r="AO179" s="1"/>
      <c r="AP179" s="1"/>
      <c r="AQ179" s="1"/>
      <c r="AR179" s="1"/>
      <c r="AS179" s="1"/>
      <c r="AT179" s="1"/>
      <c r="AU179" s="1"/>
      <c r="AV179" s="1"/>
      <c r="AW179" s="1"/>
      <c r="AX179" s="1"/>
      <c r="AY179" s="1"/>
    </row>
    <row r="180" spans="1:51" ht="17.25" thickBot="1" x14ac:dyDescent="0.35">
      <c r="A180" s="147"/>
      <c r="B180" s="97"/>
      <c r="C180" s="103"/>
      <c r="D180" s="103"/>
      <c r="E180" s="103"/>
      <c r="F180" s="150"/>
      <c r="G180" s="150"/>
      <c r="H180" s="100"/>
      <c r="I180" s="7">
        <f t="shared" si="111"/>
        <v>0</v>
      </c>
      <c r="J180" s="100"/>
      <c r="K180" s="7">
        <f t="shared" si="112"/>
        <v>0</v>
      </c>
      <c r="L180" s="100"/>
      <c r="M180" s="7">
        <f t="shared" si="113"/>
        <v>0</v>
      </c>
      <c r="N180" s="100"/>
      <c r="O180" s="7">
        <f t="shared" si="114"/>
        <v>0</v>
      </c>
      <c r="P180" s="100"/>
      <c r="Q180" s="7">
        <f t="shared" si="100"/>
        <v>0</v>
      </c>
      <c r="R180" s="100"/>
      <c r="S180" s="7">
        <f t="shared" si="101"/>
        <v>0</v>
      </c>
      <c r="T180" s="100"/>
      <c r="U180" s="7">
        <f t="shared" si="102"/>
        <v>0</v>
      </c>
      <c r="V180" s="8">
        <f t="shared" si="115"/>
        <v>0</v>
      </c>
      <c r="W180" s="136" t="str">
        <f t="shared" si="103"/>
        <v/>
      </c>
      <c r="X180" s="136" t="str">
        <f t="shared" si="104"/>
        <v/>
      </c>
      <c r="Y180" s="136" t="str">
        <f t="shared" si="105"/>
        <v/>
      </c>
      <c r="Z180" s="136" t="str">
        <f t="shared" si="106"/>
        <v/>
      </c>
      <c r="AA180" s="152"/>
      <c r="AB180" s="152"/>
      <c r="AC180" s="180"/>
      <c r="AD180" s="2"/>
      <c r="AE180" s="2"/>
      <c r="AF180" s="2"/>
      <c r="AG180" s="2"/>
      <c r="AH180" s="2"/>
      <c r="AI180" s="2"/>
      <c r="AJ180" s="2"/>
      <c r="AK180" s="2"/>
      <c r="AL180" s="2"/>
      <c r="AM180" s="2"/>
      <c r="AN180" s="2"/>
      <c r="AO180" s="1"/>
      <c r="AP180" s="1"/>
      <c r="AQ180" s="1"/>
      <c r="AR180" s="1"/>
      <c r="AS180" s="1"/>
      <c r="AT180" s="1"/>
      <c r="AU180" s="1"/>
      <c r="AV180" s="1"/>
      <c r="AW180" s="1"/>
      <c r="AX180" s="1"/>
      <c r="AY180" s="1"/>
    </row>
    <row r="181" spans="1:51" ht="17.25" thickBot="1" x14ac:dyDescent="0.35">
      <c r="A181" s="147"/>
      <c r="B181" s="97"/>
      <c r="C181" s="103"/>
      <c r="D181" s="103"/>
      <c r="E181" s="103"/>
      <c r="F181" s="150"/>
      <c r="G181" s="150"/>
      <c r="H181" s="100"/>
      <c r="I181" s="7">
        <f t="shared" si="111"/>
        <v>0</v>
      </c>
      <c r="J181" s="100"/>
      <c r="K181" s="7">
        <f t="shared" si="112"/>
        <v>0</v>
      </c>
      <c r="L181" s="100"/>
      <c r="M181" s="7">
        <f t="shared" si="113"/>
        <v>0</v>
      </c>
      <c r="N181" s="100"/>
      <c r="O181" s="7">
        <f t="shared" si="114"/>
        <v>0</v>
      </c>
      <c r="P181" s="100"/>
      <c r="Q181" s="7">
        <f t="shared" si="100"/>
        <v>0</v>
      </c>
      <c r="R181" s="100"/>
      <c r="S181" s="7">
        <f t="shared" si="101"/>
        <v>0</v>
      </c>
      <c r="T181" s="100"/>
      <c r="U181" s="7">
        <f t="shared" si="102"/>
        <v>0</v>
      </c>
      <c r="V181" s="8">
        <f t="shared" si="115"/>
        <v>0</v>
      </c>
      <c r="W181" s="136" t="str">
        <f t="shared" si="103"/>
        <v/>
      </c>
      <c r="X181" s="136" t="str">
        <f t="shared" si="104"/>
        <v/>
      </c>
      <c r="Y181" s="136" t="str">
        <f t="shared" si="105"/>
        <v/>
      </c>
      <c r="Z181" s="136" t="str">
        <f t="shared" si="106"/>
        <v/>
      </c>
      <c r="AA181" s="152"/>
      <c r="AB181" s="152"/>
      <c r="AC181" s="180"/>
      <c r="AD181" s="2"/>
      <c r="AE181" s="2"/>
      <c r="AF181" s="2"/>
      <c r="AG181" s="2"/>
      <c r="AH181" s="2"/>
      <c r="AI181" s="2"/>
      <c r="AJ181" s="2"/>
      <c r="AK181" s="2"/>
      <c r="AL181" s="2"/>
      <c r="AM181" s="2"/>
      <c r="AN181" s="2"/>
      <c r="AO181" s="1"/>
      <c r="AP181" s="1"/>
      <c r="AQ181" s="1"/>
      <c r="AR181" s="1"/>
      <c r="AS181" s="1"/>
      <c r="AT181" s="1"/>
      <c r="AU181" s="1"/>
      <c r="AV181" s="1"/>
      <c r="AW181" s="1"/>
      <c r="AX181" s="1"/>
      <c r="AY181" s="1"/>
    </row>
    <row r="182" spans="1:51" ht="17.25" thickBot="1" x14ac:dyDescent="0.35">
      <c r="A182" s="147"/>
      <c r="B182" s="97"/>
      <c r="C182" s="103"/>
      <c r="D182" s="103"/>
      <c r="E182" s="103"/>
      <c r="F182" s="150"/>
      <c r="G182" s="150"/>
      <c r="H182" s="100"/>
      <c r="I182" s="7">
        <f t="shared" si="111"/>
        <v>0</v>
      </c>
      <c r="J182" s="100"/>
      <c r="K182" s="7">
        <f t="shared" si="112"/>
        <v>0</v>
      </c>
      <c r="L182" s="100"/>
      <c r="M182" s="7">
        <f t="shared" si="113"/>
        <v>0</v>
      </c>
      <c r="N182" s="100"/>
      <c r="O182" s="7">
        <f t="shared" si="114"/>
        <v>0</v>
      </c>
      <c r="P182" s="100"/>
      <c r="Q182" s="7">
        <f t="shared" si="100"/>
        <v>0</v>
      </c>
      <c r="R182" s="100"/>
      <c r="S182" s="7">
        <f t="shared" si="101"/>
        <v>0</v>
      </c>
      <c r="T182" s="100"/>
      <c r="U182" s="7">
        <f t="shared" si="102"/>
        <v>0</v>
      </c>
      <c r="V182" s="8">
        <f t="shared" si="115"/>
        <v>0</v>
      </c>
      <c r="W182" s="136" t="str">
        <f t="shared" si="103"/>
        <v/>
      </c>
      <c r="X182" s="136" t="str">
        <f t="shared" si="104"/>
        <v/>
      </c>
      <c r="Y182" s="136" t="str">
        <f t="shared" si="105"/>
        <v/>
      </c>
      <c r="Z182" s="136" t="str">
        <f t="shared" si="106"/>
        <v/>
      </c>
      <c r="AA182" s="152"/>
      <c r="AB182" s="152"/>
      <c r="AC182" s="180"/>
      <c r="AD182" s="2"/>
      <c r="AE182" s="2"/>
      <c r="AF182" s="2"/>
      <c r="AG182" s="2"/>
      <c r="AH182" s="2"/>
      <c r="AI182" s="2"/>
      <c r="AJ182" s="2"/>
      <c r="AK182" s="2"/>
      <c r="AL182" s="2"/>
      <c r="AM182" s="2"/>
      <c r="AN182" s="2"/>
      <c r="AO182" s="1"/>
      <c r="AP182" s="1"/>
      <c r="AQ182" s="1"/>
      <c r="AR182" s="1"/>
      <c r="AS182" s="1"/>
      <c r="AT182" s="1"/>
      <c r="AU182" s="1"/>
      <c r="AV182" s="1"/>
      <c r="AW182" s="1"/>
      <c r="AX182" s="1"/>
      <c r="AY182" s="1"/>
    </row>
    <row r="183" spans="1:51" ht="17.25" thickBot="1" x14ac:dyDescent="0.35">
      <c r="A183" s="147"/>
      <c r="B183" s="98"/>
      <c r="C183" s="104"/>
      <c r="D183" s="104"/>
      <c r="E183" s="104"/>
      <c r="F183" s="151"/>
      <c r="G183" s="151"/>
      <c r="H183" s="101"/>
      <c r="I183" s="7">
        <f t="shared" si="111"/>
        <v>0</v>
      </c>
      <c r="J183" s="101"/>
      <c r="K183" s="7">
        <f t="shared" si="112"/>
        <v>0</v>
      </c>
      <c r="L183" s="101"/>
      <c r="M183" s="7">
        <f t="shared" si="113"/>
        <v>0</v>
      </c>
      <c r="N183" s="101"/>
      <c r="O183" s="7">
        <f t="shared" si="114"/>
        <v>0</v>
      </c>
      <c r="P183" s="101"/>
      <c r="Q183" s="7">
        <f t="shared" si="100"/>
        <v>0</v>
      </c>
      <c r="R183" s="101"/>
      <c r="S183" s="7">
        <f t="shared" si="101"/>
        <v>0</v>
      </c>
      <c r="T183" s="101"/>
      <c r="U183" s="7">
        <f t="shared" si="102"/>
        <v>0</v>
      </c>
      <c r="V183" s="8">
        <f t="shared" si="115"/>
        <v>0</v>
      </c>
      <c r="W183" s="137" t="str">
        <f t="shared" si="103"/>
        <v/>
      </c>
      <c r="X183" s="137" t="str">
        <f t="shared" si="104"/>
        <v/>
      </c>
      <c r="Y183" s="137" t="str">
        <f t="shared" si="105"/>
        <v/>
      </c>
      <c r="Z183" s="137" t="str">
        <f t="shared" si="106"/>
        <v/>
      </c>
      <c r="AA183" s="152"/>
      <c r="AB183" s="152"/>
      <c r="AC183" s="181"/>
      <c r="AD183" s="2"/>
      <c r="AE183" s="2"/>
      <c r="AF183" s="2"/>
      <c r="AG183" s="2"/>
      <c r="AH183" s="2"/>
      <c r="AI183" s="2"/>
      <c r="AJ183" s="2"/>
      <c r="AK183" s="2"/>
      <c r="AL183" s="2"/>
      <c r="AM183" s="2"/>
      <c r="AN183" s="2"/>
      <c r="AO183" s="1"/>
      <c r="AP183" s="1"/>
      <c r="AQ183" s="1"/>
      <c r="AR183" s="1"/>
      <c r="AS183" s="1"/>
      <c r="AT183" s="1"/>
      <c r="AU183" s="1"/>
      <c r="AV183" s="1"/>
      <c r="AW183" s="1"/>
      <c r="AX183" s="1"/>
      <c r="AY183" s="1"/>
    </row>
    <row r="184" spans="1:51" ht="17.25" thickBot="1" x14ac:dyDescent="0.35">
      <c r="A184" s="146">
        <v>43</v>
      </c>
      <c r="B184" s="105"/>
      <c r="C184" s="102"/>
      <c r="D184" s="102"/>
      <c r="E184" s="102"/>
      <c r="F184" s="149">
        <f t="shared" ref="F184" si="141">SUM(M184:M189,O184:O189,Q184:Q189,S184:S189,I184:I189,K184:K189)</f>
        <v>540</v>
      </c>
      <c r="G184" s="149">
        <f t="shared" ref="G184" si="142">SUM(M184:M189,O184:O189,Q184:Q189,S184:S189,U184:U189,K184:K189,I184:I189)</f>
        <v>540</v>
      </c>
      <c r="H184" s="99"/>
      <c r="I184" s="40">
        <f t="shared" si="111"/>
        <v>0</v>
      </c>
      <c r="J184" s="99"/>
      <c r="K184" s="40">
        <f t="shared" si="112"/>
        <v>0</v>
      </c>
      <c r="L184" s="99"/>
      <c r="M184" s="40">
        <f t="shared" si="113"/>
        <v>0</v>
      </c>
      <c r="N184" s="99"/>
      <c r="O184" s="40">
        <f t="shared" si="114"/>
        <v>0</v>
      </c>
      <c r="P184" s="99"/>
      <c r="Q184" s="40">
        <f t="shared" si="100"/>
        <v>0</v>
      </c>
      <c r="R184" s="99"/>
      <c r="S184" s="40">
        <f t="shared" si="101"/>
        <v>0</v>
      </c>
      <c r="T184" s="99"/>
      <c r="U184" s="40">
        <f t="shared" si="102"/>
        <v>0</v>
      </c>
      <c r="V184" s="34">
        <f t="shared" si="115"/>
        <v>0</v>
      </c>
      <c r="W184" s="135" t="str">
        <f t="shared" si="103"/>
        <v/>
      </c>
      <c r="X184" s="135" t="str">
        <f t="shared" si="104"/>
        <v/>
      </c>
      <c r="Y184" s="135" t="str">
        <f t="shared" si="105"/>
        <v/>
      </c>
      <c r="Z184" s="135" t="str">
        <f t="shared" si="106"/>
        <v/>
      </c>
      <c r="AA184" s="152">
        <f t="shared" ref="AA184" si="143">AVERAGE(W184:W189)</f>
        <v>45</v>
      </c>
      <c r="AB184" s="152">
        <f t="shared" ref="AB184" si="144">SUM(V184:V189)</f>
        <v>0.46875</v>
      </c>
      <c r="AC184" s="179"/>
      <c r="AD184" s="2"/>
      <c r="AE184" s="2"/>
      <c r="AF184" s="2"/>
      <c r="AG184" s="2"/>
      <c r="AH184" s="2"/>
      <c r="AI184" s="2"/>
      <c r="AJ184" s="2"/>
      <c r="AK184" s="2"/>
      <c r="AL184" s="2"/>
      <c r="AM184" s="2"/>
      <c r="AN184" s="2"/>
      <c r="AO184" s="1"/>
      <c r="AP184" s="1"/>
      <c r="AQ184" s="1"/>
      <c r="AR184" s="1"/>
      <c r="AS184" s="1"/>
      <c r="AT184" s="1"/>
      <c r="AU184" s="1"/>
      <c r="AV184" s="1"/>
      <c r="AW184" s="1"/>
      <c r="AX184" s="1"/>
      <c r="AY184" s="1"/>
    </row>
    <row r="185" spans="1:51" ht="17.25" thickBot="1" x14ac:dyDescent="0.35">
      <c r="A185" s="147"/>
      <c r="B185" s="97"/>
      <c r="C185" s="103"/>
      <c r="D185" s="103"/>
      <c r="E185" s="103"/>
      <c r="F185" s="150"/>
      <c r="G185" s="150"/>
      <c r="H185" s="100"/>
      <c r="I185" s="7">
        <f t="shared" si="111"/>
        <v>0</v>
      </c>
      <c r="J185" s="100"/>
      <c r="K185" s="7">
        <f t="shared" si="112"/>
        <v>0</v>
      </c>
      <c r="L185" s="100"/>
      <c r="M185" s="7">
        <f t="shared" si="113"/>
        <v>0</v>
      </c>
      <c r="N185" s="100"/>
      <c r="O185" s="7">
        <f t="shared" si="114"/>
        <v>0</v>
      </c>
      <c r="P185" s="100"/>
      <c r="Q185" s="7">
        <f t="shared" si="100"/>
        <v>0</v>
      </c>
      <c r="R185" s="100"/>
      <c r="S185" s="7">
        <f t="shared" si="101"/>
        <v>0</v>
      </c>
      <c r="T185" s="100"/>
      <c r="U185" s="7">
        <f t="shared" si="102"/>
        <v>0</v>
      </c>
      <c r="V185" s="8">
        <f t="shared" si="115"/>
        <v>0</v>
      </c>
      <c r="W185" s="136" t="str">
        <f t="shared" si="103"/>
        <v/>
      </c>
      <c r="X185" s="136" t="str">
        <f t="shared" si="104"/>
        <v/>
      </c>
      <c r="Y185" s="136" t="str">
        <f t="shared" si="105"/>
        <v/>
      </c>
      <c r="Z185" s="136" t="str">
        <f t="shared" si="106"/>
        <v/>
      </c>
      <c r="AA185" s="152"/>
      <c r="AB185" s="152"/>
      <c r="AC185" s="180"/>
      <c r="AD185" s="2"/>
      <c r="AE185" s="2"/>
      <c r="AF185" s="2"/>
      <c r="AG185" s="2"/>
      <c r="AH185" s="2"/>
      <c r="AI185" s="2"/>
      <c r="AJ185" s="2"/>
      <c r="AK185" s="2"/>
      <c r="AL185" s="2"/>
      <c r="AM185" s="2"/>
      <c r="AN185" s="2"/>
      <c r="AO185" s="1"/>
      <c r="AP185" s="1"/>
      <c r="AQ185" s="1"/>
      <c r="AR185" s="1"/>
      <c r="AS185" s="1"/>
      <c r="AT185" s="1"/>
      <c r="AU185" s="1"/>
      <c r="AV185" s="1"/>
      <c r="AW185" s="1"/>
      <c r="AX185" s="1"/>
      <c r="AY185" s="1"/>
    </row>
    <row r="186" spans="1:51" ht="17.25" thickBot="1" x14ac:dyDescent="0.35">
      <c r="A186" s="147"/>
      <c r="B186" s="97"/>
      <c r="C186" s="103"/>
      <c r="D186" s="103"/>
      <c r="E186" s="103"/>
      <c r="F186" s="150"/>
      <c r="G186" s="150"/>
      <c r="H186" s="100"/>
      <c r="I186" s="7">
        <f t="shared" si="111"/>
        <v>0</v>
      </c>
      <c r="J186" s="100"/>
      <c r="K186" s="7">
        <f t="shared" si="112"/>
        <v>0</v>
      </c>
      <c r="L186" s="100"/>
      <c r="M186" s="7">
        <f t="shared" si="113"/>
        <v>0</v>
      </c>
      <c r="N186" s="100"/>
      <c r="O186" s="7">
        <f t="shared" si="114"/>
        <v>0</v>
      </c>
      <c r="P186" s="100"/>
      <c r="Q186" s="7">
        <f t="shared" si="100"/>
        <v>0</v>
      </c>
      <c r="R186" s="100"/>
      <c r="S186" s="7">
        <f t="shared" si="101"/>
        <v>0</v>
      </c>
      <c r="T186" s="100"/>
      <c r="U186" s="7">
        <f t="shared" si="102"/>
        <v>0</v>
      </c>
      <c r="V186" s="8">
        <f t="shared" si="115"/>
        <v>0</v>
      </c>
      <c r="W186" s="136" t="str">
        <f t="shared" si="103"/>
        <v/>
      </c>
      <c r="X186" s="136" t="str">
        <f t="shared" si="104"/>
        <v/>
      </c>
      <c r="Y186" s="136" t="str">
        <f t="shared" si="105"/>
        <v/>
      </c>
      <c r="Z186" s="136" t="str">
        <f t="shared" si="106"/>
        <v/>
      </c>
      <c r="AA186" s="152"/>
      <c r="AB186" s="152"/>
      <c r="AC186" s="180"/>
      <c r="AD186" s="2"/>
      <c r="AE186" s="2"/>
      <c r="AF186" s="2"/>
      <c r="AG186" s="2"/>
      <c r="AH186" s="2"/>
      <c r="AI186" s="2"/>
      <c r="AJ186" s="2"/>
      <c r="AK186" s="2"/>
      <c r="AL186" s="2"/>
      <c r="AM186" s="2"/>
      <c r="AN186" s="2"/>
      <c r="AO186" s="1"/>
      <c r="AP186" s="1"/>
      <c r="AQ186" s="1"/>
      <c r="AR186" s="1"/>
      <c r="AS186" s="1"/>
      <c r="AT186" s="1"/>
      <c r="AU186" s="1"/>
      <c r="AV186" s="1"/>
      <c r="AW186" s="1"/>
      <c r="AX186" s="1"/>
      <c r="AY186" s="1"/>
    </row>
    <row r="187" spans="1:51" ht="17.25" thickBot="1" x14ac:dyDescent="0.35">
      <c r="A187" s="147"/>
      <c r="B187" s="97">
        <v>43762</v>
      </c>
      <c r="C187" s="103">
        <v>12</v>
      </c>
      <c r="D187" s="103"/>
      <c r="E187" s="103"/>
      <c r="F187" s="150"/>
      <c r="G187" s="150"/>
      <c r="H187" s="100">
        <v>108</v>
      </c>
      <c r="I187" s="7">
        <f t="shared" si="111"/>
        <v>540</v>
      </c>
      <c r="J187" s="100"/>
      <c r="K187" s="7">
        <f t="shared" si="112"/>
        <v>0</v>
      </c>
      <c r="L187" s="100"/>
      <c r="M187" s="7">
        <f t="shared" si="113"/>
        <v>0</v>
      </c>
      <c r="N187" s="100"/>
      <c r="O187" s="7">
        <f t="shared" si="114"/>
        <v>0</v>
      </c>
      <c r="P187" s="100"/>
      <c r="Q187" s="7">
        <f t="shared" si="100"/>
        <v>0</v>
      </c>
      <c r="R187" s="100"/>
      <c r="S187" s="7">
        <f t="shared" si="101"/>
        <v>0</v>
      </c>
      <c r="T187" s="100"/>
      <c r="U187" s="7">
        <f t="shared" si="102"/>
        <v>0</v>
      </c>
      <c r="V187" s="8">
        <f t="shared" si="115"/>
        <v>0.46875</v>
      </c>
      <c r="W187" s="136">
        <f t="shared" si="103"/>
        <v>45</v>
      </c>
      <c r="X187" s="136">
        <f t="shared" si="104"/>
        <v>45</v>
      </c>
      <c r="Y187" s="136" t="str">
        <f t="shared" si="105"/>
        <v/>
      </c>
      <c r="Z187" s="136" t="str">
        <f t="shared" si="106"/>
        <v/>
      </c>
      <c r="AA187" s="152"/>
      <c r="AB187" s="152"/>
      <c r="AC187" s="180"/>
      <c r="AD187" s="2"/>
      <c r="AE187" s="2"/>
      <c r="AF187" s="2"/>
      <c r="AG187" s="2"/>
      <c r="AH187" s="2"/>
      <c r="AI187" s="2"/>
      <c r="AJ187" s="2"/>
      <c r="AK187" s="2"/>
      <c r="AL187" s="2"/>
      <c r="AM187" s="2"/>
      <c r="AN187" s="2"/>
      <c r="AO187" s="1"/>
      <c r="AP187" s="1"/>
      <c r="AQ187" s="1"/>
      <c r="AR187" s="1"/>
      <c r="AS187" s="1"/>
      <c r="AT187" s="1"/>
      <c r="AU187" s="1"/>
      <c r="AV187" s="1"/>
      <c r="AW187" s="1"/>
      <c r="AX187" s="1"/>
      <c r="AY187" s="1"/>
    </row>
    <row r="188" spans="1:51" ht="17.25" thickBot="1" x14ac:dyDescent="0.35">
      <c r="A188" s="147"/>
      <c r="B188" s="97"/>
      <c r="C188" s="103"/>
      <c r="D188" s="103"/>
      <c r="E188" s="103"/>
      <c r="F188" s="150"/>
      <c r="G188" s="150"/>
      <c r="H188" s="100"/>
      <c r="I188" s="7">
        <f t="shared" si="111"/>
        <v>0</v>
      </c>
      <c r="J188" s="100"/>
      <c r="K188" s="7">
        <f t="shared" si="112"/>
        <v>0</v>
      </c>
      <c r="L188" s="100"/>
      <c r="M188" s="7">
        <f t="shared" si="113"/>
        <v>0</v>
      </c>
      <c r="N188" s="100"/>
      <c r="O188" s="7">
        <f t="shared" si="114"/>
        <v>0</v>
      </c>
      <c r="P188" s="100"/>
      <c r="Q188" s="7">
        <f t="shared" si="100"/>
        <v>0</v>
      </c>
      <c r="R188" s="100"/>
      <c r="S188" s="7">
        <f t="shared" si="101"/>
        <v>0</v>
      </c>
      <c r="T188" s="100"/>
      <c r="U188" s="7">
        <f t="shared" si="102"/>
        <v>0</v>
      </c>
      <c r="V188" s="8">
        <f t="shared" si="115"/>
        <v>0</v>
      </c>
      <c r="W188" s="136" t="str">
        <f t="shared" si="103"/>
        <v/>
      </c>
      <c r="X188" s="136" t="str">
        <f t="shared" si="104"/>
        <v/>
      </c>
      <c r="Y188" s="136" t="str">
        <f t="shared" si="105"/>
        <v/>
      </c>
      <c r="Z188" s="136" t="str">
        <f t="shared" si="106"/>
        <v/>
      </c>
      <c r="AA188" s="152"/>
      <c r="AB188" s="152"/>
      <c r="AC188" s="180"/>
      <c r="AD188" s="2"/>
      <c r="AE188" s="2"/>
      <c r="AF188" s="2"/>
      <c r="AG188" s="2"/>
      <c r="AH188" s="2"/>
      <c r="AI188" s="2"/>
      <c r="AJ188" s="2"/>
      <c r="AK188" s="2"/>
      <c r="AL188" s="2"/>
      <c r="AM188" s="2"/>
      <c r="AN188" s="2"/>
      <c r="AO188" s="1"/>
      <c r="AP188" s="1"/>
      <c r="AQ188" s="1"/>
      <c r="AR188" s="1"/>
      <c r="AS188" s="1"/>
      <c r="AT188" s="1"/>
      <c r="AU188" s="1"/>
      <c r="AV188" s="1"/>
      <c r="AW188" s="1"/>
      <c r="AX188" s="1"/>
      <c r="AY188" s="1"/>
    </row>
    <row r="189" spans="1:51" ht="17.25" thickBot="1" x14ac:dyDescent="0.35">
      <c r="A189" s="148"/>
      <c r="B189" s="98"/>
      <c r="C189" s="104"/>
      <c r="D189" s="104"/>
      <c r="E189" s="104"/>
      <c r="F189" s="151"/>
      <c r="G189" s="151"/>
      <c r="H189" s="101"/>
      <c r="I189" s="39">
        <f t="shared" si="111"/>
        <v>0</v>
      </c>
      <c r="J189" s="101"/>
      <c r="K189" s="39">
        <f t="shared" si="112"/>
        <v>0</v>
      </c>
      <c r="L189" s="101"/>
      <c r="M189" s="39">
        <f t="shared" si="113"/>
        <v>0</v>
      </c>
      <c r="N189" s="101"/>
      <c r="O189" s="39">
        <f t="shared" si="114"/>
        <v>0</v>
      </c>
      <c r="P189" s="101"/>
      <c r="Q189" s="39">
        <f t="shared" si="100"/>
        <v>0</v>
      </c>
      <c r="R189" s="101"/>
      <c r="S189" s="39">
        <f t="shared" si="101"/>
        <v>0</v>
      </c>
      <c r="T189" s="101"/>
      <c r="U189" s="39">
        <f t="shared" si="102"/>
        <v>0</v>
      </c>
      <c r="V189" s="36">
        <f t="shared" si="115"/>
        <v>0</v>
      </c>
      <c r="W189" s="137" t="str">
        <f t="shared" si="103"/>
        <v/>
      </c>
      <c r="X189" s="137" t="str">
        <f t="shared" si="104"/>
        <v/>
      </c>
      <c r="Y189" s="137" t="str">
        <f t="shared" si="105"/>
        <v/>
      </c>
      <c r="Z189" s="137" t="str">
        <f t="shared" si="106"/>
        <v/>
      </c>
      <c r="AA189" s="152"/>
      <c r="AB189" s="152"/>
      <c r="AC189" s="181"/>
      <c r="AD189" s="2"/>
      <c r="AE189" s="2"/>
      <c r="AF189" s="2"/>
      <c r="AG189" s="2"/>
      <c r="AH189" s="2"/>
      <c r="AI189" s="2"/>
      <c r="AJ189" s="2"/>
      <c r="AK189" s="2"/>
      <c r="AL189" s="2"/>
      <c r="AM189" s="2"/>
      <c r="AN189" s="2"/>
      <c r="AO189" s="1"/>
      <c r="AP189" s="1"/>
      <c r="AQ189" s="1"/>
      <c r="AR189" s="1"/>
      <c r="AS189" s="1"/>
      <c r="AT189" s="1"/>
      <c r="AU189" s="1"/>
      <c r="AV189" s="1"/>
      <c r="AW189" s="1"/>
      <c r="AX189" s="1"/>
      <c r="AY189" s="1"/>
    </row>
    <row r="190" spans="1:51" ht="17.25" thickBot="1" x14ac:dyDescent="0.35">
      <c r="A190" s="147">
        <v>44</v>
      </c>
      <c r="B190" s="105"/>
      <c r="C190" s="102"/>
      <c r="D190" s="102"/>
      <c r="E190" s="102"/>
      <c r="F190" s="149">
        <f t="shared" ref="F190" si="145">SUM(M190:M195,O190:O195,Q190:Q195,S190:S195,I190:I195,K190:K195)</f>
        <v>0</v>
      </c>
      <c r="G190" s="149">
        <f t="shared" ref="G190" si="146">SUM(M190:M195,O190:O195,Q190:Q195,S190:S195,U190:U195,K190:K195,I190:I195)</f>
        <v>0</v>
      </c>
      <c r="H190" s="99"/>
      <c r="I190" s="7">
        <f t="shared" si="111"/>
        <v>0</v>
      </c>
      <c r="J190" s="99"/>
      <c r="K190" s="7">
        <f t="shared" si="112"/>
        <v>0</v>
      </c>
      <c r="L190" s="99"/>
      <c r="M190" s="7">
        <f t="shared" si="113"/>
        <v>0</v>
      </c>
      <c r="N190" s="99"/>
      <c r="O190" s="7">
        <f t="shared" si="114"/>
        <v>0</v>
      </c>
      <c r="P190" s="99"/>
      <c r="Q190" s="7">
        <f t="shared" si="100"/>
        <v>0</v>
      </c>
      <c r="R190" s="99"/>
      <c r="S190" s="7">
        <f t="shared" si="101"/>
        <v>0</v>
      </c>
      <c r="T190" s="99"/>
      <c r="U190" s="7">
        <f t="shared" si="102"/>
        <v>0</v>
      </c>
      <c r="V190" s="8">
        <f t="shared" si="115"/>
        <v>0</v>
      </c>
      <c r="W190" s="135" t="str">
        <f t="shared" si="103"/>
        <v/>
      </c>
      <c r="X190" s="135" t="str">
        <f t="shared" si="104"/>
        <v/>
      </c>
      <c r="Y190" s="135" t="str">
        <f t="shared" si="105"/>
        <v/>
      </c>
      <c r="Z190" s="135" t="str">
        <f t="shared" si="106"/>
        <v/>
      </c>
      <c r="AA190" s="152" t="e">
        <f>AVERAGE(W190:W195)</f>
        <v>#DIV/0!</v>
      </c>
      <c r="AB190" s="152">
        <f t="shared" ref="AB190" si="147">SUM(V190:V195)</f>
        <v>0</v>
      </c>
      <c r="AC190" s="179"/>
      <c r="AD190" s="2"/>
      <c r="AE190" s="2"/>
      <c r="AF190" s="2"/>
      <c r="AG190" s="2"/>
      <c r="AH190" s="2"/>
      <c r="AI190" s="2"/>
      <c r="AJ190" s="2"/>
      <c r="AK190" s="2"/>
      <c r="AL190" s="2"/>
      <c r="AM190" s="2"/>
      <c r="AN190" s="2"/>
      <c r="AO190" s="1"/>
      <c r="AP190" s="1"/>
      <c r="AQ190" s="1"/>
      <c r="AR190" s="1"/>
      <c r="AS190" s="1"/>
      <c r="AT190" s="1"/>
      <c r="AU190" s="1"/>
      <c r="AV190" s="1"/>
      <c r="AW190" s="1"/>
      <c r="AX190" s="1"/>
      <c r="AY190" s="1"/>
    </row>
    <row r="191" spans="1:51" ht="17.25" thickBot="1" x14ac:dyDescent="0.35">
      <c r="A191" s="147"/>
      <c r="B191" s="97"/>
      <c r="C191" s="103"/>
      <c r="D191" s="103"/>
      <c r="E191" s="103"/>
      <c r="F191" s="150"/>
      <c r="G191" s="150"/>
      <c r="H191" s="100"/>
      <c r="I191" s="7">
        <f t="shared" si="111"/>
        <v>0</v>
      </c>
      <c r="J191" s="100"/>
      <c r="K191" s="7">
        <f t="shared" si="112"/>
        <v>0</v>
      </c>
      <c r="L191" s="100"/>
      <c r="M191" s="7">
        <f t="shared" si="113"/>
        <v>0</v>
      </c>
      <c r="N191" s="100"/>
      <c r="O191" s="7">
        <f t="shared" si="114"/>
        <v>0</v>
      </c>
      <c r="P191" s="100"/>
      <c r="Q191" s="7">
        <f t="shared" si="100"/>
        <v>0</v>
      </c>
      <c r="R191" s="100"/>
      <c r="S191" s="7">
        <f t="shared" si="101"/>
        <v>0</v>
      </c>
      <c r="T191" s="100"/>
      <c r="U191" s="7">
        <f t="shared" si="102"/>
        <v>0</v>
      </c>
      <c r="V191" s="8">
        <f t="shared" si="115"/>
        <v>0</v>
      </c>
      <c r="W191" s="136" t="str">
        <f t="shared" si="103"/>
        <v/>
      </c>
      <c r="X191" s="136" t="str">
        <f t="shared" si="104"/>
        <v/>
      </c>
      <c r="Y191" s="136" t="str">
        <f t="shared" si="105"/>
        <v/>
      </c>
      <c r="Z191" s="136" t="str">
        <f t="shared" si="106"/>
        <v/>
      </c>
      <c r="AA191" s="152"/>
      <c r="AB191" s="152"/>
      <c r="AC191" s="180"/>
      <c r="AD191" s="2"/>
      <c r="AE191" s="2"/>
      <c r="AF191" s="2"/>
      <c r="AG191" s="2"/>
      <c r="AH191" s="2"/>
      <c r="AI191" s="2"/>
      <c r="AJ191" s="2"/>
      <c r="AK191" s="2"/>
      <c r="AL191" s="2"/>
      <c r="AM191" s="2"/>
      <c r="AN191" s="2"/>
      <c r="AO191" s="1"/>
      <c r="AP191" s="1"/>
      <c r="AQ191" s="1"/>
      <c r="AR191" s="1"/>
      <c r="AS191" s="1"/>
      <c r="AT191" s="1"/>
      <c r="AU191" s="1"/>
      <c r="AV191" s="1"/>
      <c r="AW191" s="1"/>
      <c r="AX191" s="1"/>
      <c r="AY191" s="1"/>
    </row>
    <row r="192" spans="1:51" ht="17.25" thickBot="1" x14ac:dyDescent="0.35">
      <c r="A192" s="147"/>
      <c r="B192" s="97"/>
      <c r="C192" s="103"/>
      <c r="D192" s="103"/>
      <c r="E192" s="103"/>
      <c r="F192" s="150"/>
      <c r="G192" s="150"/>
      <c r="H192" s="100"/>
      <c r="I192" s="7">
        <f t="shared" si="111"/>
        <v>0</v>
      </c>
      <c r="J192" s="100"/>
      <c r="K192" s="7">
        <f t="shared" si="112"/>
        <v>0</v>
      </c>
      <c r="L192" s="100"/>
      <c r="M192" s="7">
        <f t="shared" si="113"/>
        <v>0</v>
      </c>
      <c r="N192" s="100"/>
      <c r="O192" s="7">
        <f t="shared" si="114"/>
        <v>0</v>
      </c>
      <c r="P192" s="100"/>
      <c r="Q192" s="7">
        <f t="shared" si="100"/>
        <v>0</v>
      </c>
      <c r="R192" s="100"/>
      <c r="S192" s="7">
        <f t="shared" si="101"/>
        <v>0</v>
      </c>
      <c r="T192" s="100"/>
      <c r="U192" s="7">
        <f t="shared" si="102"/>
        <v>0</v>
      </c>
      <c r="V192" s="8">
        <f t="shared" si="115"/>
        <v>0</v>
      </c>
      <c r="W192" s="136" t="str">
        <f t="shared" si="103"/>
        <v/>
      </c>
      <c r="X192" s="136" t="str">
        <f t="shared" si="104"/>
        <v/>
      </c>
      <c r="Y192" s="136" t="str">
        <f t="shared" si="105"/>
        <v/>
      </c>
      <c r="Z192" s="136" t="str">
        <f t="shared" si="106"/>
        <v/>
      </c>
      <c r="AA192" s="152"/>
      <c r="AB192" s="152"/>
      <c r="AC192" s="180"/>
      <c r="AD192" s="2"/>
      <c r="AE192" s="2"/>
      <c r="AF192" s="2"/>
      <c r="AG192" s="2"/>
      <c r="AH192" s="2"/>
      <c r="AI192" s="2"/>
      <c r="AJ192" s="2"/>
      <c r="AK192" s="2"/>
      <c r="AL192" s="2"/>
      <c r="AM192" s="2"/>
      <c r="AN192" s="2"/>
      <c r="AO192" s="1"/>
      <c r="AP192" s="1"/>
      <c r="AQ192" s="1"/>
      <c r="AR192" s="1"/>
      <c r="AS192" s="1"/>
      <c r="AT192" s="1"/>
      <c r="AU192" s="1"/>
      <c r="AV192" s="1"/>
      <c r="AW192" s="1"/>
      <c r="AX192" s="1"/>
      <c r="AY192" s="1"/>
    </row>
    <row r="193" spans="1:51" ht="17.25" thickBot="1" x14ac:dyDescent="0.35">
      <c r="A193" s="147"/>
      <c r="B193" s="97"/>
      <c r="C193" s="103"/>
      <c r="D193" s="103"/>
      <c r="E193" s="103"/>
      <c r="F193" s="150"/>
      <c r="G193" s="150"/>
      <c r="H193" s="100"/>
      <c r="I193" s="7">
        <f t="shared" si="111"/>
        <v>0</v>
      </c>
      <c r="J193" s="100"/>
      <c r="K193" s="7">
        <f t="shared" si="112"/>
        <v>0</v>
      </c>
      <c r="L193" s="100"/>
      <c r="M193" s="7">
        <f t="shared" si="113"/>
        <v>0</v>
      </c>
      <c r="N193" s="100"/>
      <c r="O193" s="7">
        <f t="shared" si="114"/>
        <v>0</v>
      </c>
      <c r="P193" s="100"/>
      <c r="Q193" s="7">
        <f t="shared" si="100"/>
        <v>0</v>
      </c>
      <c r="R193" s="100"/>
      <c r="S193" s="7">
        <f t="shared" si="101"/>
        <v>0</v>
      </c>
      <c r="T193" s="100"/>
      <c r="U193" s="7">
        <f t="shared" si="102"/>
        <v>0</v>
      </c>
      <c r="V193" s="8">
        <f t="shared" si="115"/>
        <v>0</v>
      </c>
      <c r="W193" s="136" t="str">
        <f t="shared" si="103"/>
        <v/>
      </c>
      <c r="X193" s="136" t="str">
        <f t="shared" si="104"/>
        <v/>
      </c>
      <c r="Y193" s="136" t="str">
        <f t="shared" si="105"/>
        <v/>
      </c>
      <c r="Z193" s="136" t="str">
        <f t="shared" si="106"/>
        <v/>
      </c>
      <c r="AA193" s="152"/>
      <c r="AB193" s="152"/>
      <c r="AC193" s="180"/>
      <c r="AD193" s="2"/>
      <c r="AE193" s="2"/>
      <c r="AF193" s="2"/>
      <c r="AG193" s="2"/>
      <c r="AH193" s="2"/>
      <c r="AI193" s="2"/>
      <c r="AJ193" s="2"/>
      <c r="AK193" s="2"/>
      <c r="AL193" s="2"/>
      <c r="AM193" s="2"/>
      <c r="AN193" s="2"/>
      <c r="AO193" s="1"/>
      <c r="AP193" s="1"/>
      <c r="AQ193" s="1"/>
      <c r="AR193" s="1"/>
      <c r="AS193" s="1"/>
      <c r="AT193" s="1"/>
      <c r="AU193" s="1"/>
      <c r="AV193" s="1"/>
      <c r="AW193" s="1"/>
      <c r="AX193" s="1"/>
      <c r="AY193" s="1"/>
    </row>
    <row r="194" spans="1:51" ht="17.25" thickBot="1" x14ac:dyDescent="0.35">
      <c r="A194" s="147"/>
      <c r="B194" s="97"/>
      <c r="C194" s="103"/>
      <c r="D194" s="103"/>
      <c r="E194" s="103"/>
      <c r="F194" s="150"/>
      <c r="G194" s="150"/>
      <c r="H194" s="100"/>
      <c r="I194" s="7">
        <f t="shared" si="111"/>
        <v>0</v>
      </c>
      <c r="J194" s="100"/>
      <c r="K194" s="7">
        <f t="shared" si="112"/>
        <v>0</v>
      </c>
      <c r="L194" s="100"/>
      <c r="M194" s="7">
        <f t="shared" si="113"/>
        <v>0</v>
      </c>
      <c r="N194" s="100"/>
      <c r="O194" s="7">
        <f t="shared" si="114"/>
        <v>0</v>
      </c>
      <c r="P194" s="100"/>
      <c r="Q194" s="7">
        <f t="shared" si="100"/>
        <v>0</v>
      </c>
      <c r="R194" s="100"/>
      <c r="S194" s="7">
        <f t="shared" si="101"/>
        <v>0</v>
      </c>
      <c r="T194" s="100"/>
      <c r="U194" s="7">
        <f t="shared" si="102"/>
        <v>0</v>
      </c>
      <c r="V194" s="8">
        <f t="shared" si="115"/>
        <v>0</v>
      </c>
      <c r="W194" s="136" t="str">
        <f t="shared" si="103"/>
        <v/>
      </c>
      <c r="X194" s="136" t="str">
        <f t="shared" si="104"/>
        <v/>
      </c>
      <c r="Y194" s="136" t="str">
        <f t="shared" si="105"/>
        <v/>
      </c>
      <c r="Z194" s="136" t="str">
        <f t="shared" si="106"/>
        <v/>
      </c>
      <c r="AA194" s="152"/>
      <c r="AB194" s="152"/>
      <c r="AC194" s="180"/>
      <c r="AD194" s="2"/>
      <c r="AE194" s="2"/>
      <c r="AF194" s="2"/>
      <c r="AG194" s="2"/>
      <c r="AH194" s="2"/>
      <c r="AI194" s="2"/>
      <c r="AJ194" s="2"/>
      <c r="AK194" s="2"/>
      <c r="AL194" s="2"/>
      <c r="AM194" s="2"/>
      <c r="AN194" s="2"/>
      <c r="AO194" s="1"/>
      <c r="AP194" s="1"/>
      <c r="AQ194" s="1"/>
      <c r="AR194" s="1"/>
      <c r="AS194" s="1"/>
      <c r="AT194" s="1"/>
      <c r="AU194" s="1"/>
      <c r="AV194" s="1"/>
      <c r="AW194" s="1"/>
      <c r="AX194" s="1"/>
      <c r="AY194" s="1"/>
    </row>
    <row r="195" spans="1:51" ht="17.25" thickBot="1" x14ac:dyDescent="0.35">
      <c r="A195" s="147"/>
      <c r="B195" s="98"/>
      <c r="C195" s="104"/>
      <c r="D195" s="104"/>
      <c r="E195" s="104"/>
      <c r="F195" s="151"/>
      <c r="G195" s="151"/>
      <c r="H195" s="101"/>
      <c r="I195" s="7">
        <f t="shared" si="111"/>
        <v>0</v>
      </c>
      <c r="J195" s="101"/>
      <c r="K195" s="7">
        <f t="shared" si="112"/>
        <v>0</v>
      </c>
      <c r="L195" s="101"/>
      <c r="M195" s="7">
        <f t="shared" si="113"/>
        <v>0</v>
      </c>
      <c r="N195" s="101"/>
      <c r="O195" s="7">
        <f t="shared" si="114"/>
        <v>0</v>
      </c>
      <c r="P195" s="101"/>
      <c r="Q195" s="7">
        <f t="shared" si="100"/>
        <v>0</v>
      </c>
      <c r="R195" s="101"/>
      <c r="S195" s="7">
        <f t="shared" si="101"/>
        <v>0</v>
      </c>
      <c r="T195" s="101"/>
      <c r="U195" s="7">
        <f t="shared" si="102"/>
        <v>0</v>
      </c>
      <c r="V195" s="8">
        <f t="shared" si="115"/>
        <v>0</v>
      </c>
      <c r="W195" s="137" t="str">
        <f t="shared" si="103"/>
        <v/>
      </c>
      <c r="X195" s="137" t="str">
        <f t="shared" si="104"/>
        <v/>
      </c>
      <c r="Y195" s="137" t="str">
        <f t="shared" si="105"/>
        <v/>
      </c>
      <c r="Z195" s="137" t="str">
        <f t="shared" si="106"/>
        <v/>
      </c>
      <c r="AA195" s="152"/>
      <c r="AB195" s="152"/>
      <c r="AC195" s="181"/>
      <c r="AD195" s="2"/>
      <c r="AE195" s="2"/>
      <c r="AF195" s="2"/>
      <c r="AG195" s="2"/>
      <c r="AH195" s="2"/>
      <c r="AI195" s="2"/>
      <c r="AJ195" s="2"/>
      <c r="AK195" s="2"/>
      <c r="AL195" s="2"/>
      <c r="AM195" s="2"/>
      <c r="AN195" s="2"/>
      <c r="AO195" s="1"/>
      <c r="AP195" s="1"/>
      <c r="AQ195" s="1"/>
      <c r="AR195" s="1"/>
      <c r="AS195" s="1"/>
      <c r="AT195" s="1"/>
      <c r="AU195" s="1"/>
      <c r="AV195" s="1"/>
      <c r="AW195" s="1"/>
      <c r="AX195" s="1"/>
      <c r="AY195" s="1"/>
    </row>
    <row r="196" spans="1:51" ht="17.25" thickBot="1" x14ac:dyDescent="0.35">
      <c r="A196" s="146">
        <v>45</v>
      </c>
      <c r="B196" s="105"/>
      <c r="C196" s="102"/>
      <c r="D196" s="102"/>
      <c r="E196" s="102"/>
      <c r="F196" s="149">
        <f t="shared" ref="F196" si="148">SUM(M196:M201,O196:O201,Q196:Q201,S196:S201,I196:I201,K196:K201)</f>
        <v>0</v>
      </c>
      <c r="G196" s="149">
        <f t="shared" ref="G196" si="149">SUM(M196:M201,O196:O201,Q196:Q201,S196:S201,U196:U201,K196:K201,I196:I201)</f>
        <v>0</v>
      </c>
      <c r="H196" s="99"/>
      <c r="I196" s="40">
        <f t="shared" si="111"/>
        <v>0</v>
      </c>
      <c r="J196" s="99"/>
      <c r="K196" s="40">
        <f t="shared" si="112"/>
        <v>0</v>
      </c>
      <c r="L196" s="99"/>
      <c r="M196" s="40">
        <f t="shared" si="113"/>
        <v>0</v>
      </c>
      <c r="N196" s="99"/>
      <c r="O196" s="40">
        <f t="shared" si="114"/>
        <v>0</v>
      </c>
      <c r="P196" s="99"/>
      <c r="Q196" s="40">
        <f t="shared" ref="Q196:Q231" si="150">P196*P$3</f>
        <v>0</v>
      </c>
      <c r="R196" s="99"/>
      <c r="S196" s="40">
        <f t="shared" ref="S196:S231" si="151">R196*R$3</f>
        <v>0</v>
      </c>
      <c r="T196" s="99"/>
      <c r="U196" s="40">
        <f t="shared" ref="U196:U231" si="152">T196*T$3</f>
        <v>0</v>
      </c>
      <c r="V196" s="34">
        <f t="shared" si="115"/>
        <v>0</v>
      </c>
      <c r="W196" s="135" t="str">
        <f t="shared" si="103"/>
        <v/>
      </c>
      <c r="X196" s="135" t="str">
        <f t="shared" si="104"/>
        <v/>
      </c>
      <c r="Y196" s="135" t="str">
        <f t="shared" si="105"/>
        <v/>
      </c>
      <c r="Z196" s="135" t="str">
        <f t="shared" si="106"/>
        <v/>
      </c>
      <c r="AA196" s="152" t="e">
        <f t="shared" ref="AA196" si="153">AVERAGE(W196:W201)</f>
        <v>#DIV/0!</v>
      </c>
      <c r="AB196" s="152">
        <f t="shared" ref="AB196" si="154">SUM(V196:V201)</f>
        <v>0</v>
      </c>
      <c r="AC196" s="179"/>
      <c r="AD196" s="2"/>
      <c r="AE196" s="2"/>
      <c r="AF196" s="2"/>
      <c r="AG196" s="2"/>
      <c r="AH196" s="2"/>
      <c r="AI196" s="2"/>
      <c r="AJ196" s="2"/>
      <c r="AK196" s="2"/>
      <c r="AL196" s="2"/>
      <c r="AM196" s="2"/>
      <c r="AN196" s="2"/>
      <c r="AO196" s="1"/>
      <c r="AP196" s="1"/>
      <c r="AQ196" s="1"/>
      <c r="AR196" s="1"/>
      <c r="AS196" s="1"/>
      <c r="AT196" s="1"/>
      <c r="AU196" s="1"/>
      <c r="AV196" s="1"/>
      <c r="AW196" s="1"/>
      <c r="AX196" s="1"/>
      <c r="AY196" s="1"/>
    </row>
    <row r="197" spans="1:51" ht="17.25" thickBot="1" x14ac:dyDescent="0.35">
      <c r="A197" s="147"/>
      <c r="B197" s="97"/>
      <c r="C197" s="103"/>
      <c r="D197" s="103"/>
      <c r="E197" s="103"/>
      <c r="F197" s="150"/>
      <c r="G197" s="150"/>
      <c r="H197" s="100"/>
      <c r="I197" s="7">
        <f t="shared" si="111"/>
        <v>0</v>
      </c>
      <c r="J197" s="100"/>
      <c r="K197" s="7">
        <f t="shared" si="112"/>
        <v>0</v>
      </c>
      <c r="L197" s="100"/>
      <c r="M197" s="7">
        <f t="shared" si="113"/>
        <v>0</v>
      </c>
      <c r="N197" s="100"/>
      <c r="O197" s="7">
        <f t="shared" si="114"/>
        <v>0</v>
      </c>
      <c r="P197" s="100"/>
      <c r="Q197" s="7">
        <f t="shared" si="150"/>
        <v>0</v>
      </c>
      <c r="R197" s="100"/>
      <c r="S197" s="7">
        <f t="shared" si="151"/>
        <v>0</v>
      </c>
      <c r="T197" s="100"/>
      <c r="U197" s="7">
        <f t="shared" si="152"/>
        <v>0</v>
      </c>
      <c r="V197" s="8">
        <f t="shared" si="115"/>
        <v>0</v>
      </c>
      <c r="W197" s="136" t="str">
        <f t="shared" ref="W197:W231" si="155">IF(C197+D197+E197=0,"",(M197+O197+Q197+S197+U197+I197+K197)/(C197+D197+E197))</f>
        <v/>
      </c>
      <c r="X197" s="136" t="str">
        <f t="shared" ref="X197:X231" si="156">IF(C197=0,"",(S197+U197+I197)/C197)</f>
        <v/>
      </c>
      <c r="Y197" s="136" t="str">
        <f t="shared" ref="Y197:Y231" si="157">IF(D197=0,"",(K197+M197+O197)/D197)</f>
        <v/>
      </c>
      <c r="Z197" s="136" t="str">
        <f t="shared" ref="Z197:Z231" si="158">IF(E197=0,"",Q197/E197)</f>
        <v/>
      </c>
      <c r="AA197" s="152"/>
      <c r="AB197" s="152"/>
      <c r="AC197" s="180"/>
      <c r="AD197" s="2"/>
      <c r="AE197" s="2"/>
      <c r="AF197" s="2"/>
      <c r="AG197" s="2"/>
      <c r="AH197" s="2"/>
      <c r="AI197" s="2"/>
      <c r="AJ197" s="2"/>
      <c r="AK197" s="2"/>
      <c r="AL197" s="2"/>
      <c r="AM197" s="2"/>
      <c r="AN197" s="2"/>
      <c r="AO197" s="1"/>
      <c r="AP197" s="1"/>
      <c r="AQ197" s="1"/>
      <c r="AR197" s="1"/>
      <c r="AS197" s="1"/>
      <c r="AT197" s="1"/>
      <c r="AU197" s="1"/>
      <c r="AV197" s="1"/>
      <c r="AW197" s="1"/>
      <c r="AX197" s="1"/>
      <c r="AY197" s="1"/>
    </row>
    <row r="198" spans="1:51" ht="17.25" thickBot="1" x14ac:dyDescent="0.35">
      <c r="A198" s="147"/>
      <c r="B198" s="97"/>
      <c r="C198" s="103"/>
      <c r="D198" s="103"/>
      <c r="E198" s="103"/>
      <c r="F198" s="150"/>
      <c r="G198" s="150"/>
      <c r="H198" s="100"/>
      <c r="I198" s="7">
        <f t="shared" si="111"/>
        <v>0</v>
      </c>
      <c r="J198" s="100"/>
      <c r="K198" s="7">
        <f t="shared" si="112"/>
        <v>0</v>
      </c>
      <c r="L198" s="100"/>
      <c r="M198" s="7">
        <f t="shared" si="113"/>
        <v>0</v>
      </c>
      <c r="N198" s="100"/>
      <c r="O198" s="7">
        <f t="shared" si="114"/>
        <v>0</v>
      </c>
      <c r="P198" s="100"/>
      <c r="Q198" s="7">
        <f t="shared" si="150"/>
        <v>0</v>
      </c>
      <c r="R198" s="100"/>
      <c r="S198" s="7">
        <f t="shared" si="151"/>
        <v>0</v>
      </c>
      <c r="T198" s="100"/>
      <c r="U198" s="7">
        <f t="shared" si="152"/>
        <v>0</v>
      </c>
      <c r="V198" s="8">
        <f t="shared" si="115"/>
        <v>0</v>
      </c>
      <c r="W198" s="136" t="str">
        <f t="shared" si="155"/>
        <v/>
      </c>
      <c r="X198" s="136" t="str">
        <f t="shared" si="156"/>
        <v/>
      </c>
      <c r="Y198" s="136" t="str">
        <f t="shared" si="157"/>
        <v/>
      </c>
      <c r="Z198" s="136" t="str">
        <f t="shared" si="158"/>
        <v/>
      </c>
      <c r="AA198" s="152"/>
      <c r="AB198" s="152"/>
      <c r="AC198" s="180"/>
      <c r="AD198" s="2"/>
      <c r="AE198" s="2"/>
      <c r="AF198" s="2"/>
      <c r="AG198" s="2"/>
      <c r="AH198" s="2"/>
      <c r="AI198" s="2"/>
      <c r="AJ198" s="2"/>
      <c r="AK198" s="2"/>
      <c r="AL198" s="2"/>
      <c r="AM198" s="2"/>
      <c r="AN198" s="2"/>
      <c r="AO198" s="1"/>
      <c r="AP198" s="1"/>
      <c r="AQ198" s="1"/>
      <c r="AR198" s="1"/>
      <c r="AS198" s="1"/>
      <c r="AT198" s="1"/>
      <c r="AU198" s="1"/>
      <c r="AV198" s="1"/>
      <c r="AW198" s="1"/>
      <c r="AX198" s="1"/>
      <c r="AY198" s="1"/>
    </row>
    <row r="199" spans="1:51" ht="17.25" thickBot="1" x14ac:dyDescent="0.35">
      <c r="A199" s="147"/>
      <c r="B199" s="97"/>
      <c r="C199" s="103"/>
      <c r="D199" s="103"/>
      <c r="E199" s="103"/>
      <c r="F199" s="150"/>
      <c r="G199" s="150"/>
      <c r="H199" s="100"/>
      <c r="I199" s="7">
        <f t="shared" si="111"/>
        <v>0</v>
      </c>
      <c r="J199" s="100"/>
      <c r="K199" s="7">
        <f t="shared" si="112"/>
        <v>0</v>
      </c>
      <c r="L199" s="100"/>
      <c r="M199" s="7">
        <f t="shared" si="113"/>
        <v>0</v>
      </c>
      <c r="N199" s="100"/>
      <c r="O199" s="7">
        <f t="shared" si="114"/>
        <v>0</v>
      </c>
      <c r="P199" s="100"/>
      <c r="Q199" s="7">
        <f t="shared" si="150"/>
        <v>0</v>
      </c>
      <c r="R199" s="100"/>
      <c r="S199" s="7">
        <f t="shared" si="151"/>
        <v>0</v>
      </c>
      <c r="T199" s="100"/>
      <c r="U199" s="7">
        <f t="shared" si="152"/>
        <v>0</v>
      </c>
      <c r="V199" s="8">
        <f t="shared" si="115"/>
        <v>0</v>
      </c>
      <c r="W199" s="136" t="str">
        <f t="shared" si="155"/>
        <v/>
      </c>
      <c r="X199" s="136" t="str">
        <f t="shared" si="156"/>
        <v/>
      </c>
      <c r="Y199" s="136" t="str">
        <f t="shared" si="157"/>
        <v/>
      </c>
      <c r="Z199" s="136" t="str">
        <f t="shared" si="158"/>
        <v/>
      </c>
      <c r="AA199" s="152"/>
      <c r="AB199" s="152"/>
      <c r="AC199" s="180"/>
      <c r="AD199" s="2"/>
      <c r="AE199" s="2"/>
      <c r="AF199" s="2"/>
      <c r="AG199" s="2"/>
      <c r="AH199" s="2"/>
      <c r="AI199" s="2"/>
      <c r="AJ199" s="2"/>
      <c r="AK199" s="2"/>
      <c r="AL199" s="2"/>
      <c r="AM199" s="2"/>
      <c r="AN199" s="2"/>
      <c r="AO199" s="1"/>
      <c r="AP199" s="1"/>
      <c r="AQ199" s="1"/>
      <c r="AR199" s="1"/>
      <c r="AS199" s="1"/>
      <c r="AT199" s="1"/>
      <c r="AU199" s="1"/>
      <c r="AV199" s="1"/>
      <c r="AW199" s="1"/>
      <c r="AX199" s="1"/>
      <c r="AY199" s="1"/>
    </row>
    <row r="200" spans="1:51" ht="17.25" thickBot="1" x14ac:dyDescent="0.35">
      <c r="A200" s="147"/>
      <c r="B200" s="97"/>
      <c r="C200" s="103"/>
      <c r="D200" s="103"/>
      <c r="E200" s="103"/>
      <c r="F200" s="150"/>
      <c r="G200" s="150"/>
      <c r="H200" s="100"/>
      <c r="I200" s="7">
        <f t="shared" si="111"/>
        <v>0</v>
      </c>
      <c r="J200" s="100"/>
      <c r="K200" s="7">
        <f t="shared" si="112"/>
        <v>0</v>
      </c>
      <c r="L200" s="100"/>
      <c r="M200" s="7">
        <f t="shared" si="113"/>
        <v>0</v>
      </c>
      <c r="N200" s="100"/>
      <c r="O200" s="7">
        <f t="shared" si="114"/>
        <v>0</v>
      </c>
      <c r="P200" s="100"/>
      <c r="Q200" s="7">
        <f t="shared" si="150"/>
        <v>0</v>
      </c>
      <c r="R200" s="100"/>
      <c r="S200" s="7">
        <f t="shared" si="151"/>
        <v>0</v>
      </c>
      <c r="T200" s="100"/>
      <c r="U200" s="7">
        <f t="shared" si="152"/>
        <v>0</v>
      </c>
      <c r="V200" s="8">
        <f t="shared" si="115"/>
        <v>0</v>
      </c>
      <c r="W200" s="136" t="str">
        <f t="shared" si="155"/>
        <v/>
      </c>
      <c r="X200" s="136" t="str">
        <f t="shared" si="156"/>
        <v/>
      </c>
      <c r="Y200" s="136" t="str">
        <f t="shared" si="157"/>
        <v/>
      </c>
      <c r="Z200" s="136" t="str">
        <f t="shared" si="158"/>
        <v/>
      </c>
      <c r="AA200" s="152"/>
      <c r="AB200" s="152"/>
      <c r="AC200" s="180"/>
      <c r="AD200" s="2"/>
      <c r="AE200" s="2"/>
      <c r="AF200" s="2"/>
      <c r="AG200" s="2"/>
      <c r="AH200" s="2"/>
      <c r="AI200" s="2"/>
      <c r="AJ200" s="2"/>
      <c r="AK200" s="2"/>
      <c r="AL200" s="2"/>
      <c r="AM200" s="2"/>
      <c r="AN200" s="2"/>
      <c r="AO200" s="1"/>
      <c r="AP200" s="1"/>
      <c r="AQ200" s="1"/>
      <c r="AR200" s="1"/>
      <c r="AS200" s="1"/>
      <c r="AT200" s="1"/>
      <c r="AU200" s="1"/>
      <c r="AV200" s="1"/>
      <c r="AW200" s="1"/>
      <c r="AX200" s="1"/>
      <c r="AY200" s="1"/>
    </row>
    <row r="201" spans="1:51" ht="17.25" thickBot="1" x14ac:dyDescent="0.35">
      <c r="A201" s="148"/>
      <c r="B201" s="98"/>
      <c r="C201" s="104"/>
      <c r="D201" s="104"/>
      <c r="E201" s="104"/>
      <c r="F201" s="151"/>
      <c r="G201" s="151"/>
      <c r="H201" s="101"/>
      <c r="I201" s="39">
        <f t="shared" si="111"/>
        <v>0</v>
      </c>
      <c r="J201" s="101"/>
      <c r="K201" s="39">
        <f t="shared" si="112"/>
        <v>0</v>
      </c>
      <c r="L201" s="101"/>
      <c r="M201" s="39">
        <f t="shared" si="113"/>
        <v>0</v>
      </c>
      <c r="N201" s="101"/>
      <c r="O201" s="39">
        <f t="shared" si="114"/>
        <v>0</v>
      </c>
      <c r="P201" s="101"/>
      <c r="Q201" s="39">
        <f t="shared" si="150"/>
        <v>0</v>
      </c>
      <c r="R201" s="101"/>
      <c r="S201" s="39">
        <f t="shared" si="151"/>
        <v>0</v>
      </c>
      <c r="T201" s="101"/>
      <c r="U201" s="39">
        <f t="shared" si="152"/>
        <v>0</v>
      </c>
      <c r="V201" s="36">
        <f t="shared" si="115"/>
        <v>0</v>
      </c>
      <c r="W201" s="137" t="str">
        <f t="shared" si="155"/>
        <v/>
      </c>
      <c r="X201" s="137" t="str">
        <f t="shared" si="156"/>
        <v/>
      </c>
      <c r="Y201" s="137" t="str">
        <f t="shared" si="157"/>
        <v/>
      </c>
      <c r="Z201" s="137" t="str">
        <f t="shared" si="158"/>
        <v/>
      </c>
      <c r="AA201" s="152"/>
      <c r="AB201" s="152"/>
      <c r="AC201" s="181"/>
      <c r="AD201" s="2"/>
      <c r="AE201" s="2"/>
      <c r="AF201" s="2"/>
      <c r="AG201" s="2"/>
      <c r="AH201" s="2"/>
      <c r="AI201" s="2"/>
      <c r="AJ201" s="2"/>
      <c r="AK201" s="2"/>
      <c r="AL201" s="2"/>
      <c r="AM201" s="2"/>
      <c r="AN201" s="2"/>
      <c r="AO201" s="1"/>
      <c r="AP201" s="1"/>
      <c r="AQ201" s="1"/>
      <c r="AR201" s="1"/>
      <c r="AS201" s="1"/>
      <c r="AT201" s="1"/>
      <c r="AU201" s="1"/>
      <c r="AV201" s="1"/>
      <c r="AW201" s="1"/>
      <c r="AX201" s="1"/>
      <c r="AY201" s="1"/>
    </row>
    <row r="202" spans="1:51" ht="17.25" thickBot="1" x14ac:dyDescent="0.35">
      <c r="A202" s="146">
        <v>46</v>
      </c>
      <c r="B202" s="105"/>
      <c r="C202" s="102"/>
      <c r="D202" s="102"/>
      <c r="E202" s="102"/>
      <c r="F202" s="149">
        <f t="shared" ref="F202" si="159">SUM(M202:M207,O202:O207,Q202:Q207,S202:S207,I202:I207,K202:K207)</f>
        <v>0</v>
      </c>
      <c r="G202" s="149">
        <f t="shared" ref="G202" si="160">SUM(M202:M207,O202:O207,Q202:Q207,S202:S207,U202:U207,K202:K207,I202:I207)</f>
        <v>0</v>
      </c>
      <c r="H202" s="99"/>
      <c r="I202" s="40">
        <f t="shared" si="111"/>
        <v>0</v>
      </c>
      <c r="J202" s="99"/>
      <c r="K202" s="40">
        <f t="shared" si="112"/>
        <v>0</v>
      </c>
      <c r="L202" s="99"/>
      <c r="M202" s="40">
        <f t="shared" si="113"/>
        <v>0</v>
      </c>
      <c r="N202" s="99"/>
      <c r="O202" s="40">
        <f t="shared" si="114"/>
        <v>0</v>
      </c>
      <c r="P202" s="99"/>
      <c r="Q202" s="40">
        <f t="shared" si="150"/>
        <v>0</v>
      </c>
      <c r="R202" s="99"/>
      <c r="S202" s="40">
        <f t="shared" si="151"/>
        <v>0</v>
      </c>
      <c r="T202" s="99"/>
      <c r="U202" s="40">
        <f t="shared" si="152"/>
        <v>0</v>
      </c>
      <c r="V202" s="34">
        <f t="shared" si="115"/>
        <v>0</v>
      </c>
      <c r="W202" s="135" t="str">
        <f t="shared" si="155"/>
        <v/>
      </c>
      <c r="X202" s="135" t="str">
        <f t="shared" si="156"/>
        <v/>
      </c>
      <c r="Y202" s="135" t="str">
        <f t="shared" si="157"/>
        <v/>
      </c>
      <c r="Z202" s="135" t="str">
        <f t="shared" si="158"/>
        <v/>
      </c>
      <c r="AA202" s="152" t="e">
        <f t="shared" ref="AA202" si="161">AVERAGE(W202:W207)</f>
        <v>#DIV/0!</v>
      </c>
      <c r="AB202" s="152">
        <f t="shared" ref="AB202" si="162">SUM(V202:V207)</f>
        <v>0</v>
      </c>
      <c r="AC202" s="179"/>
      <c r="AD202" s="2"/>
      <c r="AE202" s="2"/>
      <c r="AF202" s="2"/>
      <c r="AG202" s="2"/>
      <c r="AH202" s="2"/>
      <c r="AI202" s="2"/>
      <c r="AJ202" s="2"/>
      <c r="AK202" s="2"/>
      <c r="AL202" s="2"/>
      <c r="AM202" s="2"/>
      <c r="AN202" s="2"/>
      <c r="AO202" s="1"/>
      <c r="AP202" s="1"/>
      <c r="AQ202" s="1"/>
      <c r="AR202" s="1"/>
      <c r="AS202" s="1"/>
      <c r="AT202" s="1"/>
      <c r="AU202" s="1"/>
      <c r="AV202" s="1"/>
      <c r="AW202" s="1"/>
      <c r="AX202" s="1"/>
      <c r="AY202" s="1"/>
    </row>
    <row r="203" spans="1:51" ht="17.25" thickBot="1" x14ac:dyDescent="0.35">
      <c r="A203" s="147"/>
      <c r="B203" s="97"/>
      <c r="C203" s="103"/>
      <c r="D203" s="103"/>
      <c r="E203" s="103"/>
      <c r="F203" s="150"/>
      <c r="G203" s="150"/>
      <c r="H203" s="100"/>
      <c r="I203" s="7">
        <f t="shared" ref="I203:I231" si="163">H203*H$3</f>
        <v>0</v>
      </c>
      <c r="J203" s="100"/>
      <c r="K203" s="7">
        <f t="shared" ref="K203:K231" si="164">J203*J$3</f>
        <v>0</v>
      </c>
      <c r="L203" s="100"/>
      <c r="M203" s="7">
        <f t="shared" ref="M203:M231" si="165">L203*L$3</f>
        <v>0</v>
      </c>
      <c r="N203" s="100"/>
      <c r="O203" s="7">
        <f t="shared" ref="O203:O231" si="166">N203*N$3</f>
        <v>0</v>
      </c>
      <c r="P203" s="100"/>
      <c r="Q203" s="7">
        <f t="shared" si="150"/>
        <v>0</v>
      </c>
      <c r="R203" s="100"/>
      <c r="S203" s="7">
        <f t="shared" si="151"/>
        <v>0</v>
      </c>
      <c r="T203" s="100"/>
      <c r="U203" s="7">
        <f t="shared" si="152"/>
        <v>0</v>
      </c>
      <c r="V203" s="8">
        <f t="shared" ref="V203:V231" si="167">(M203+O203+Q203+S203+I203+K203)/H$1</f>
        <v>0</v>
      </c>
      <c r="W203" s="136" t="str">
        <f t="shared" si="155"/>
        <v/>
      </c>
      <c r="X203" s="136" t="str">
        <f t="shared" si="156"/>
        <v/>
      </c>
      <c r="Y203" s="136" t="str">
        <f t="shared" si="157"/>
        <v/>
      </c>
      <c r="Z203" s="136" t="str">
        <f t="shared" si="158"/>
        <v/>
      </c>
      <c r="AA203" s="152"/>
      <c r="AB203" s="152"/>
      <c r="AC203" s="180"/>
      <c r="AD203" s="2"/>
      <c r="AE203" s="2"/>
      <c r="AF203" s="2"/>
      <c r="AG203" s="2"/>
      <c r="AH203" s="2"/>
      <c r="AI203" s="2"/>
      <c r="AJ203" s="2"/>
      <c r="AK203" s="2"/>
      <c r="AL203" s="2"/>
      <c r="AM203" s="2"/>
      <c r="AN203" s="2"/>
      <c r="AO203" s="1"/>
      <c r="AP203" s="1"/>
      <c r="AQ203" s="1"/>
      <c r="AR203" s="1"/>
      <c r="AS203" s="1"/>
      <c r="AT203" s="1"/>
      <c r="AU203" s="1"/>
      <c r="AV203" s="1"/>
      <c r="AW203" s="1"/>
      <c r="AX203" s="1"/>
      <c r="AY203" s="1"/>
    </row>
    <row r="204" spans="1:51" ht="17.25" thickBot="1" x14ac:dyDescent="0.35">
      <c r="A204" s="147"/>
      <c r="B204" s="97"/>
      <c r="C204" s="103"/>
      <c r="D204" s="103"/>
      <c r="E204" s="103"/>
      <c r="F204" s="150"/>
      <c r="G204" s="150"/>
      <c r="H204" s="100"/>
      <c r="I204" s="7">
        <f t="shared" si="163"/>
        <v>0</v>
      </c>
      <c r="J204" s="100"/>
      <c r="K204" s="7">
        <f t="shared" si="164"/>
        <v>0</v>
      </c>
      <c r="L204" s="100"/>
      <c r="M204" s="7">
        <f t="shared" si="165"/>
        <v>0</v>
      </c>
      <c r="N204" s="100"/>
      <c r="O204" s="7">
        <f t="shared" si="166"/>
        <v>0</v>
      </c>
      <c r="P204" s="100"/>
      <c r="Q204" s="7">
        <f t="shared" si="150"/>
        <v>0</v>
      </c>
      <c r="R204" s="100"/>
      <c r="S204" s="7">
        <f t="shared" si="151"/>
        <v>0</v>
      </c>
      <c r="T204" s="100"/>
      <c r="U204" s="7">
        <f t="shared" si="152"/>
        <v>0</v>
      </c>
      <c r="V204" s="8">
        <f t="shared" si="167"/>
        <v>0</v>
      </c>
      <c r="W204" s="136" t="str">
        <f t="shared" si="155"/>
        <v/>
      </c>
      <c r="X204" s="136" t="str">
        <f t="shared" si="156"/>
        <v/>
      </c>
      <c r="Y204" s="136" t="str">
        <f t="shared" si="157"/>
        <v/>
      </c>
      <c r="Z204" s="136" t="str">
        <f t="shared" si="158"/>
        <v/>
      </c>
      <c r="AA204" s="152"/>
      <c r="AB204" s="152"/>
      <c r="AC204" s="180"/>
      <c r="AD204" s="2"/>
      <c r="AE204" s="2"/>
      <c r="AF204" s="2"/>
      <c r="AG204" s="2"/>
      <c r="AH204" s="2"/>
      <c r="AI204" s="2"/>
      <c r="AJ204" s="2"/>
      <c r="AK204" s="2"/>
      <c r="AL204" s="2"/>
      <c r="AM204" s="2"/>
      <c r="AN204" s="2"/>
      <c r="AO204" s="1"/>
      <c r="AP204" s="1"/>
      <c r="AQ204" s="1"/>
      <c r="AR204" s="1"/>
      <c r="AS204" s="1"/>
      <c r="AT204" s="1"/>
      <c r="AU204" s="1"/>
      <c r="AV204" s="1"/>
      <c r="AW204" s="1"/>
      <c r="AX204" s="1"/>
      <c r="AY204" s="1"/>
    </row>
    <row r="205" spans="1:51" ht="17.25" thickBot="1" x14ac:dyDescent="0.35">
      <c r="A205" s="147"/>
      <c r="B205" s="97"/>
      <c r="C205" s="103"/>
      <c r="D205" s="103"/>
      <c r="E205" s="103"/>
      <c r="F205" s="150"/>
      <c r="G205" s="150"/>
      <c r="H205" s="100"/>
      <c r="I205" s="7">
        <f t="shared" si="163"/>
        <v>0</v>
      </c>
      <c r="J205" s="100"/>
      <c r="K205" s="7">
        <f t="shared" si="164"/>
        <v>0</v>
      </c>
      <c r="L205" s="100"/>
      <c r="M205" s="7">
        <f t="shared" si="165"/>
        <v>0</v>
      </c>
      <c r="N205" s="100"/>
      <c r="O205" s="7">
        <f t="shared" si="166"/>
        <v>0</v>
      </c>
      <c r="P205" s="100"/>
      <c r="Q205" s="7">
        <f t="shared" si="150"/>
        <v>0</v>
      </c>
      <c r="R205" s="100"/>
      <c r="S205" s="7">
        <f t="shared" si="151"/>
        <v>0</v>
      </c>
      <c r="T205" s="100"/>
      <c r="U205" s="7">
        <f t="shared" si="152"/>
        <v>0</v>
      </c>
      <c r="V205" s="8">
        <f t="shared" si="167"/>
        <v>0</v>
      </c>
      <c r="W205" s="136" t="str">
        <f t="shared" si="155"/>
        <v/>
      </c>
      <c r="X205" s="136" t="str">
        <f t="shared" si="156"/>
        <v/>
      </c>
      <c r="Y205" s="136" t="str">
        <f t="shared" si="157"/>
        <v/>
      </c>
      <c r="Z205" s="136" t="str">
        <f t="shared" si="158"/>
        <v/>
      </c>
      <c r="AA205" s="152"/>
      <c r="AB205" s="152"/>
      <c r="AC205" s="180"/>
      <c r="AD205" s="2"/>
      <c r="AE205" s="2"/>
      <c r="AF205" s="2"/>
      <c r="AG205" s="2"/>
      <c r="AH205" s="2"/>
      <c r="AI205" s="2"/>
      <c r="AJ205" s="2"/>
      <c r="AK205" s="2"/>
      <c r="AL205" s="2"/>
      <c r="AM205" s="2"/>
      <c r="AN205" s="2"/>
      <c r="AO205" s="1"/>
      <c r="AP205" s="1"/>
      <c r="AQ205" s="1"/>
      <c r="AR205" s="1"/>
      <c r="AS205" s="1"/>
      <c r="AT205" s="1"/>
      <c r="AU205" s="1"/>
      <c r="AV205" s="1"/>
      <c r="AW205" s="1"/>
      <c r="AX205" s="1"/>
      <c r="AY205" s="1"/>
    </row>
    <row r="206" spans="1:51" ht="17.25" thickBot="1" x14ac:dyDescent="0.35">
      <c r="A206" s="147"/>
      <c r="B206" s="97"/>
      <c r="C206" s="103"/>
      <c r="D206" s="103"/>
      <c r="E206" s="103"/>
      <c r="F206" s="150"/>
      <c r="G206" s="150"/>
      <c r="H206" s="100"/>
      <c r="I206" s="7">
        <f t="shared" si="163"/>
        <v>0</v>
      </c>
      <c r="J206" s="100"/>
      <c r="K206" s="7">
        <f t="shared" si="164"/>
        <v>0</v>
      </c>
      <c r="L206" s="100"/>
      <c r="M206" s="7">
        <f t="shared" si="165"/>
        <v>0</v>
      </c>
      <c r="N206" s="100"/>
      <c r="O206" s="7">
        <f t="shared" si="166"/>
        <v>0</v>
      </c>
      <c r="P206" s="100"/>
      <c r="Q206" s="7">
        <f t="shared" si="150"/>
        <v>0</v>
      </c>
      <c r="R206" s="100"/>
      <c r="S206" s="7">
        <f t="shared" si="151"/>
        <v>0</v>
      </c>
      <c r="T206" s="100"/>
      <c r="U206" s="7">
        <f t="shared" si="152"/>
        <v>0</v>
      </c>
      <c r="V206" s="8">
        <f t="shared" si="167"/>
        <v>0</v>
      </c>
      <c r="W206" s="136" t="str">
        <f t="shared" si="155"/>
        <v/>
      </c>
      <c r="X206" s="136" t="str">
        <f t="shared" si="156"/>
        <v/>
      </c>
      <c r="Y206" s="136" t="str">
        <f t="shared" si="157"/>
        <v/>
      </c>
      <c r="Z206" s="136" t="str">
        <f t="shared" si="158"/>
        <v/>
      </c>
      <c r="AA206" s="152"/>
      <c r="AB206" s="152"/>
      <c r="AC206" s="180"/>
      <c r="AD206" s="2"/>
      <c r="AE206" s="2"/>
      <c r="AF206" s="2"/>
      <c r="AG206" s="2"/>
      <c r="AH206" s="2"/>
      <c r="AI206" s="2"/>
      <c r="AJ206" s="2"/>
      <c r="AK206" s="2"/>
      <c r="AL206" s="2"/>
      <c r="AM206" s="2"/>
      <c r="AN206" s="2"/>
      <c r="AO206" s="1"/>
      <c r="AP206" s="1"/>
      <c r="AQ206" s="1"/>
      <c r="AR206" s="1"/>
      <c r="AS206" s="1"/>
      <c r="AT206" s="1"/>
      <c r="AU206" s="1"/>
      <c r="AV206" s="1"/>
      <c r="AW206" s="1"/>
      <c r="AX206" s="1"/>
      <c r="AY206" s="1"/>
    </row>
    <row r="207" spans="1:51" ht="17.25" thickBot="1" x14ac:dyDescent="0.35">
      <c r="A207" s="148"/>
      <c r="B207" s="98"/>
      <c r="C207" s="104"/>
      <c r="D207" s="104"/>
      <c r="E207" s="104"/>
      <c r="F207" s="151"/>
      <c r="G207" s="151"/>
      <c r="H207" s="101"/>
      <c r="I207" s="39">
        <f t="shared" si="163"/>
        <v>0</v>
      </c>
      <c r="J207" s="101"/>
      <c r="K207" s="39">
        <f t="shared" si="164"/>
        <v>0</v>
      </c>
      <c r="L207" s="101"/>
      <c r="M207" s="39">
        <f t="shared" si="165"/>
        <v>0</v>
      </c>
      <c r="N207" s="101"/>
      <c r="O207" s="39">
        <f t="shared" si="166"/>
        <v>0</v>
      </c>
      <c r="P207" s="101"/>
      <c r="Q207" s="39">
        <f t="shared" si="150"/>
        <v>0</v>
      </c>
      <c r="R207" s="101"/>
      <c r="S207" s="39">
        <f t="shared" si="151"/>
        <v>0</v>
      </c>
      <c r="T207" s="101"/>
      <c r="U207" s="39">
        <f t="shared" si="152"/>
        <v>0</v>
      </c>
      <c r="V207" s="36">
        <f t="shared" si="167"/>
        <v>0</v>
      </c>
      <c r="W207" s="137" t="str">
        <f t="shared" si="155"/>
        <v/>
      </c>
      <c r="X207" s="137" t="str">
        <f t="shared" si="156"/>
        <v/>
      </c>
      <c r="Y207" s="137" t="str">
        <f t="shared" si="157"/>
        <v/>
      </c>
      <c r="Z207" s="137" t="str">
        <f t="shared" si="158"/>
        <v/>
      </c>
      <c r="AA207" s="152"/>
      <c r="AB207" s="152"/>
      <c r="AC207" s="181"/>
      <c r="AD207" s="2"/>
      <c r="AE207" s="2"/>
      <c r="AF207" s="2"/>
      <c r="AG207" s="2"/>
      <c r="AH207" s="2"/>
      <c r="AI207" s="2"/>
      <c r="AJ207" s="2"/>
      <c r="AK207" s="2"/>
      <c r="AL207" s="2"/>
      <c r="AM207" s="2"/>
      <c r="AN207" s="2"/>
      <c r="AO207" s="1"/>
      <c r="AP207" s="1"/>
      <c r="AQ207" s="1"/>
      <c r="AR207" s="1"/>
      <c r="AS207" s="1"/>
      <c r="AT207" s="1"/>
      <c r="AU207" s="1"/>
      <c r="AV207" s="1"/>
      <c r="AW207" s="1"/>
      <c r="AX207" s="1"/>
      <c r="AY207" s="1"/>
    </row>
    <row r="208" spans="1:51" ht="17.25" thickBot="1" x14ac:dyDescent="0.35">
      <c r="A208" s="147">
        <v>47</v>
      </c>
      <c r="B208" s="105"/>
      <c r="C208" s="102"/>
      <c r="D208" s="102"/>
      <c r="E208" s="102"/>
      <c r="F208" s="149">
        <f t="shared" ref="F208" si="168">SUM(M208:M213,O208:O213,Q208:Q213,S208:S213,I208:I213,K208:K213)</f>
        <v>0</v>
      </c>
      <c r="G208" s="149">
        <f t="shared" ref="G208" si="169">SUM(M208:M213,O208:O213,Q208:Q213,S208:S213,U208:U213,K208:K213,I208:I213)</f>
        <v>0</v>
      </c>
      <c r="H208" s="99"/>
      <c r="I208" s="7">
        <f t="shared" si="163"/>
        <v>0</v>
      </c>
      <c r="J208" s="99"/>
      <c r="K208" s="7">
        <f t="shared" si="164"/>
        <v>0</v>
      </c>
      <c r="L208" s="99"/>
      <c r="M208" s="7">
        <f t="shared" si="165"/>
        <v>0</v>
      </c>
      <c r="N208" s="99"/>
      <c r="O208" s="7">
        <f t="shared" si="166"/>
        <v>0</v>
      </c>
      <c r="P208" s="99"/>
      <c r="Q208" s="7">
        <f t="shared" si="150"/>
        <v>0</v>
      </c>
      <c r="R208" s="99"/>
      <c r="S208" s="7">
        <f t="shared" si="151"/>
        <v>0</v>
      </c>
      <c r="T208" s="99"/>
      <c r="U208" s="7">
        <f t="shared" si="152"/>
        <v>0</v>
      </c>
      <c r="V208" s="8">
        <f t="shared" si="167"/>
        <v>0</v>
      </c>
      <c r="W208" s="135" t="str">
        <f t="shared" si="155"/>
        <v/>
      </c>
      <c r="X208" s="135" t="str">
        <f t="shared" si="156"/>
        <v/>
      </c>
      <c r="Y208" s="135" t="str">
        <f t="shared" si="157"/>
        <v/>
      </c>
      <c r="Z208" s="135" t="str">
        <f t="shared" si="158"/>
        <v/>
      </c>
      <c r="AA208" s="152" t="e">
        <f>AVERAGE(W208:W213)</f>
        <v>#DIV/0!</v>
      </c>
      <c r="AB208" s="152">
        <f t="shared" ref="AB208" si="170">SUM(V208:V213)</f>
        <v>0</v>
      </c>
      <c r="AC208" s="179"/>
      <c r="AD208" s="2"/>
      <c r="AE208" s="2"/>
      <c r="AF208" s="2"/>
      <c r="AG208" s="2"/>
      <c r="AH208" s="2"/>
      <c r="AI208" s="2"/>
      <c r="AJ208" s="2"/>
      <c r="AK208" s="2"/>
      <c r="AL208" s="2"/>
      <c r="AM208" s="2"/>
      <c r="AN208" s="2"/>
      <c r="AO208" s="1"/>
      <c r="AP208" s="1"/>
      <c r="AQ208" s="1"/>
      <c r="AR208" s="1"/>
      <c r="AS208" s="1"/>
      <c r="AT208" s="1"/>
      <c r="AU208" s="1"/>
      <c r="AV208" s="1"/>
      <c r="AW208" s="1"/>
      <c r="AX208" s="1"/>
      <c r="AY208" s="1"/>
    </row>
    <row r="209" spans="1:51" ht="17.25" thickBot="1" x14ac:dyDescent="0.35">
      <c r="A209" s="147"/>
      <c r="B209" s="97"/>
      <c r="C209" s="103"/>
      <c r="D209" s="103"/>
      <c r="E209" s="103"/>
      <c r="F209" s="150"/>
      <c r="G209" s="150"/>
      <c r="H209" s="100"/>
      <c r="I209" s="7">
        <f t="shared" si="163"/>
        <v>0</v>
      </c>
      <c r="J209" s="100"/>
      <c r="K209" s="7">
        <f t="shared" si="164"/>
        <v>0</v>
      </c>
      <c r="L209" s="100"/>
      <c r="M209" s="7">
        <f t="shared" si="165"/>
        <v>0</v>
      </c>
      <c r="N209" s="100"/>
      <c r="O209" s="7">
        <f t="shared" si="166"/>
        <v>0</v>
      </c>
      <c r="P209" s="100"/>
      <c r="Q209" s="7">
        <f t="shared" si="150"/>
        <v>0</v>
      </c>
      <c r="R209" s="100"/>
      <c r="S209" s="7">
        <f t="shared" si="151"/>
        <v>0</v>
      </c>
      <c r="T209" s="100"/>
      <c r="U209" s="7">
        <f t="shared" si="152"/>
        <v>0</v>
      </c>
      <c r="V209" s="8">
        <f t="shared" si="167"/>
        <v>0</v>
      </c>
      <c r="W209" s="136" t="str">
        <f t="shared" si="155"/>
        <v/>
      </c>
      <c r="X209" s="136" t="str">
        <f t="shared" si="156"/>
        <v/>
      </c>
      <c r="Y209" s="136" t="str">
        <f t="shared" si="157"/>
        <v/>
      </c>
      <c r="Z209" s="136" t="str">
        <f t="shared" si="158"/>
        <v/>
      </c>
      <c r="AA209" s="152"/>
      <c r="AB209" s="152"/>
      <c r="AC209" s="180"/>
      <c r="AD209" s="2"/>
      <c r="AE209" s="2"/>
      <c r="AF209" s="2"/>
      <c r="AG209" s="2"/>
      <c r="AH209" s="2"/>
      <c r="AI209" s="2"/>
      <c r="AJ209" s="2"/>
      <c r="AK209" s="2"/>
      <c r="AL209" s="2"/>
      <c r="AM209" s="2"/>
      <c r="AN209" s="2"/>
      <c r="AO209" s="1"/>
      <c r="AP209" s="1"/>
      <c r="AQ209" s="1"/>
      <c r="AR209" s="1"/>
      <c r="AS209" s="1"/>
      <c r="AT209" s="1"/>
      <c r="AU209" s="1"/>
      <c r="AV209" s="1"/>
      <c r="AW209" s="1"/>
      <c r="AX209" s="1"/>
      <c r="AY209" s="1"/>
    </row>
    <row r="210" spans="1:51" ht="17.25" thickBot="1" x14ac:dyDescent="0.35">
      <c r="A210" s="147"/>
      <c r="B210" s="97"/>
      <c r="C210" s="103"/>
      <c r="D210" s="103"/>
      <c r="E210" s="103"/>
      <c r="F210" s="150"/>
      <c r="G210" s="150"/>
      <c r="H210" s="100"/>
      <c r="I210" s="7">
        <f t="shared" si="163"/>
        <v>0</v>
      </c>
      <c r="J210" s="100"/>
      <c r="K210" s="7">
        <f t="shared" si="164"/>
        <v>0</v>
      </c>
      <c r="L210" s="100"/>
      <c r="M210" s="7">
        <f t="shared" si="165"/>
        <v>0</v>
      </c>
      <c r="N210" s="100"/>
      <c r="O210" s="7">
        <f t="shared" si="166"/>
        <v>0</v>
      </c>
      <c r="P210" s="100"/>
      <c r="Q210" s="7">
        <f t="shared" si="150"/>
        <v>0</v>
      </c>
      <c r="R210" s="100"/>
      <c r="S210" s="7">
        <f t="shared" si="151"/>
        <v>0</v>
      </c>
      <c r="T210" s="100"/>
      <c r="U210" s="7">
        <f t="shared" si="152"/>
        <v>0</v>
      </c>
      <c r="V210" s="8">
        <f t="shared" si="167"/>
        <v>0</v>
      </c>
      <c r="W210" s="136" t="str">
        <f t="shared" si="155"/>
        <v/>
      </c>
      <c r="X210" s="136" t="str">
        <f t="shared" si="156"/>
        <v/>
      </c>
      <c r="Y210" s="136" t="str">
        <f t="shared" si="157"/>
        <v/>
      </c>
      <c r="Z210" s="136" t="str">
        <f t="shared" si="158"/>
        <v/>
      </c>
      <c r="AA210" s="152"/>
      <c r="AB210" s="152"/>
      <c r="AC210" s="180"/>
      <c r="AD210" s="2"/>
      <c r="AE210" s="2"/>
      <c r="AF210" s="2"/>
      <c r="AG210" s="2"/>
      <c r="AH210" s="2"/>
      <c r="AI210" s="2"/>
      <c r="AJ210" s="2"/>
      <c r="AK210" s="2"/>
      <c r="AL210" s="2"/>
      <c r="AM210" s="2"/>
      <c r="AN210" s="2"/>
      <c r="AO210" s="1"/>
      <c r="AP210" s="1"/>
      <c r="AQ210" s="1"/>
      <c r="AR210" s="1"/>
      <c r="AS210" s="1"/>
      <c r="AT210" s="1"/>
      <c r="AU210" s="1"/>
      <c r="AV210" s="1"/>
      <c r="AW210" s="1"/>
      <c r="AX210" s="1"/>
      <c r="AY210" s="1"/>
    </row>
    <row r="211" spans="1:51" ht="17.25" thickBot="1" x14ac:dyDescent="0.35">
      <c r="A211" s="147"/>
      <c r="B211" s="97"/>
      <c r="C211" s="103"/>
      <c r="D211" s="103"/>
      <c r="E211" s="103"/>
      <c r="F211" s="150"/>
      <c r="G211" s="150"/>
      <c r="H211" s="100"/>
      <c r="I211" s="7">
        <f t="shared" si="163"/>
        <v>0</v>
      </c>
      <c r="J211" s="100"/>
      <c r="K211" s="7">
        <f t="shared" si="164"/>
        <v>0</v>
      </c>
      <c r="L211" s="100"/>
      <c r="M211" s="7">
        <f t="shared" si="165"/>
        <v>0</v>
      </c>
      <c r="N211" s="100"/>
      <c r="O211" s="7">
        <f t="shared" si="166"/>
        <v>0</v>
      </c>
      <c r="P211" s="100"/>
      <c r="Q211" s="7">
        <f t="shared" si="150"/>
        <v>0</v>
      </c>
      <c r="R211" s="100"/>
      <c r="S211" s="7">
        <f t="shared" si="151"/>
        <v>0</v>
      </c>
      <c r="T211" s="100"/>
      <c r="U211" s="7">
        <f t="shared" si="152"/>
        <v>0</v>
      </c>
      <c r="V211" s="8">
        <f t="shared" si="167"/>
        <v>0</v>
      </c>
      <c r="W211" s="136" t="str">
        <f t="shared" si="155"/>
        <v/>
      </c>
      <c r="X211" s="136" t="str">
        <f t="shared" si="156"/>
        <v/>
      </c>
      <c r="Y211" s="136" t="str">
        <f t="shared" si="157"/>
        <v/>
      </c>
      <c r="Z211" s="136" t="str">
        <f t="shared" si="158"/>
        <v/>
      </c>
      <c r="AA211" s="152"/>
      <c r="AB211" s="152"/>
      <c r="AC211" s="180"/>
      <c r="AD211" s="2"/>
      <c r="AE211" s="2"/>
      <c r="AF211" s="2"/>
      <c r="AG211" s="2"/>
      <c r="AH211" s="2"/>
      <c r="AI211" s="2"/>
      <c r="AJ211" s="2"/>
      <c r="AK211" s="2"/>
      <c r="AL211" s="2"/>
      <c r="AM211" s="2"/>
      <c r="AN211" s="2"/>
      <c r="AO211" s="1"/>
      <c r="AP211" s="1"/>
      <c r="AQ211" s="1"/>
      <c r="AR211" s="1"/>
      <c r="AS211" s="1"/>
      <c r="AT211" s="1"/>
      <c r="AU211" s="1"/>
      <c r="AV211" s="1"/>
      <c r="AW211" s="1"/>
      <c r="AX211" s="1"/>
      <c r="AY211" s="1"/>
    </row>
    <row r="212" spans="1:51" ht="17.25" thickBot="1" x14ac:dyDescent="0.35">
      <c r="A212" s="147"/>
      <c r="B212" s="97"/>
      <c r="C212" s="103"/>
      <c r="D212" s="103"/>
      <c r="E212" s="103"/>
      <c r="F212" s="150"/>
      <c r="G212" s="150"/>
      <c r="H212" s="100"/>
      <c r="I212" s="7">
        <f t="shared" si="163"/>
        <v>0</v>
      </c>
      <c r="J212" s="100"/>
      <c r="K212" s="7">
        <f t="shared" si="164"/>
        <v>0</v>
      </c>
      <c r="L212" s="100"/>
      <c r="M212" s="7">
        <f t="shared" si="165"/>
        <v>0</v>
      </c>
      <c r="N212" s="100"/>
      <c r="O212" s="7">
        <f t="shared" si="166"/>
        <v>0</v>
      </c>
      <c r="P212" s="100"/>
      <c r="Q212" s="7">
        <f t="shared" si="150"/>
        <v>0</v>
      </c>
      <c r="R212" s="100"/>
      <c r="S212" s="7">
        <f t="shared" si="151"/>
        <v>0</v>
      </c>
      <c r="T212" s="100"/>
      <c r="U212" s="7">
        <f t="shared" si="152"/>
        <v>0</v>
      </c>
      <c r="V212" s="8">
        <f t="shared" si="167"/>
        <v>0</v>
      </c>
      <c r="W212" s="136" t="str">
        <f t="shared" si="155"/>
        <v/>
      </c>
      <c r="X212" s="136" t="str">
        <f t="shared" si="156"/>
        <v/>
      </c>
      <c r="Y212" s="136" t="str">
        <f t="shared" si="157"/>
        <v/>
      </c>
      <c r="Z212" s="136" t="str">
        <f t="shared" si="158"/>
        <v/>
      </c>
      <c r="AA212" s="152"/>
      <c r="AB212" s="152"/>
      <c r="AC212" s="180"/>
      <c r="AD212" s="2"/>
      <c r="AE212" s="2"/>
      <c r="AF212" s="2"/>
      <c r="AG212" s="2"/>
      <c r="AH212" s="2"/>
      <c r="AI212" s="2"/>
      <c r="AJ212" s="2"/>
      <c r="AK212" s="2"/>
      <c r="AL212" s="2"/>
      <c r="AM212" s="2"/>
      <c r="AN212" s="2"/>
      <c r="AO212" s="1"/>
      <c r="AP212" s="1"/>
      <c r="AQ212" s="1"/>
      <c r="AR212" s="1"/>
      <c r="AS212" s="1"/>
      <c r="AT212" s="1"/>
      <c r="AU212" s="1"/>
      <c r="AV212" s="1"/>
      <c r="AW212" s="1"/>
      <c r="AX212" s="1"/>
      <c r="AY212" s="1"/>
    </row>
    <row r="213" spans="1:51" ht="17.25" thickBot="1" x14ac:dyDescent="0.35">
      <c r="A213" s="147"/>
      <c r="B213" s="98"/>
      <c r="C213" s="104"/>
      <c r="D213" s="104"/>
      <c r="E213" s="104"/>
      <c r="F213" s="151"/>
      <c r="G213" s="151"/>
      <c r="H213" s="101"/>
      <c r="I213" s="7">
        <f t="shared" si="163"/>
        <v>0</v>
      </c>
      <c r="J213" s="101"/>
      <c r="K213" s="7">
        <f t="shared" si="164"/>
        <v>0</v>
      </c>
      <c r="L213" s="101"/>
      <c r="M213" s="7">
        <f t="shared" si="165"/>
        <v>0</v>
      </c>
      <c r="N213" s="101"/>
      <c r="O213" s="7">
        <f t="shared" si="166"/>
        <v>0</v>
      </c>
      <c r="P213" s="101"/>
      <c r="Q213" s="7">
        <f t="shared" si="150"/>
        <v>0</v>
      </c>
      <c r="R213" s="101"/>
      <c r="S213" s="7">
        <f t="shared" si="151"/>
        <v>0</v>
      </c>
      <c r="T213" s="101"/>
      <c r="U213" s="7">
        <f t="shared" si="152"/>
        <v>0</v>
      </c>
      <c r="V213" s="8">
        <f t="shared" si="167"/>
        <v>0</v>
      </c>
      <c r="W213" s="137" t="str">
        <f t="shared" si="155"/>
        <v/>
      </c>
      <c r="X213" s="137" t="str">
        <f t="shared" si="156"/>
        <v/>
      </c>
      <c r="Y213" s="137" t="str">
        <f t="shared" si="157"/>
        <v/>
      </c>
      <c r="Z213" s="137" t="str">
        <f t="shared" si="158"/>
        <v/>
      </c>
      <c r="AA213" s="152"/>
      <c r="AB213" s="152"/>
      <c r="AC213" s="181"/>
      <c r="AD213" s="2"/>
      <c r="AE213" s="2"/>
      <c r="AF213" s="2"/>
      <c r="AG213" s="2"/>
      <c r="AH213" s="2"/>
      <c r="AI213" s="2"/>
      <c r="AJ213" s="2"/>
      <c r="AK213" s="2"/>
      <c r="AL213" s="2"/>
      <c r="AM213" s="2"/>
      <c r="AN213" s="2"/>
      <c r="AO213" s="1"/>
      <c r="AP213" s="1"/>
      <c r="AQ213" s="1"/>
      <c r="AR213" s="1"/>
      <c r="AS213" s="1"/>
      <c r="AT213" s="1"/>
      <c r="AU213" s="1"/>
      <c r="AV213" s="1"/>
      <c r="AW213" s="1"/>
      <c r="AX213" s="1"/>
      <c r="AY213" s="1"/>
    </row>
    <row r="214" spans="1:51" ht="17.25" thickBot="1" x14ac:dyDescent="0.35">
      <c r="A214" s="146">
        <v>48</v>
      </c>
      <c r="B214" s="105"/>
      <c r="C214" s="102"/>
      <c r="D214" s="102"/>
      <c r="E214" s="102"/>
      <c r="F214" s="149">
        <f t="shared" ref="F214" si="171">SUM(M214:M219,O214:O219,Q214:Q219,S214:S219,I214:I219,K214:K219)</f>
        <v>0</v>
      </c>
      <c r="G214" s="149">
        <f t="shared" ref="G214" si="172">SUM(M214:M219,O214:O219,Q214:Q219,S214:S219,U214:U219,K214:K219,I214:I219)</f>
        <v>0</v>
      </c>
      <c r="H214" s="99"/>
      <c r="I214" s="40">
        <f t="shared" si="163"/>
        <v>0</v>
      </c>
      <c r="J214" s="99"/>
      <c r="K214" s="40">
        <f t="shared" si="164"/>
        <v>0</v>
      </c>
      <c r="L214" s="99"/>
      <c r="M214" s="40">
        <f t="shared" si="165"/>
        <v>0</v>
      </c>
      <c r="N214" s="99"/>
      <c r="O214" s="40">
        <f t="shared" si="166"/>
        <v>0</v>
      </c>
      <c r="P214" s="99"/>
      <c r="Q214" s="40">
        <f t="shared" si="150"/>
        <v>0</v>
      </c>
      <c r="R214" s="99"/>
      <c r="S214" s="40">
        <f t="shared" si="151"/>
        <v>0</v>
      </c>
      <c r="T214" s="99"/>
      <c r="U214" s="40">
        <f t="shared" si="152"/>
        <v>0</v>
      </c>
      <c r="V214" s="34">
        <f t="shared" si="167"/>
        <v>0</v>
      </c>
      <c r="W214" s="135" t="str">
        <f t="shared" si="155"/>
        <v/>
      </c>
      <c r="X214" s="135" t="str">
        <f t="shared" si="156"/>
        <v/>
      </c>
      <c r="Y214" s="135" t="str">
        <f t="shared" si="157"/>
        <v/>
      </c>
      <c r="Z214" s="135" t="str">
        <f t="shared" si="158"/>
        <v/>
      </c>
      <c r="AA214" s="152" t="e">
        <f t="shared" ref="AA214" si="173">AVERAGE(W214:W219)</f>
        <v>#DIV/0!</v>
      </c>
      <c r="AB214" s="152">
        <f t="shared" ref="AB214" si="174">SUM(V214:V219)</f>
        <v>0</v>
      </c>
      <c r="AC214" s="179"/>
      <c r="AD214" s="2"/>
      <c r="AE214" s="2"/>
      <c r="AF214" s="2"/>
      <c r="AG214" s="2"/>
      <c r="AH214" s="2"/>
      <c r="AI214" s="2"/>
      <c r="AJ214" s="2"/>
      <c r="AK214" s="2"/>
      <c r="AL214" s="2"/>
      <c r="AM214" s="2"/>
      <c r="AN214" s="2"/>
      <c r="AO214" s="1"/>
      <c r="AP214" s="1"/>
      <c r="AQ214" s="1"/>
      <c r="AR214" s="1"/>
      <c r="AS214" s="1"/>
      <c r="AT214" s="1"/>
      <c r="AU214" s="1"/>
      <c r="AV214" s="1"/>
      <c r="AW214" s="1"/>
      <c r="AX214" s="1"/>
      <c r="AY214" s="1"/>
    </row>
    <row r="215" spans="1:51" ht="17.25" thickBot="1" x14ac:dyDescent="0.35">
      <c r="A215" s="147"/>
      <c r="B215" s="97"/>
      <c r="C215" s="103"/>
      <c r="D215" s="103"/>
      <c r="E215" s="103"/>
      <c r="F215" s="150"/>
      <c r="G215" s="150"/>
      <c r="H215" s="100"/>
      <c r="I215" s="7">
        <f t="shared" si="163"/>
        <v>0</v>
      </c>
      <c r="J215" s="100"/>
      <c r="K215" s="7">
        <f t="shared" si="164"/>
        <v>0</v>
      </c>
      <c r="L215" s="100"/>
      <c r="M215" s="7">
        <f t="shared" si="165"/>
        <v>0</v>
      </c>
      <c r="N215" s="100"/>
      <c r="O215" s="7">
        <f t="shared" si="166"/>
        <v>0</v>
      </c>
      <c r="P215" s="100"/>
      <c r="Q215" s="7">
        <f t="shared" si="150"/>
        <v>0</v>
      </c>
      <c r="R215" s="100"/>
      <c r="S215" s="7">
        <f t="shared" si="151"/>
        <v>0</v>
      </c>
      <c r="T215" s="100"/>
      <c r="U215" s="7">
        <f t="shared" si="152"/>
        <v>0</v>
      </c>
      <c r="V215" s="8">
        <f t="shared" si="167"/>
        <v>0</v>
      </c>
      <c r="W215" s="136" t="str">
        <f t="shared" si="155"/>
        <v/>
      </c>
      <c r="X215" s="136" t="str">
        <f t="shared" si="156"/>
        <v/>
      </c>
      <c r="Y215" s="136" t="str">
        <f t="shared" si="157"/>
        <v/>
      </c>
      <c r="Z215" s="136" t="str">
        <f t="shared" si="158"/>
        <v/>
      </c>
      <c r="AA215" s="152"/>
      <c r="AB215" s="152"/>
      <c r="AC215" s="180"/>
      <c r="AD215" s="2"/>
      <c r="AE215" s="2"/>
      <c r="AF215" s="2"/>
      <c r="AG215" s="2"/>
      <c r="AH215" s="2"/>
      <c r="AI215" s="2"/>
      <c r="AJ215" s="2"/>
      <c r="AK215" s="2"/>
      <c r="AL215" s="2"/>
      <c r="AM215" s="2"/>
      <c r="AN215" s="2"/>
      <c r="AO215" s="1"/>
      <c r="AP215" s="1"/>
      <c r="AQ215" s="1"/>
      <c r="AR215" s="1"/>
      <c r="AS215" s="1"/>
      <c r="AT215" s="1"/>
      <c r="AU215" s="1"/>
      <c r="AV215" s="1"/>
      <c r="AW215" s="1"/>
      <c r="AX215" s="1"/>
      <c r="AY215" s="1"/>
    </row>
    <row r="216" spans="1:51" ht="17.25" thickBot="1" x14ac:dyDescent="0.35">
      <c r="A216" s="147"/>
      <c r="B216" s="97"/>
      <c r="C216" s="103"/>
      <c r="D216" s="103"/>
      <c r="E216" s="103"/>
      <c r="F216" s="150"/>
      <c r="G216" s="150"/>
      <c r="H216" s="100"/>
      <c r="I216" s="7">
        <f t="shared" si="163"/>
        <v>0</v>
      </c>
      <c r="J216" s="100"/>
      <c r="K216" s="7">
        <f t="shared" si="164"/>
        <v>0</v>
      </c>
      <c r="L216" s="100"/>
      <c r="M216" s="7">
        <f t="shared" si="165"/>
        <v>0</v>
      </c>
      <c r="N216" s="100"/>
      <c r="O216" s="7">
        <f t="shared" si="166"/>
        <v>0</v>
      </c>
      <c r="P216" s="100"/>
      <c r="Q216" s="7">
        <f t="shared" si="150"/>
        <v>0</v>
      </c>
      <c r="R216" s="100"/>
      <c r="S216" s="7">
        <f t="shared" si="151"/>
        <v>0</v>
      </c>
      <c r="T216" s="100"/>
      <c r="U216" s="7">
        <f t="shared" si="152"/>
        <v>0</v>
      </c>
      <c r="V216" s="8">
        <f t="shared" si="167"/>
        <v>0</v>
      </c>
      <c r="W216" s="136" t="str">
        <f t="shared" si="155"/>
        <v/>
      </c>
      <c r="X216" s="136" t="str">
        <f t="shared" si="156"/>
        <v/>
      </c>
      <c r="Y216" s="136" t="str">
        <f t="shared" si="157"/>
        <v/>
      </c>
      <c r="Z216" s="136" t="str">
        <f t="shared" si="158"/>
        <v/>
      </c>
      <c r="AA216" s="152"/>
      <c r="AB216" s="152"/>
      <c r="AC216" s="180"/>
      <c r="AD216" s="2"/>
      <c r="AE216" s="2"/>
      <c r="AF216" s="2"/>
      <c r="AG216" s="2"/>
      <c r="AH216" s="2"/>
      <c r="AI216" s="2"/>
      <c r="AJ216" s="2"/>
      <c r="AK216" s="2"/>
      <c r="AL216" s="2"/>
      <c r="AM216" s="2"/>
      <c r="AN216" s="2"/>
      <c r="AO216" s="1"/>
      <c r="AP216" s="1"/>
      <c r="AQ216" s="1"/>
      <c r="AR216" s="1"/>
      <c r="AS216" s="1"/>
      <c r="AT216" s="1"/>
      <c r="AU216" s="1"/>
      <c r="AV216" s="1"/>
      <c r="AW216" s="1"/>
      <c r="AX216" s="1"/>
      <c r="AY216" s="1"/>
    </row>
    <row r="217" spans="1:51" ht="17.25" thickBot="1" x14ac:dyDescent="0.35">
      <c r="A217" s="147"/>
      <c r="B217" s="97"/>
      <c r="C217" s="103"/>
      <c r="D217" s="103"/>
      <c r="E217" s="103"/>
      <c r="F217" s="150"/>
      <c r="G217" s="150"/>
      <c r="H217" s="100"/>
      <c r="I217" s="7">
        <f t="shared" si="163"/>
        <v>0</v>
      </c>
      <c r="J217" s="100"/>
      <c r="K217" s="7">
        <f t="shared" si="164"/>
        <v>0</v>
      </c>
      <c r="L217" s="100"/>
      <c r="M217" s="7">
        <f t="shared" si="165"/>
        <v>0</v>
      </c>
      <c r="N217" s="100"/>
      <c r="O217" s="7">
        <f t="shared" si="166"/>
        <v>0</v>
      </c>
      <c r="P217" s="100"/>
      <c r="Q217" s="7">
        <f t="shared" si="150"/>
        <v>0</v>
      </c>
      <c r="R217" s="100"/>
      <c r="S217" s="7">
        <f t="shared" si="151"/>
        <v>0</v>
      </c>
      <c r="T217" s="100"/>
      <c r="U217" s="7">
        <f t="shared" si="152"/>
        <v>0</v>
      </c>
      <c r="V217" s="8">
        <f t="shared" si="167"/>
        <v>0</v>
      </c>
      <c r="W217" s="136" t="str">
        <f t="shared" si="155"/>
        <v/>
      </c>
      <c r="X217" s="136" t="str">
        <f t="shared" si="156"/>
        <v/>
      </c>
      <c r="Y217" s="136" t="str">
        <f t="shared" si="157"/>
        <v/>
      </c>
      <c r="Z217" s="136" t="str">
        <f t="shared" si="158"/>
        <v/>
      </c>
      <c r="AA217" s="152"/>
      <c r="AB217" s="152"/>
      <c r="AC217" s="180"/>
      <c r="AD217" s="2"/>
      <c r="AE217" s="2"/>
      <c r="AF217" s="2"/>
      <c r="AG217" s="2"/>
      <c r="AH217" s="2"/>
      <c r="AI217" s="2"/>
      <c r="AJ217" s="2"/>
      <c r="AK217" s="2"/>
      <c r="AL217" s="2"/>
      <c r="AM217" s="2"/>
      <c r="AN217" s="2"/>
      <c r="AO217" s="1"/>
      <c r="AP217" s="1"/>
      <c r="AQ217" s="1"/>
      <c r="AR217" s="1"/>
      <c r="AS217" s="1"/>
      <c r="AT217" s="1"/>
      <c r="AU217" s="1"/>
      <c r="AV217" s="1"/>
      <c r="AW217" s="1"/>
      <c r="AX217" s="1"/>
      <c r="AY217" s="1"/>
    </row>
    <row r="218" spans="1:51" ht="17.25" thickBot="1" x14ac:dyDescent="0.35">
      <c r="A218" s="147"/>
      <c r="B218" s="97"/>
      <c r="C218" s="103"/>
      <c r="D218" s="103"/>
      <c r="E218" s="103"/>
      <c r="F218" s="150"/>
      <c r="G218" s="150"/>
      <c r="H218" s="100"/>
      <c r="I218" s="7">
        <f t="shared" si="163"/>
        <v>0</v>
      </c>
      <c r="J218" s="100"/>
      <c r="K218" s="7">
        <f t="shared" si="164"/>
        <v>0</v>
      </c>
      <c r="L218" s="100"/>
      <c r="M218" s="7">
        <f t="shared" si="165"/>
        <v>0</v>
      </c>
      <c r="N218" s="100"/>
      <c r="O218" s="7">
        <f t="shared" si="166"/>
        <v>0</v>
      </c>
      <c r="P218" s="100"/>
      <c r="Q218" s="7">
        <f t="shared" si="150"/>
        <v>0</v>
      </c>
      <c r="R218" s="100"/>
      <c r="S218" s="7">
        <f t="shared" si="151"/>
        <v>0</v>
      </c>
      <c r="T218" s="100"/>
      <c r="U218" s="7">
        <f t="shared" si="152"/>
        <v>0</v>
      </c>
      <c r="V218" s="8">
        <f t="shared" si="167"/>
        <v>0</v>
      </c>
      <c r="W218" s="136" t="str">
        <f t="shared" si="155"/>
        <v/>
      </c>
      <c r="X218" s="136" t="str">
        <f t="shared" si="156"/>
        <v/>
      </c>
      <c r="Y218" s="136" t="str">
        <f t="shared" si="157"/>
        <v/>
      </c>
      <c r="Z218" s="136" t="str">
        <f t="shared" si="158"/>
        <v/>
      </c>
      <c r="AA218" s="152"/>
      <c r="AB218" s="152"/>
      <c r="AC218" s="180"/>
      <c r="AD218" s="2"/>
      <c r="AE218" s="2"/>
      <c r="AF218" s="2"/>
      <c r="AG218" s="2"/>
      <c r="AH218" s="2"/>
      <c r="AI218" s="2"/>
      <c r="AJ218" s="2"/>
      <c r="AK218" s="2"/>
      <c r="AL218" s="2"/>
      <c r="AM218" s="2"/>
      <c r="AN218" s="2"/>
      <c r="AO218" s="1"/>
      <c r="AP218" s="1"/>
      <c r="AQ218" s="1"/>
      <c r="AR218" s="1"/>
      <c r="AS218" s="1"/>
      <c r="AT218" s="1"/>
      <c r="AU218" s="1"/>
      <c r="AV218" s="1"/>
      <c r="AW218" s="1"/>
      <c r="AX218" s="1"/>
      <c r="AY218" s="1"/>
    </row>
    <row r="219" spans="1:51" ht="17.25" thickBot="1" x14ac:dyDescent="0.35">
      <c r="A219" s="148"/>
      <c r="B219" s="98"/>
      <c r="C219" s="104"/>
      <c r="D219" s="104"/>
      <c r="E219" s="104"/>
      <c r="F219" s="151"/>
      <c r="G219" s="151"/>
      <c r="H219" s="101"/>
      <c r="I219" s="39">
        <f t="shared" si="163"/>
        <v>0</v>
      </c>
      <c r="J219" s="101"/>
      <c r="K219" s="39">
        <f t="shared" si="164"/>
        <v>0</v>
      </c>
      <c r="L219" s="101"/>
      <c r="M219" s="39">
        <f t="shared" si="165"/>
        <v>0</v>
      </c>
      <c r="N219" s="101"/>
      <c r="O219" s="39">
        <f t="shared" si="166"/>
        <v>0</v>
      </c>
      <c r="P219" s="101"/>
      <c r="Q219" s="39">
        <f t="shared" si="150"/>
        <v>0</v>
      </c>
      <c r="R219" s="101"/>
      <c r="S219" s="39">
        <f t="shared" si="151"/>
        <v>0</v>
      </c>
      <c r="T219" s="101"/>
      <c r="U219" s="39">
        <f t="shared" si="152"/>
        <v>0</v>
      </c>
      <c r="V219" s="36">
        <f t="shared" si="167"/>
        <v>0</v>
      </c>
      <c r="W219" s="137" t="str">
        <f t="shared" si="155"/>
        <v/>
      </c>
      <c r="X219" s="137" t="str">
        <f t="shared" si="156"/>
        <v/>
      </c>
      <c r="Y219" s="137" t="str">
        <f t="shared" si="157"/>
        <v/>
      </c>
      <c r="Z219" s="137" t="str">
        <f t="shared" si="158"/>
        <v/>
      </c>
      <c r="AA219" s="152"/>
      <c r="AB219" s="152"/>
      <c r="AC219" s="181"/>
      <c r="AD219" s="2"/>
      <c r="AE219" s="2"/>
      <c r="AF219" s="2"/>
      <c r="AG219" s="2"/>
      <c r="AH219" s="2"/>
      <c r="AI219" s="2"/>
      <c r="AJ219" s="2"/>
      <c r="AK219" s="2"/>
      <c r="AL219" s="2"/>
      <c r="AM219" s="2"/>
      <c r="AN219" s="2"/>
      <c r="AO219" s="1"/>
      <c r="AP219" s="1"/>
      <c r="AQ219" s="1"/>
      <c r="AR219" s="1"/>
      <c r="AS219" s="1"/>
      <c r="AT219" s="1"/>
      <c r="AU219" s="1"/>
      <c r="AV219" s="1"/>
      <c r="AW219" s="1"/>
      <c r="AX219" s="1"/>
      <c r="AY219" s="1"/>
    </row>
    <row r="220" spans="1:51" ht="17.25" thickBot="1" x14ac:dyDescent="0.35">
      <c r="A220" s="146">
        <v>49</v>
      </c>
      <c r="B220" s="95"/>
      <c r="C220" s="102"/>
      <c r="D220" s="102"/>
      <c r="E220" s="102"/>
      <c r="F220" s="149">
        <f t="shared" ref="F220" si="175">SUM(M220:M225,O220:O225,Q220:Q225,S220:S225,I220:I225,K220:K225)</f>
        <v>0</v>
      </c>
      <c r="G220" s="149">
        <f t="shared" ref="G220" si="176">SUM(M220:M225,O220:O225,Q220:Q225,S220:S225,U220:U225,K220:K225,I220:I225)</f>
        <v>0</v>
      </c>
      <c r="H220" s="99"/>
      <c r="I220" s="40">
        <f t="shared" si="163"/>
        <v>0</v>
      </c>
      <c r="J220" s="99"/>
      <c r="K220" s="40">
        <f t="shared" si="164"/>
        <v>0</v>
      </c>
      <c r="L220" s="99"/>
      <c r="M220" s="40">
        <f t="shared" si="165"/>
        <v>0</v>
      </c>
      <c r="N220" s="99"/>
      <c r="O220" s="40">
        <f t="shared" si="166"/>
        <v>0</v>
      </c>
      <c r="P220" s="99"/>
      <c r="Q220" s="40">
        <f t="shared" si="150"/>
        <v>0</v>
      </c>
      <c r="R220" s="99"/>
      <c r="S220" s="40">
        <f t="shared" si="151"/>
        <v>0</v>
      </c>
      <c r="T220" s="99"/>
      <c r="U220" s="40">
        <f t="shared" si="152"/>
        <v>0</v>
      </c>
      <c r="V220" s="34">
        <f t="shared" si="167"/>
        <v>0</v>
      </c>
      <c r="W220" s="135" t="str">
        <f t="shared" si="155"/>
        <v/>
      </c>
      <c r="X220" s="135" t="str">
        <f t="shared" si="156"/>
        <v/>
      </c>
      <c r="Y220" s="135" t="str">
        <f t="shared" si="157"/>
        <v/>
      </c>
      <c r="Z220" s="135" t="str">
        <f t="shared" si="158"/>
        <v/>
      </c>
      <c r="AA220" s="152" t="e">
        <f t="shared" ref="AA220" si="177">AVERAGE(W220:W225)</f>
        <v>#DIV/0!</v>
      </c>
      <c r="AB220" s="152">
        <f t="shared" ref="AB220" si="178">SUM(V220:V225)</f>
        <v>0</v>
      </c>
      <c r="AC220" s="179"/>
      <c r="AD220" s="2"/>
      <c r="AE220" s="2"/>
      <c r="AF220" s="2"/>
      <c r="AG220" s="2"/>
      <c r="AH220" s="2"/>
      <c r="AI220" s="2"/>
      <c r="AJ220" s="2"/>
      <c r="AK220" s="2"/>
      <c r="AL220" s="2"/>
      <c r="AM220" s="2"/>
      <c r="AN220" s="2"/>
      <c r="AO220" s="1"/>
      <c r="AP220" s="1"/>
      <c r="AQ220" s="1"/>
      <c r="AR220" s="1"/>
      <c r="AS220" s="1"/>
      <c r="AT220" s="1"/>
      <c r="AU220" s="1"/>
      <c r="AV220" s="1"/>
      <c r="AW220" s="1"/>
      <c r="AX220" s="1"/>
      <c r="AY220" s="1"/>
    </row>
    <row r="221" spans="1:51" ht="17.25" thickBot="1" x14ac:dyDescent="0.35">
      <c r="A221" s="147"/>
      <c r="B221" s="96"/>
      <c r="C221" s="103"/>
      <c r="D221" s="103"/>
      <c r="E221" s="103"/>
      <c r="F221" s="150"/>
      <c r="G221" s="150"/>
      <c r="H221" s="100"/>
      <c r="I221" s="7">
        <f t="shared" si="163"/>
        <v>0</v>
      </c>
      <c r="J221" s="100"/>
      <c r="K221" s="7">
        <f t="shared" si="164"/>
        <v>0</v>
      </c>
      <c r="L221" s="100"/>
      <c r="M221" s="7">
        <f t="shared" si="165"/>
        <v>0</v>
      </c>
      <c r="N221" s="100"/>
      <c r="O221" s="7">
        <f t="shared" si="166"/>
        <v>0</v>
      </c>
      <c r="P221" s="100"/>
      <c r="Q221" s="7">
        <f t="shared" si="150"/>
        <v>0</v>
      </c>
      <c r="R221" s="100"/>
      <c r="S221" s="7">
        <f t="shared" si="151"/>
        <v>0</v>
      </c>
      <c r="T221" s="100"/>
      <c r="U221" s="7">
        <f t="shared" si="152"/>
        <v>0</v>
      </c>
      <c r="V221" s="8">
        <f t="shared" si="167"/>
        <v>0</v>
      </c>
      <c r="W221" s="136" t="str">
        <f t="shared" si="155"/>
        <v/>
      </c>
      <c r="X221" s="136" t="str">
        <f t="shared" si="156"/>
        <v/>
      </c>
      <c r="Y221" s="136" t="str">
        <f t="shared" si="157"/>
        <v/>
      </c>
      <c r="Z221" s="136" t="str">
        <f t="shared" si="158"/>
        <v/>
      </c>
      <c r="AA221" s="152"/>
      <c r="AB221" s="152"/>
      <c r="AC221" s="180"/>
      <c r="AD221" s="2"/>
      <c r="AE221" s="2"/>
      <c r="AF221" s="2"/>
      <c r="AG221" s="2"/>
      <c r="AH221" s="2"/>
      <c r="AI221" s="2"/>
      <c r="AJ221" s="2"/>
      <c r="AK221" s="2"/>
      <c r="AL221" s="2"/>
      <c r="AM221" s="2"/>
      <c r="AN221" s="2"/>
      <c r="AO221" s="1"/>
      <c r="AP221" s="1"/>
      <c r="AQ221" s="1"/>
      <c r="AR221" s="1"/>
      <c r="AS221" s="1"/>
      <c r="AT221" s="1"/>
      <c r="AU221" s="1"/>
      <c r="AV221" s="1"/>
      <c r="AW221" s="1"/>
      <c r="AX221" s="1"/>
      <c r="AY221" s="1"/>
    </row>
    <row r="222" spans="1:51" ht="17.25" thickBot="1" x14ac:dyDescent="0.35">
      <c r="A222" s="147"/>
      <c r="B222" s="97"/>
      <c r="C222" s="103"/>
      <c r="D222" s="103"/>
      <c r="E222" s="103"/>
      <c r="F222" s="150"/>
      <c r="G222" s="150"/>
      <c r="H222" s="100"/>
      <c r="I222" s="7">
        <f t="shared" si="163"/>
        <v>0</v>
      </c>
      <c r="J222" s="100"/>
      <c r="K222" s="7">
        <f t="shared" si="164"/>
        <v>0</v>
      </c>
      <c r="L222" s="100"/>
      <c r="M222" s="7">
        <f t="shared" si="165"/>
        <v>0</v>
      </c>
      <c r="N222" s="100"/>
      <c r="O222" s="7">
        <f t="shared" si="166"/>
        <v>0</v>
      </c>
      <c r="P222" s="100"/>
      <c r="Q222" s="7">
        <f t="shared" si="150"/>
        <v>0</v>
      </c>
      <c r="R222" s="100"/>
      <c r="S222" s="7">
        <f t="shared" si="151"/>
        <v>0</v>
      </c>
      <c r="T222" s="100"/>
      <c r="U222" s="7">
        <f t="shared" si="152"/>
        <v>0</v>
      </c>
      <c r="V222" s="8">
        <f t="shared" si="167"/>
        <v>0</v>
      </c>
      <c r="W222" s="136" t="str">
        <f t="shared" si="155"/>
        <v/>
      </c>
      <c r="X222" s="136" t="str">
        <f t="shared" si="156"/>
        <v/>
      </c>
      <c r="Y222" s="136" t="str">
        <f t="shared" si="157"/>
        <v/>
      </c>
      <c r="Z222" s="136" t="str">
        <f t="shared" si="158"/>
        <v/>
      </c>
      <c r="AA222" s="152"/>
      <c r="AB222" s="152"/>
      <c r="AC222" s="180"/>
      <c r="AD222" s="2"/>
      <c r="AE222" s="2"/>
      <c r="AF222" s="2"/>
      <c r="AG222" s="2"/>
      <c r="AH222" s="2"/>
      <c r="AI222" s="2"/>
      <c r="AJ222" s="2"/>
      <c r="AK222" s="2"/>
      <c r="AL222" s="2"/>
      <c r="AM222" s="2"/>
      <c r="AN222" s="2"/>
      <c r="AO222" s="1"/>
      <c r="AP222" s="1"/>
      <c r="AQ222" s="1"/>
      <c r="AR222" s="1"/>
      <c r="AS222" s="1"/>
      <c r="AT222" s="1"/>
      <c r="AU222" s="1"/>
      <c r="AV222" s="1"/>
      <c r="AW222" s="1"/>
      <c r="AX222" s="1"/>
      <c r="AY222" s="1"/>
    </row>
    <row r="223" spans="1:51" ht="17.25" thickBot="1" x14ac:dyDescent="0.35">
      <c r="A223" s="147"/>
      <c r="B223" s="97"/>
      <c r="C223" s="103"/>
      <c r="D223" s="103"/>
      <c r="E223" s="103"/>
      <c r="F223" s="150"/>
      <c r="G223" s="150"/>
      <c r="H223" s="100"/>
      <c r="I223" s="7">
        <f t="shared" si="163"/>
        <v>0</v>
      </c>
      <c r="J223" s="100"/>
      <c r="K223" s="7">
        <f t="shared" si="164"/>
        <v>0</v>
      </c>
      <c r="L223" s="100"/>
      <c r="M223" s="7">
        <f t="shared" si="165"/>
        <v>0</v>
      </c>
      <c r="N223" s="100"/>
      <c r="O223" s="7">
        <f t="shared" si="166"/>
        <v>0</v>
      </c>
      <c r="P223" s="100"/>
      <c r="Q223" s="7">
        <f t="shared" si="150"/>
        <v>0</v>
      </c>
      <c r="R223" s="100"/>
      <c r="S223" s="7">
        <f t="shared" si="151"/>
        <v>0</v>
      </c>
      <c r="T223" s="100"/>
      <c r="U223" s="7">
        <f t="shared" si="152"/>
        <v>0</v>
      </c>
      <c r="V223" s="8">
        <f t="shared" si="167"/>
        <v>0</v>
      </c>
      <c r="W223" s="136" t="str">
        <f t="shared" si="155"/>
        <v/>
      </c>
      <c r="X223" s="136" t="str">
        <f t="shared" si="156"/>
        <v/>
      </c>
      <c r="Y223" s="136" t="str">
        <f t="shared" si="157"/>
        <v/>
      </c>
      <c r="Z223" s="136" t="str">
        <f t="shared" si="158"/>
        <v/>
      </c>
      <c r="AA223" s="152"/>
      <c r="AB223" s="152"/>
      <c r="AC223" s="180"/>
      <c r="AD223" s="2"/>
      <c r="AE223" s="2"/>
      <c r="AF223" s="2"/>
      <c r="AG223" s="2"/>
      <c r="AH223" s="2"/>
      <c r="AI223" s="2"/>
      <c r="AJ223" s="2"/>
      <c r="AK223" s="2"/>
      <c r="AL223" s="2"/>
      <c r="AM223" s="2"/>
      <c r="AN223" s="2"/>
      <c r="AO223" s="1"/>
      <c r="AP223" s="1"/>
      <c r="AQ223" s="1"/>
      <c r="AR223" s="1"/>
      <c r="AS223" s="1"/>
      <c r="AT223" s="1"/>
      <c r="AU223" s="1"/>
      <c r="AV223" s="1"/>
      <c r="AW223" s="1"/>
      <c r="AX223" s="1"/>
      <c r="AY223" s="1"/>
    </row>
    <row r="224" spans="1:51" ht="17.25" thickBot="1" x14ac:dyDescent="0.35">
      <c r="A224" s="147"/>
      <c r="B224" s="97"/>
      <c r="C224" s="103"/>
      <c r="D224" s="103"/>
      <c r="E224" s="103"/>
      <c r="F224" s="150"/>
      <c r="G224" s="150"/>
      <c r="H224" s="100"/>
      <c r="I224" s="7">
        <f t="shared" si="163"/>
        <v>0</v>
      </c>
      <c r="J224" s="100"/>
      <c r="K224" s="7">
        <f t="shared" si="164"/>
        <v>0</v>
      </c>
      <c r="L224" s="100"/>
      <c r="M224" s="7">
        <f t="shared" si="165"/>
        <v>0</v>
      </c>
      <c r="N224" s="100"/>
      <c r="O224" s="7">
        <f t="shared" si="166"/>
        <v>0</v>
      </c>
      <c r="P224" s="100"/>
      <c r="Q224" s="7">
        <f t="shared" si="150"/>
        <v>0</v>
      </c>
      <c r="R224" s="100"/>
      <c r="S224" s="7">
        <f t="shared" si="151"/>
        <v>0</v>
      </c>
      <c r="T224" s="100"/>
      <c r="U224" s="7">
        <f t="shared" si="152"/>
        <v>0</v>
      </c>
      <c r="V224" s="8">
        <f t="shared" si="167"/>
        <v>0</v>
      </c>
      <c r="W224" s="136" t="str">
        <f t="shared" si="155"/>
        <v/>
      </c>
      <c r="X224" s="136" t="str">
        <f t="shared" si="156"/>
        <v/>
      </c>
      <c r="Y224" s="136" t="str">
        <f t="shared" si="157"/>
        <v/>
      </c>
      <c r="Z224" s="136" t="str">
        <f t="shared" si="158"/>
        <v/>
      </c>
      <c r="AA224" s="152"/>
      <c r="AB224" s="152"/>
      <c r="AC224" s="180"/>
      <c r="AD224" s="2"/>
      <c r="AE224" s="2"/>
      <c r="AF224" s="2"/>
      <c r="AG224" s="2"/>
      <c r="AH224" s="2"/>
      <c r="AI224" s="2"/>
      <c r="AJ224" s="2"/>
      <c r="AK224" s="2"/>
      <c r="AL224" s="2"/>
      <c r="AM224" s="2"/>
      <c r="AN224" s="2"/>
      <c r="AO224" s="1"/>
      <c r="AP224" s="1"/>
      <c r="AQ224" s="1"/>
      <c r="AR224" s="1"/>
      <c r="AS224" s="1"/>
      <c r="AT224" s="1"/>
      <c r="AU224" s="1"/>
      <c r="AV224" s="1"/>
      <c r="AW224" s="1"/>
      <c r="AX224" s="1"/>
      <c r="AY224" s="1"/>
    </row>
    <row r="225" spans="1:51" ht="17.25" thickBot="1" x14ac:dyDescent="0.35">
      <c r="A225" s="148"/>
      <c r="B225" s="98"/>
      <c r="C225" s="98"/>
      <c r="D225" s="98"/>
      <c r="E225" s="98"/>
      <c r="F225" s="151"/>
      <c r="G225" s="151"/>
      <c r="H225" s="101"/>
      <c r="I225" s="39">
        <f t="shared" si="163"/>
        <v>0</v>
      </c>
      <c r="J225" s="101"/>
      <c r="K225" s="39">
        <f t="shared" si="164"/>
        <v>0</v>
      </c>
      <c r="L225" s="101"/>
      <c r="M225" s="39">
        <f t="shared" si="165"/>
        <v>0</v>
      </c>
      <c r="N225" s="101"/>
      <c r="O225" s="39">
        <f t="shared" si="166"/>
        <v>0</v>
      </c>
      <c r="P225" s="101"/>
      <c r="Q225" s="39">
        <f t="shared" si="150"/>
        <v>0</v>
      </c>
      <c r="R225" s="101"/>
      <c r="S225" s="39">
        <f t="shared" si="151"/>
        <v>0</v>
      </c>
      <c r="T225" s="101"/>
      <c r="U225" s="39">
        <f t="shared" si="152"/>
        <v>0</v>
      </c>
      <c r="V225" s="36">
        <f t="shared" si="167"/>
        <v>0</v>
      </c>
      <c r="W225" s="137" t="str">
        <f t="shared" si="155"/>
        <v/>
      </c>
      <c r="X225" s="137" t="str">
        <f t="shared" si="156"/>
        <v/>
      </c>
      <c r="Y225" s="137" t="str">
        <f t="shared" si="157"/>
        <v/>
      </c>
      <c r="Z225" s="137" t="str">
        <f t="shared" si="158"/>
        <v/>
      </c>
      <c r="AA225" s="152"/>
      <c r="AB225" s="152"/>
      <c r="AC225" s="181"/>
      <c r="AD225" s="2"/>
      <c r="AE225" s="2"/>
      <c r="AF225" s="2"/>
      <c r="AG225" s="2"/>
      <c r="AH225" s="2"/>
      <c r="AI225" s="2"/>
      <c r="AJ225" s="2"/>
      <c r="AK225" s="2"/>
      <c r="AL225" s="2"/>
      <c r="AM225" s="2"/>
      <c r="AN225" s="2"/>
      <c r="AO225" s="1"/>
      <c r="AP225" s="1"/>
      <c r="AQ225" s="1"/>
      <c r="AR225" s="1"/>
      <c r="AS225" s="1"/>
      <c r="AT225" s="1"/>
      <c r="AU225" s="1"/>
      <c r="AV225" s="1"/>
      <c r="AW225" s="1"/>
      <c r="AX225" s="1"/>
      <c r="AY225" s="1"/>
    </row>
    <row r="226" spans="1:51" ht="17.25" thickBot="1" x14ac:dyDescent="0.35">
      <c r="A226" s="146">
        <v>50</v>
      </c>
      <c r="B226" s="95"/>
      <c r="C226" s="95"/>
      <c r="D226" s="95"/>
      <c r="E226" s="95"/>
      <c r="F226" s="149">
        <f t="shared" ref="F226" si="179">SUM(M226:M231,O226:O231,Q226:Q231,S226:S231,I226:I231,K226:K231)</f>
        <v>0</v>
      </c>
      <c r="G226" s="149">
        <f t="shared" ref="G226" si="180">SUM(M226:M231,O226:O231,Q226:Q231,S226:S231,U226:U231,K226:K231,I226:I231)</f>
        <v>0</v>
      </c>
      <c r="H226" s="99"/>
      <c r="I226" s="40">
        <f t="shared" si="163"/>
        <v>0</v>
      </c>
      <c r="J226" s="99"/>
      <c r="K226" s="40">
        <f t="shared" si="164"/>
        <v>0</v>
      </c>
      <c r="L226" s="99"/>
      <c r="M226" s="40">
        <f t="shared" si="165"/>
        <v>0</v>
      </c>
      <c r="N226" s="99"/>
      <c r="O226" s="40">
        <f t="shared" si="166"/>
        <v>0</v>
      </c>
      <c r="P226" s="99"/>
      <c r="Q226" s="40">
        <f t="shared" si="150"/>
        <v>0</v>
      </c>
      <c r="R226" s="99"/>
      <c r="S226" s="40">
        <f t="shared" si="151"/>
        <v>0</v>
      </c>
      <c r="T226" s="99"/>
      <c r="U226" s="40">
        <f t="shared" si="152"/>
        <v>0</v>
      </c>
      <c r="V226" s="8">
        <f t="shared" si="167"/>
        <v>0</v>
      </c>
      <c r="W226" s="135" t="str">
        <f t="shared" si="155"/>
        <v/>
      </c>
      <c r="X226" s="135" t="str">
        <f t="shared" si="156"/>
        <v/>
      </c>
      <c r="Y226" s="135" t="str">
        <f t="shared" si="157"/>
        <v/>
      </c>
      <c r="Z226" s="135" t="str">
        <f t="shared" si="158"/>
        <v/>
      </c>
      <c r="AA226" s="152" t="e">
        <f>AVERAGE(W226:W231)</f>
        <v>#DIV/0!</v>
      </c>
      <c r="AB226" s="152">
        <f t="shared" ref="AB226" si="181">SUM(V226:V231)</f>
        <v>0</v>
      </c>
      <c r="AC226" s="179"/>
      <c r="AD226" s="2"/>
      <c r="AE226" s="2"/>
      <c r="AF226" s="2"/>
      <c r="AG226" s="2"/>
      <c r="AH226" s="2"/>
      <c r="AI226" s="2"/>
      <c r="AJ226" s="2"/>
      <c r="AK226" s="2"/>
      <c r="AL226" s="2"/>
      <c r="AM226" s="2"/>
      <c r="AN226" s="2"/>
      <c r="AO226" s="1"/>
      <c r="AP226" s="1"/>
      <c r="AQ226" s="1"/>
      <c r="AR226" s="1"/>
      <c r="AS226" s="1"/>
      <c r="AT226" s="1"/>
      <c r="AU226" s="1"/>
      <c r="AV226" s="1"/>
      <c r="AW226" s="1"/>
      <c r="AX226" s="1"/>
      <c r="AY226" s="1"/>
    </row>
    <row r="227" spans="1:51" ht="17.25" thickBot="1" x14ac:dyDescent="0.35">
      <c r="A227" s="147"/>
      <c r="B227" s="96"/>
      <c r="C227" s="96"/>
      <c r="D227" s="96"/>
      <c r="E227" s="96"/>
      <c r="F227" s="150"/>
      <c r="G227" s="150"/>
      <c r="H227" s="100"/>
      <c r="I227" s="7">
        <f t="shared" si="163"/>
        <v>0</v>
      </c>
      <c r="J227" s="100"/>
      <c r="K227" s="7">
        <f t="shared" si="164"/>
        <v>0</v>
      </c>
      <c r="L227" s="100"/>
      <c r="M227" s="7">
        <f t="shared" si="165"/>
        <v>0</v>
      </c>
      <c r="N227" s="100"/>
      <c r="O227" s="7">
        <f t="shared" si="166"/>
        <v>0</v>
      </c>
      <c r="P227" s="100"/>
      <c r="Q227" s="7">
        <f t="shared" si="150"/>
        <v>0</v>
      </c>
      <c r="R227" s="100"/>
      <c r="S227" s="7">
        <f t="shared" si="151"/>
        <v>0</v>
      </c>
      <c r="T227" s="100"/>
      <c r="U227" s="7">
        <f t="shared" si="152"/>
        <v>0</v>
      </c>
      <c r="V227" s="8">
        <f t="shared" si="167"/>
        <v>0</v>
      </c>
      <c r="W227" s="136" t="str">
        <f t="shared" si="155"/>
        <v/>
      </c>
      <c r="X227" s="136" t="str">
        <f t="shared" si="156"/>
        <v/>
      </c>
      <c r="Y227" s="136" t="str">
        <f t="shared" si="157"/>
        <v/>
      </c>
      <c r="Z227" s="136" t="str">
        <f t="shared" si="158"/>
        <v/>
      </c>
      <c r="AA227" s="152"/>
      <c r="AB227" s="152"/>
      <c r="AC227" s="180"/>
      <c r="AD227" s="2"/>
      <c r="AE227" s="2"/>
      <c r="AF227" s="2"/>
      <c r="AG227" s="2"/>
      <c r="AH227" s="2"/>
      <c r="AI227" s="2"/>
      <c r="AJ227" s="2"/>
      <c r="AK227" s="2"/>
      <c r="AL227" s="2"/>
      <c r="AM227" s="2"/>
      <c r="AN227" s="2"/>
      <c r="AO227" s="1"/>
      <c r="AP227" s="1"/>
      <c r="AQ227" s="1"/>
      <c r="AR227" s="1"/>
      <c r="AS227" s="1"/>
      <c r="AT227" s="1"/>
      <c r="AU227" s="1"/>
      <c r="AV227" s="1"/>
      <c r="AW227" s="1"/>
      <c r="AX227" s="1"/>
      <c r="AY227" s="1"/>
    </row>
    <row r="228" spans="1:51" ht="17.25" thickBot="1" x14ac:dyDescent="0.35">
      <c r="A228" s="147"/>
      <c r="B228" s="97"/>
      <c r="C228" s="97"/>
      <c r="D228" s="97"/>
      <c r="E228" s="97"/>
      <c r="F228" s="150"/>
      <c r="G228" s="150"/>
      <c r="H228" s="100"/>
      <c r="I228" s="7">
        <f t="shared" si="163"/>
        <v>0</v>
      </c>
      <c r="J228" s="100"/>
      <c r="K228" s="7">
        <f t="shared" si="164"/>
        <v>0</v>
      </c>
      <c r="L228" s="100"/>
      <c r="M228" s="7">
        <f t="shared" si="165"/>
        <v>0</v>
      </c>
      <c r="N228" s="100"/>
      <c r="O228" s="7">
        <f t="shared" si="166"/>
        <v>0</v>
      </c>
      <c r="P228" s="100"/>
      <c r="Q228" s="7">
        <f t="shared" si="150"/>
        <v>0</v>
      </c>
      <c r="R228" s="100"/>
      <c r="S228" s="7">
        <f t="shared" si="151"/>
        <v>0</v>
      </c>
      <c r="T228" s="100"/>
      <c r="U228" s="7">
        <f t="shared" si="152"/>
        <v>0</v>
      </c>
      <c r="V228" s="8">
        <f t="shared" si="167"/>
        <v>0</v>
      </c>
      <c r="W228" s="136" t="str">
        <f t="shared" si="155"/>
        <v/>
      </c>
      <c r="X228" s="136" t="str">
        <f t="shared" si="156"/>
        <v/>
      </c>
      <c r="Y228" s="136" t="str">
        <f t="shared" si="157"/>
        <v/>
      </c>
      <c r="Z228" s="136" t="str">
        <f t="shared" si="158"/>
        <v/>
      </c>
      <c r="AA228" s="152"/>
      <c r="AB228" s="152"/>
      <c r="AC228" s="180"/>
      <c r="AD228" s="2"/>
      <c r="AE228" s="2"/>
      <c r="AF228" s="2"/>
      <c r="AG228" s="2"/>
      <c r="AH228" s="2"/>
      <c r="AI228" s="2"/>
      <c r="AJ228" s="2"/>
      <c r="AK228" s="2"/>
      <c r="AL228" s="2"/>
      <c r="AM228" s="2"/>
      <c r="AN228" s="2"/>
      <c r="AO228" s="1"/>
      <c r="AP228" s="1"/>
      <c r="AQ228" s="1"/>
      <c r="AR228" s="1"/>
      <c r="AS228" s="1"/>
      <c r="AT228" s="1"/>
      <c r="AU228" s="1"/>
      <c r="AV228" s="1"/>
      <c r="AW228" s="1"/>
      <c r="AX228" s="1"/>
      <c r="AY228" s="1"/>
    </row>
    <row r="229" spans="1:51" ht="17.25" thickBot="1" x14ac:dyDescent="0.35">
      <c r="A229" s="147"/>
      <c r="B229" s="97"/>
      <c r="C229" s="97"/>
      <c r="D229" s="97"/>
      <c r="E229" s="97"/>
      <c r="F229" s="150"/>
      <c r="G229" s="150"/>
      <c r="H229" s="100"/>
      <c r="I229" s="7">
        <f t="shared" si="163"/>
        <v>0</v>
      </c>
      <c r="J229" s="100"/>
      <c r="K229" s="7">
        <f t="shared" si="164"/>
        <v>0</v>
      </c>
      <c r="L229" s="100"/>
      <c r="M229" s="7">
        <f t="shared" si="165"/>
        <v>0</v>
      </c>
      <c r="N229" s="100"/>
      <c r="O229" s="7">
        <f t="shared" si="166"/>
        <v>0</v>
      </c>
      <c r="P229" s="100"/>
      <c r="Q229" s="7">
        <f t="shared" si="150"/>
        <v>0</v>
      </c>
      <c r="R229" s="100"/>
      <c r="S229" s="7">
        <f t="shared" si="151"/>
        <v>0</v>
      </c>
      <c r="T229" s="100"/>
      <c r="U229" s="7">
        <f t="shared" si="152"/>
        <v>0</v>
      </c>
      <c r="V229" s="8">
        <f t="shared" si="167"/>
        <v>0</v>
      </c>
      <c r="W229" s="136" t="str">
        <f t="shared" si="155"/>
        <v/>
      </c>
      <c r="X229" s="136" t="str">
        <f t="shared" si="156"/>
        <v/>
      </c>
      <c r="Y229" s="136" t="str">
        <f t="shared" si="157"/>
        <v/>
      </c>
      <c r="Z229" s="136" t="str">
        <f t="shared" si="158"/>
        <v/>
      </c>
      <c r="AA229" s="152"/>
      <c r="AB229" s="152"/>
      <c r="AC229" s="180"/>
      <c r="AD229" s="2"/>
      <c r="AE229" s="2"/>
      <c r="AF229" s="2"/>
      <c r="AG229" s="2"/>
      <c r="AH229" s="2"/>
      <c r="AI229" s="2"/>
      <c r="AJ229" s="2"/>
      <c r="AK229" s="2"/>
      <c r="AL229" s="2"/>
      <c r="AM229" s="2"/>
      <c r="AN229" s="2"/>
      <c r="AO229" s="1"/>
      <c r="AP229" s="1"/>
      <c r="AQ229" s="1"/>
      <c r="AR229" s="1"/>
      <c r="AS229" s="1"/>
      <c r="AT229" s="1"/>
      <c r="AU229" s="1"/>
      <c r="AV229" s="1"/>
      <c r="AW229" s="1"/>
      <c r="AX229" s="1"/>
      <c r="AY229" s="1"/>
    </row>
    <row r="230" spans="1:51" ht="17.25" thickBot="1" x14ac:dyDescent="0.35">
      <c r="A230" s="147"/>
      <c r="B230" s="97"/>
      <c r="C230" s="97"/>
      <c r="D230" s="97"/>
      <c r="E230" s="97"/>
      <c r="F230" s="150"/>
      <c r="G230" s="150"/>
      <c r="H230" s="100"/>
      <c r="I230" s="7">
        <f t="shared" si="163"/>
        <v>0</v>
      </c>
      <c r="J230" s="100"/>
      <c r="K230" s="7">
        <f t="shared" si="164"/>
        <v>0</v>
      </c>
      <c r="L230" s="100"/>
      <c r="M230" s="7">
        <f t="shared" si="165"/>
        <v>0</v>
      </c>
      <c r="N230" s="100"/>
      <c r="O230" s="7">
        <f t="shared" si="166"/>
        <v>0</v>
      </c>
      <c r="P230" s="100"/>
      <c r="Q230" s="7">
        <f t="shared" si="150"/>
        <v>0</v>
      </c>
      <c r="R230" s="100"/>
      <c r="S230" s="7">
        <f t="shared" si="151"/>
        <v>0</v>
      </c>
      <c r="T230" s="100"/>
      <c r="U230" s="7">
        <f t="shared" si="152"/>
        <v>0</v>
      </c>
      <c r="V230" s="8">
        <f t="shared" si="167"/>
        <v>0</v>
      </c>
      <c r="W230" s="136" t="str">
        <f t="shared" si="155"/>
        <v/>
      </c>
      <c r="X230" s="136" t="str">
        <f t="shared" si="156"/>
        <v/>
      </c>
      <c r="Y230" s="136" t="str">
        <f t="shared" si="157"/>
        <v/>
      </c>
      <c r="Z230" s="136" t="str">
        <f t="shared" si="158"/>
        <v/>
      </c>
      <c r="AA230" s="152"/>
      <c r="AB230" s="152"/>
      <c r="AC230" s="180"/>
      <c r="AD230" s="2"/>
      <c r="AE230" s="2"/>
      <c r="AF230" s="2"/>
      <c r="AG230" s="2"/>
      <c r="AH230" s="2"/>
      <c r="AI230" s="2"/>
      <c r="AJ230" s="2"/>
      <c r="AK230" s="2"/>
      <c r="AL230" s="2"/>
      <c r="AM230" s="2"/>
      <c r="AN230" s="2"/>
      <c r="AO230" s="1"/>
      <c r="AP230" s="1"/>
      <c r="AQ230" s="1"/>
      <c r="AR230" s="1"/>
      <c r="AS230" s="1"/>
      <c r="AT230" s="1"/>
      <c r="AU230" s="1"/>
      <c r="AV230" s="1"/>
      <c r="AW230" s="1"/>
      <c r="AX230" s="1"/>
      <c r="AY230" s="1"/>
    </row>
    <row r="231" spans="1:51" ht="17.25" thickBot="1" x14ac:dyDescent="0.35">
      <c r="A231" s="148"/>
      <c r="B231" s="98"/>
      <c r="C231" s="98"/>
      <c r="D231" s="98"/>
      <c r="E231" s="98"/>
      <c r="F231" s="151"/>
      <c r="G231" s="151"/>
      <c r="H231" s="101"/>
      <c r="I231" s="39">
        <f t="shared" si="163"/>
        <v>0</v>
      </c>
      <c r="J231" s="101"/>
      <c r="K231" s="39">
        <f t="shared" si="164"/>
        <v>0</v>
      </c>
      <c r="L231" s="101"/>
      <c r="M231" s="39">
        <f t="shared" si="165"/>
        <v>0</v>
      </c>
      <c r="N231" s="101"/>
      <c r="O231" s="39">
        <f t="shared" si="166"/>
        <v>0</v>
      </c>
      <c r="P231" s="101"/>
      <c r="Q231" s="39">
        <f t="shared" si="150"/>
        <v>0</v>
      </c>
      <c r="R231" s="101"/>
      <c r="S231" s="39">
        <f t="shared" si="151"/>
        <v>0</v>
      </c>
      <c r="T231" s="101"/>
      <c r="U231" s="39">
        <f t="shared" si="152"/>
        <v>0</v>
      </c>
      <c r="V231" s="36">
        <f t="shared" si="167"/>
        <v>0</v>
      </c>
      <c r="W231" s="137" t="str">
        <f t="shared" si="155"/>
        <v/>
      </c>
      <c r="X231" s="137" t="str">
        <f t="shared" si="156"/>
        <v/>
      </c>
      <c r="Y231" s="137" t="str">
        <f t="shared" si="157"/>
        <v/>
      </c>
      <c r="Z231" s="137" t="str">
        <f t="shared" si="158"/>
        <v/>
      </c>
      <c r="AA231" s="152"/>
      <c r="AB231" s="152"/>
      <c r="AC231" s="18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ht="16.5" x14ac:dyDescent="0.3">
      <c r="A232" s="41"/>
      <c r="B232" s="42"/>
      <c r="C232" s="42"/>
      <c r="D232" s="42"/>
      <c r="E232" s="42"/>
      <c r="F232" s="42"/>
      <c r="G232" s="42"/>
      <c r="H232" s="42"/>
      <c r="I232" s="42"/>
      <c r="J232" s="42"/>
      <c r="K232" s="42"/>
      <c r="L232" s="42"/>
      <c r="M232" s="42"/>
      <c r="N232" s="42"/>
      <c r="O232" s="42"/>
      <c r="P232" s="42"/>
      <c r="Q232" s="42"/>
      <c r="R232" s="42"/>
      <c r="S232" s="42"/>
      <c r="T232" s="42"/>
      <c r="U232" s="42" t="s">
        <v>39</v>
      </c>
      <c r="V232" s="42">
        <f>AVERAGEIF(V10:V231,"&gt;0",V10:V231)</f>
        <v>0.4876990176151762</v>
      </c>
      <c r="W232" s="42" t="s">
        <v>40</v>
      </c>
      <c r="X232" s="42"/>
      <c r="Y232" s="42"/>
      <c r="Z232" s="42"/>
      <c r="AA232" s="2"/>
      <c r="AB232" s="2"/>
      <c r="AC232" s="2"/>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ht="16.5" x14ac:dyDescent="0.3">
      <c r="A233" s="43"/>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2"/>
      <c r="AB233" s="2"/>
      <c r="AC233" s="2"/>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ht="16.5" x14ac:dyDescent="0.3">
      <c r="A234" s="43"/>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2"/>
      <c r="AB234" s="2"/>
      <c r="AC234" s="2"/>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ht="16.5" x14ac:dyDescent="0.3">
      <c r="A235" s="43"/>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2"/>
      <c r="AB235" s="2"/>
      <c r="AC235" s="2"/>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ht="16.5" x14ac:dyDescent="0.3">
      <c r="A236" s="43"/>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2"/>
      <c r="AB236" s="2"/>
      <c r="AC236" s="2"/>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ht="16.5" x14ac:dyDescent="0.3">
      <c r="A237" s="43"/>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2"/>
      <c r="AB237" s="2"/>
      <c r="AC237" s="2"/>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ht="16.5" x14ac:dyDescent="0.3">
      <c r="A238" s="43"/>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2"/>
      <c r="AB238" s="2"/>
      <c r="AC238" s="2"/>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ht="16.5" x14ac:dyDescent="0.3">
      <c r="A239" s="43"/>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2"/>
      <c r="AB239" s="2"/>
      <c r="AC239" s="2"/>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ht="16.5" x14ac:dyDescent="0.3">
      <c r="A240" s="43"/>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2"/>
      <c r="AB240" s="2"/>
      <c r="AC240" s="2"/>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ht="16.5" x14ac:dyDescent="0.3">
      <c r="A241" s="43"/>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2"/>
      <c r="AB241" s="2"/>
      <c r="AC241" s="2"/>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ht="16.5" x14ac:dyDescent="0.3">
      <c r="A242" s="43"/>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2"/>
      <c r="AB242" s="2"/>
      <c r="AC242" s="2"/>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ht="16.5" x14ac:dyDescent="0.3">
      <c r="A243" s="43"/>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2"/>
      <c r="AB243" s="2"/>
      <c r="AC243" s="2"/>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ht="16.5" x14ac:dyDescent="0.3">
      <c r="A244" s="43"/>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2"/>
      <c r="AB244" s="2"/>
      <c r="AC244" s="2"/>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ht="16.5" x14ac:dyDescent="0.3">
      <c r="A245" s="43"/>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2"/>
      <c r="AB245" s="2"/>
      <c r="AC245" s="2"/>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ht="16.5" x14ac:dyDescent="0.3">
      <c r="A246" s="43"/>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2"/>
      <c r="AB246" s="2"/>
      <c r="AC246" s="2"/>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ht="16.5" x14ac:dyDescent="0.3">
      <c r="A247" s="43"/>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2"/>
      <c r="AB247" s="2"/>
      <c r="AC247" s="2"/>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ht="16.5" x14ac:dyDescent="0.3">
      <c r="A248" s="43"/>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2"/>
      <c r="AB248" s="2"/>
      <c r="AC248" s="2"/>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ht="16.5" x14ac:dyDescent="0.3">
      <c r="A249" s="43"/>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2"/>
      <c r="AB249" s="2"/>
      <c r="AC249" s="2"/>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ht="16.5" x14ac:dyDescent="0.3">
      <c r="A250" s="43"/>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2"/>
      <c r="AB250" s="2"/>
      <c r="AC250" s="2"/>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ht="16.5" x14ac:dyDescent="0.3">
      <c r="A251" s="43"/>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2"/>
      <c r="AB251" s="2"/>
      <c r="AC251" s="2"/>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ht="16.5" x14ac:dyDescent="0.3">
      <c r="A252" s="43"/>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2"/>
      <c r="AB252" s="2"/>
      <c r="AC252" s="2"/>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ht="16.5" x14ac:dyDescent="0.3">
      <c r="A253" s="43"/>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2"/>
      <c r="AB253" s="2"/>
      <c r="AC253" s="2"/>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ht="16.5" x14ac:dyDescent="0.3">
      <c r="A254" s="43"/>
      <c r="B254" s="44"/>
      <c r="C254" s="44"/>
      <c r="D254" s="44"/>
      <c r="E254" s="44"/>
      <c r="F254" s="44"/>
      <c r="G254" s="44"/>
      <c r="H254" s="44"/>
      <c r="I254" s="45"/>
      <c r="J254" s="44"/>
      <c r="K254" s="45"/>
      <c r="L254" s="44"/>
      <c r="M254" s="45"/>
      <c r="N254" s="45"/>
      <c r="O254" s="45"/>
      <c r="P254" s="45"/>
      <c r="Q254" s="45"/>
      <c r="R254" s="45"/>
      <c r="S254" s="45"/>
      <c r="T254" s="45"/>
      <c r="U254" s="45"/>
      <c r="V254" s="45"/>
      <c r="W254" s="44"/>
      <c r="X254" s="44"/>
      <c r="Y254" s="44"/>
      <c r="Z254" s="44"/>
      <c r="AA254" s="2"/>
      <c r="AB254" s="2"/>
      <c r="AC254" s="2"/>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ht="16.5" x14ac:dyDescent="0.3">
      <c r="A255" s="43"/>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ht="16.5" x14ac:dyDescent="0.3">
      <c r="A256" s="43"/>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ht="16.5" x14ac:dyDescent="0.3">
      <c r="A257" s="43"/>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ht="16.5" x14ac:dyDescent="0.3">
      <c r="A258" s="43"/>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ht="16.5" x14ac:dyDescent="0.3">
      <c r="A259" s="43"/>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ht="16.5" x14ac:dyDescent="0.3">
      <c r="A260" s="43"/>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ht="16.5" x14ac:dyDescent="0.3">
      <c r="A261" s="43"/>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ht="16.5" x14ac:dyDescent="0.3">
      <c r="A262" s="43"/>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ht="16.5" x14ac:dyDescent="0.3">
      <c r="A263" s="43"/>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ht="16.5" x14ac:dyDescent="0.3">
      <c r="A264" s="43"/>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ht="16.5" x14ac:dyDescent="0.3">
      <c r="A265" s="43"/>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ht="16.5" x14ac:dyDescent="0.3">
      <c r="A266" s="43"/>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ht="16.5" x14ac:dyDescent="0.3">
      <c r="A267" s="43"/>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ht="16.5" x14ac:dyDescent="0.3">
      <c r="A268" s="43"/>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ht="16.5" x14ac:dyDescent="0.3">
      <c r="A269" s="43"/>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ht="16.5" x14ac:dyDescent="0.3">
      <c r="A270" s="43"/>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ht="16.5" x14ac:dyDescent="0.3">
      <c r="A271" s="43"/>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ht="16.5" x14ac:dyDescent="0.3">
      <c r="A272" s="43"/>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ht="16.5" x14ac:dyDescent="0.3">
      <c r="A273" s="43"/>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ht="16.5" x14ac:dyDescent="0.3">
      <c r="A274" s="43"/>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ht="16.5" x14ac:dyDescent="0.3">
      <c r="A275" s="43"/>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ht="16.5" x14ac:dyDescent="0.3">
      <c r="A276" s="43"/>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ht="16.5" x14ac:dyDescent="0.3">
      <c r="A277" s="43"/>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ht="16.5" x14ac:dyDescent="0.3">
      <c r="A278" s="43"/>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ht="16.5" x14ac:dyDescent="0.3">
      <c r="A279" s="43"/>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ht="16.5" x14ac:dyDescent="0.3">
      <c r="A280" s="43"/>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ht="16.5" x14ac:dyDescent="0.3">
      <c r="A281" s="43"/>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ht="16.5" x14ac:dyDescent="0.3">
      <c r="A282" s="43"/>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ht="16.5" x14ac:dyDescent="0.3">
      <c r="A283" s="43"/>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ht="16.5" x14ac:dyDescent="0.3">
      <c r="A284" s="43"/>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ht="16.5" x14ac:dyDescent="0.3">
      <c r="A285" s="43"/>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ht="16.5" x14ac:dyDescent="0.3">
      <c r="A286" s="43"/>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ht="16.5" x14ac:dyDescent="0.3">
      <c r="A287" s="43"/>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ht="16.5" x14ac:dyDescent="0.3">
      <c r="A288" s="43"/>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ht="16.5" x14ac:dyDescent="0.3">
      <c r="A289" s="43"/>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ht="16.5" x14ac:dyDescent="0.3">
      <c r="A290" s="43"/>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ht="16.5" x14ac:dyDescent="0.3">
      <c r="A291" s="43"/>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1"/>
      <c r="AB291" s="1"/>
      <c r="AC291" s="1"/>
    </row>
    <row r="292" spans="1:51" ht="16.5" x14ac:dyDescent="0.3">
      <c r="A292" s="43"/>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1"/>
      <c r="AB292" s="1"/>
      <c r="AC292" s="1"/>
    </row>
    <row r="293" spans="1:51" ht="16.5" x14ac:dyDescent="0.3">
      <c r="A293" s="43"/>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1"/>
      <c r="AB293" s="1"/>
      <c r="AC293" s="1"/>
    </row>
    <row r="294" spans="1:51" ht="16.5" x14ac:dyDescent="0.3">
      <c r="A294" s="43"/>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1"/>
      <c r="AB294" s="1"/>
      <c r="AC294" s="1"/>
    </row>
    <row r="295" spans="1:51" ht="16.5" x14ac:dyDescent="0.3">
      <c r="A295" s="43"/>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1"/>
      <c r="AB295" s="1"/>
      <c r="AC295" s="1"/>
    </row>
    <row r="296" spans="1:51" ht="16.5" x14ac:dyDescent="0.3">
      <c r="A296" s="43"/>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1"/>
      <c r="AB296" s="1"/>
      <c r="AC296" s="1"/>
    </row>
    <row r="297" spans="1:51" ht="16.5" x14ac:dyDescent="0.3">
      <c r="A297" s="43"/>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1"/>
      <c r="AB297" s="1"/>
      <c r="AC297" s="1"/>
    </row>
    <row r="298" spans="1:51" ht="16.5" x14ac:dyDescent="0.3">
      <c r="A298" s="43"/>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1"/>
      <c r="AB298" s="1"/>
      <c r="AC298" s="1"/>
    </row>
    <row r="299" spans="1:51" ht="16.5" x14ac:dyDescent="0.3">
      <c r="A299" s="43"/>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1"/>
      <c r="AB299" s="1"/>
      <c r="AC299" s="1"/>
    </row>
    <row r="300" spans="1:51" ht="16.5" x14ac:dyDescent="0.3">
      <c r="A300" s="43"/>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1"/>
      <c r="AB300" s="1"/>
      <c r="AC300" s="1"/>
    </row>
    <row r="301" spans="1:51" ht="16.5" x14ac:dyDescent="0.3">
      <c r="A301" s="43"/>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1"/>
      <c r="AB301" s="1"/>
      <c r="AC301" s="1"/>
    </row>
    <row r="302" spans="1:51" ht="16.5" x14ac:dyDescent="0.3">
      <c r="A302" s="43"/>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1"/>
      <c r="AB302" s="1"/>
      <c r="AC302" s="1"/>
    </row>
    <row r="303" spans="1:51" ht="16.5" x14ac:dyDescent="0.3">
      <c r="A303" s="43"/>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1"/>
      <c r="AB303" s="1"/>
      <c r="AC303" s="1"/>
    </row>
    <row r="304" spans="1:51" ht="16.5" x14ac:dyDescent="0.3">
      <c r="A304" s="43"/>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1"/>
      <c r="AB304" s="1"/>
      <c r="AC304" s="1"/>
    </row>
    <row r="305" spans="1:29" ht="16.5" x14ac:dyDescent="0.3">
      <c r="A305" s="43"/>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1"/>
      <c r="AB305" s="1"/>
      <c r="AC305" s="1"/>
    </row>
    <row r="306" spans="1:29" ht="16.5" x14ac:dyDescent="0.3">
      <c r="A306" s="43"/>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1"/>
      <c r="AB306" s="1"/>
      <c r="AC306" s="1"/>
    </row>
    <row r="307" spans="1:29" ht="16.5" x14ac:dyDescent="0.3">
      <c r="A307" s="43"/>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1"/>
      <c r="AB307" s="1"/>
      <c r="AC307" s="1"/>
    </row>
    <row r="308" spans="1:29" ht="16.5" x14ac:dyDescent="0.3">
      <c r="A308" s="43"/>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1"/>
      <c r="AB308" s="1"/>
      <c r="AC308" s="1"/>
    </row>
    <row r="309" spans="1:29" ht="16.5" x14ac:dyDescent="0.3">
      <c r="A309" s="43"/>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1"/>
      <c r="AB309" s="1"/>
      <c r="AC309" s="1"/>
    </row>
    <row r="310" spans="1:29" ht="16.5" x14ac:dyDescent="0.3">
      <c r="A310" s="43"/>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1"/>
      <c r="AB310" s="1"/>
      <c r="AC310" s="1"/>
    </row>
    <row r="311" spans="1:29" ht="16.5" x14ac:dyDescent="0.3">
      <c r="A311" s="43"/>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1"/>
      <c r="AB311" s="1"/>
      <c r="AC311" s="1"/>
    </row>
    <row r="312" spans="1:29" ht="16.5" x14ac:dyDescent="0.3">
      <c r="A312" s="43"/>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1"/>
      <c r="AB312" s="1"/>
      <c r="AC312" s="1"/>
    </row>
    <row r="313" spans="1:29" ht="16.5" x14ac:dyDescent="0.3">
      <c r="A313" s="43"/>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1"/>
      <c r="AB313" s="1"/>
      <c r="AC313" s="1"/>
    </row>
    <row r="314" spans="1:29" ht="16.5" x14ac:dyDescent="0.3">
      <c r="A314" s="43"/>
      <c r="B314" s="45"/>
      <c r="C314" s="45"/>
      <c r="D314" s="45"/>
      <c r="E314" s="45"/>
      <c r="F314" s="45"/>
      <c r="G314" s="45"/>
      <c r="H314" s="45"/>
      <c r="I314" s="43"/>
      <c r="J314" s="45"/>
      <c r="K314" s="43"/>
      <c r="L314" s="45"/>
      <c r="M314" s="43"/>
      <c r="N314" s="43"/>
      <c r="O314" s="43"/>
      <c r="P314" s="43"/>
      <c r="Q314" s="43"/>
      <c r="R314" s="43"/>
      <c r="S314" s="43"/>
      <c r="T314" s="43"/>
      <c r="U314" s="43"/>
      <c r="V314" s="43"/>
      <c r="W314" s="45"/>
      <c r="X314" s="45"/>
      <c r="Y314" s="45"/>
      <c r="Z314" s="45"/>
      <c r="AA314" s="1"/>
      <c r="AB314" s="1"/>
      <c r="AC314" s="1"/>
    </row>
    <row r="315" spans="1:29" x14ac:dyDescent="0.2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9" x14ac:dyDescent="0.25">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sheetData>
  <mergeCells count="250">
    <mergeCell ref="A226:A231"/>
    <mergeCell ref="F226:F231"/>
    <mergeCell ref="G226:G231"/>
    <mergeCell ref="AA226:AA231"/>
    <mergeCell ref="AB226:AB231"/>
    <mergeCell ref="AC226:AC231"/>
    <mergeCell ref="A220:A225"/>
    <mergeCell ref="F220:F225"/>
    <mergeCell ref="G220:G225"/>
    <mergeCell ref="AA220:AA225"/>
    <mergeCell ref="AB220:AB225"/>
    <mergeCell ref="AC220:AC225"/>
    <mergeCell ref="A214:A219"/>
    <mergeCell ref="F214:F219"/>
    <mergeCell ref="G214:G219"/>
    <mergeCell ref="AA214:AA219"/>
    <mergeCell ref="AB214:AB219"/>
    <mergeCell ref="AC214:AC219"/>
    <mergeCell ref="A208:A213"/>
    <mergeCell ref="F208:F213"/>
    <mergeCell ref="G208:G213"/>
    <mergeCell ref="AA208:AA213"/>
    <mergeCell ref="AB208:AB213"/>
    <mergeCell ref="AC208:AC213"/>
    <mergeCell ref="A202:A207"/>
    <mergeCell ref="F202:F207"/>
    <mergeCell ref="G202:G207"/>
    <mergeCell ref="AA202:AA207"/>
    <mergeCell ref="AB202:AB207"/>
    <mergeCell ref="AC202:AC207"/>
    <mergeCell ref="A196:A201"/>
    <mergeCell ref="F196:F201"/>
    <mergeCell ref="G196:G201"/>
    <mergeCell ref="AA196:AA201"/>
    <mergeCell ref="AB196:AB201"/>
    <mergeCell ref="AC196:AC201"/>
    <mergeCell ref="A190:A195"/>
    <mergeCell ref="F190:F195"/>
    <mergeCell ref="G190:G195"/>
    <mergeCell ref="AA190:AA195"/>
    <mergeCell ref="AB190:AB195"/>
    <mergeCell ref="AC190:AC195"/>
    <mergeCell ref="A184:A189"/>
    <mergeCell ref="F184:F189"/>
    <mergeCell ref="G184:G189"/>
    <mergeCell ref="AA184:AA189"/>
    <mergeCell ref="AB184:AB189"/>
    <mergeCell ref="AC184:AC189"/>
    <mergeCell ref="A178:A183"/>
    <mergeCell ref="F178:F183"/>
    <mergeCell ref="G178:G183"/>
    <mergeCell ref="AA178:AA183"/>
    <mergeCell ref="AB178:AB183"/>
    <mergeCell ref="AC178:AC183"/>
    <mergeCell ref="A172:A177"/>
    <mergeCell ref="F172:F177"/>
    <mergeCell ref="G172:G177"/>
    <mergeCell ref="AA172:AA177"/>
    <mergeCell ref="AB172:AB177"/>
    <mergeCell ref="AC172:AC177"/>
    <mergeCell ref="A166:A171"/>
    <mergeCell ref="F166:F171"/>
    <mergeCell ref="G166:G171"/>
    <mergeCell ref="AA166:AA171"/>
    <mergeCell ref="AB166:AB171"/>
    <mergeCell ref="AC166:AC171"/>
    <mergeCell ref="A160:A165"/>
    <mergeCell ref="F160:F165"/>
    <mergeCell ref="G160:G165"/>
    <mergeCell ref="AA160:AA165"/>
    <mergeCell ref="AB160:AB165"/>
    <mergeCell ref="AC160:AC165"/>
    <mergeCell ref="A154:A159"/>
    <mergeCell ref="F154:F159"/>
    <mergeCell ref="G154:G159"/>
    <mergeCell ref="AA154:AA159"/>
    <mergeCell ref="AB154:AB159"/>
    <mergeCell ref="AC154:AC159"/>
    <mergeCell ref="A148:A153"/>
    <mergeCell ref="F148:F153"/>
    <mergeCell ref="G148:G153"/>
    <mergeCell ref="AA148:AA153"/>
    <mergeCell ref="AB148:AB153"/>
    <mergeCell ref="AC148:AC153"/>
    <mergeCell ref="A142:A147"/>
    <mergeCell ref="F142:F147"/>
    <mergeCell ref="G142:G147"/>
    <mergeCell ref="AA142:AA147"/>
    <mergeCell ref="AB142:AB147"/>
    <mergeCell ref="AC142:AC147"/>
    <mergeCell ref="A136:A141"/>
    <mergeCell ref="F136:F141"/>
    <mergeCell ref="G136:G141"/>
    <mergeCell ref="AA136:AA141"/>
    <mergeCell ref="AB136:AB141"/>
    <mergeCell ref="AC136:AC141"/>
    <mergeCell ref="A130:A135"/>
    <mergeCell ref="F130:F135"/>
    <mergeCell ref="G130:G135"/>
    <mergeCell ref="AA130:AA135"/>
    <mergeCell ref="AB130:AB135"/>
    <mergeCell ref="AC130:AC135"/>
    <mergeCell ref="A124:A129"/>
    <mergeCell ref="F124:F129"/>
    <mergeCell ref="G124:G129"/>
    <mergeCell ref="AA124:AA129"/>
    <mergeCell ref="AB124:AB129"/>
    <mergeCell ref="AC124:AC129"/>
    <mergeCell ref="A118:A123"/>
    <mergeCell ref="F118:F123"/>
    <mergeCell ref="G118:G123"/>
    <mergeCell ref="AA118:AA123"/>
    <mergeCell ref="AB118:AB123"/>
    <mergeCell ref="AC118:AC123"/>
    <mergeCell ref="A112:A117"/>
    <mergeCell ref="F112:F117"/>
    <mergeCell ref="G112:G117"/>
    <mergeCell ref="AA112:AA117"/>
    <mergeCell ref="AB112:AB117"/>
    <mergeCell ref="AC112:AC117"/>
    <mergeCell ref="A106:A111"/>
    <mergeCell ref="F106:F111"/>
    <mergeCell ref="G106:G111"/>
    <mergeCell ref="AA106:AA111"/>
    <mergeCell ref="AB106:AB111"/>
    <mergeCell ref="AC106:AC111"/>
    <mergeCell ref="A100:A105"/>
    <mergeCell ref="F100:F105"/>
    <mergeCell ref="G100:G105"/>
    <mergeCell ref="AA100:AA105"/>
    <mergeCell ref="AB100:AB105"/>
    <mergeCell ref="AC100:AC105"/>
    <mergeCell ref="A94:A99"/>
    <mergeCell ref="F94:F99"/>
    <mergeCell ref="G94:G99"/>
    <mergeCell ref="AA94:AA99"/>
    <mergeCell ref="AB94:AB99"/>
    <mergeCell ref="AC94:AC99"/>
    <mergeCell ref="A88:A93"/>
    <mergeCell ref="F88:F93"/>
    <mergeCell ref="G88:G93"/>
    <mergeCell ref="AA88:AA93"/>
    <mergeCell ref="AB88:AB93"/>
    <mergeCell ref="AC88:AC93"/>
    <mergeCell ref="A82:A87"/>
    <mergeCell ref="F82:F87"/>
    <mergeCell ref="G82:G87"/>
    <mergeCell ref="AA82:AA87"/>
    <mergeCell ref="AB82:AB87"/>
    <mergeCell ref="AC82:AC87"/>
    <mergeCell ref="A76:A81"/>
    <mergeCell ref="F76:F81"/>
    <mergeCell ref="G76:G81"/>
    <mergeCell ref="AA76:AA81"/>
    <mergeCell ref="AB76:AB81"/>
    <mergeCell ref="AC76:AC81"/>
    <mergeCell ref="A70:A75"/>
    <mergeCell ref="F70:F75"/>
    <mergeCell ref="G70:G75"/>
    <mergeCell ref="AA70:AA75"/>
    <mergeCell ref="AB70:AB75"/>
    <mergeCell ref="AC70:AC75"/>
    <mergeCell ref="A64:A69"/>
    <mergeCell ref="F64:F69"/>
    <mergeCell ref="G64:G69"/>
    <mergeCell ref="AA64:AA69"/>
    <mergeCell ref="AB64:AB69"/>
    <mergeCell ref="AC64:AC69"/>
    <mergeCell ref="A58:A63"/>
    <mergeCell ref="F58:F63"/>
    <mergeCell ref="G58:G63"/>
    <mergeCell ref="AA58:AA63"/>
    <mergeCell ref="AB58:AB63"/>
    <mergeCell ref="AC58:AC63"/>
    <mergeCell ref="A52:A57"/>
    <mergeCell ref="F52:F57"/>
    <mergeCell ref="G52:G57"/>
    <mergeCell ref="AA52:AA57"/>
    <mergeCell ref="AB52:AB57"/>
    <mergeCell ref="AC52:AC57"/>
    <mergeCell ref="A46:A51"/>
    <mergeCell ref="F46:F51"/>
    <mergeCell ref="G46:G51"/>
    <mergeCell ref="AA46:AA51"/>
    <mergeCell ref="AB46:AB51"/>
    <mergeCell ref="AC46:AC51"/>
    <mergeCell ref="A40:A45"/>
    <mergeCell ref="F40:F45"/>
    <mergeCell ref="G40:G45"/>
    <mergeCell ref="AA40:AA45"/>
    <mergeCell ref="AB40:AB45"/>
    <mergeCell ref="AC40:AC45"/>
    <mergeCell ref="A34:A39"/>
    <mergeCell ref="F34:F39"/>
    <mergeCell ref="G34:G39"/>
    <mergeCell ref="AA34:AA39"/>
    <mergeCell ref="AB34:AB39"/>
    <mergeCell ref="AC34:AC39"/>
    <mergeCell ref="A28:A33"/>
    <mergeCell ref="F28:F33"/>
    <mergeCell ref="G28:G33"/>
    <mergeCell ref="AA28:AA33"/>
    <mergeCell ref="AB28:AB33"/>
    <mergeCell ref="AC28:AC33"/>
    <mergeCell ref="A22:A27"/>
    <mergeCell ref="F22:F27"/>
    <mergeCell ref="G22:G27"/>
    <mergeCell ref="AA22:AA27"/>
    <mergeCell ref="AB22:AB27"/>
    <mergeCell ref="AC22:AC27"/>
    <mergeCell ref="A16:A21"/>
    <mergeCell ref="F16:F21"/>
    <mergeCell ref="G16:G21"/>
    <mergeCell ref="AA16:AA21"/>
    <mergeCell ref="AB16:AB21"/>
    <mergeCell ref="AC16:AC21"/>
    <mergeCell ref="A10:A15"/>
    <mergeCell ref="F10:F15"/>
    <mergeCell ref="G10:G15"/>
    <mergeCell ref="AA10:AA15"/>
    <mergeCell ref="AB10:AB15"/>
    <mergeCell ref="AC10:AC15"/>
    <mergeCell ref="A4:A9"/>
    <mergeCell ref="F4:F9"/>
    <mergeCell ref="G4:G9"/>
    <mergeCell ref="AA4:AA9"/>
    <mergeCell ref="AB4:AB9"/>
    <mergeCell ref="AC4:AC9"/>
    <mergeCell ref="A1:A3"/>
    <mergeCell ref="C1:C2"/>
    <mergeCell ref="D1:D2"/>
    <mergeCell ref="E1:E2"/>
    <mergeCell ref="F1:F2"/>
    <mergeCell ref="G1:G2"/>
    <mergeCell ref="AB1:AB2"/>
    <mergeCell ref="AC1:AC2"/>
    <mergeCell ref="B2:B3"/>
    <mergeCell ref="H2:I2"/>
    <mergeCell ref="J2:K2"/>
    <mergeCell ref="L2:M2"/>
    <mergeCell ref="N2:O2"/>
    <mergeCell ref="P2:Q2"/>
    <mergeCell ref="R2:S2"/>
    <mergeCell ref="T2:U2"/>
    <mergeCell ref="H1:V1"/>
    <mergeCell ref="W1:W2"/>
    <mergeCell ref="X1:X2"/>
    <mergeCell ref="Y1:Y2"/>
    <mergeCell ref="Z1:Z2"/>
    <mergeCell ref="AA1:AA3"/>
  </mergeCells>
  <conditionalFormatting sqref="AA226:AA231 AA10:AA201">
    <cfRule type="colorScale" priority="22">
      <colorScale>
        <cfvo type="min"/>
        <cfvo type="percentile" val="50"/>
        <cfvo type="max"/>
        <color rgb="FFF8696B"/>
        <color rgb="FFFFEB84"/>
        <color rgb="FF63BE7B"/>
      </colorScale>
    </cfRule>
  </conditionalFormatting>
  <conditionalFormatting sqref="AA202:AA207">
    <cfRule type="colorScale" priority="21">
      <colorScale>
        <cfvo type="min"/>
        <cfvo type="percentile" val="50"/>
        <cfvo type="max"/>
        <color rgb="FFF8696B"/>
        <color rgb="FFFFEB84"/>
        <color rgb="FF63BE7B"/>
      </colorScale>
    </cfRule>
  </conditionalFormatting>
  <conditionalFormatting sqref="AA208:AA219">
    <cfRule type="colorScale" priority="20">
      <colorScale>
        <cfvo type="min"/>
        <cfvo type="percentile" val="50"/>
        <cfvo type="max"/>
        <color rgb="FFF8696B"/>
        <color rgb="FFFFEB84"/>
        <color rgb="FF63BE7B"/>
      </colorScale>
    </cfRule>
  </conditionalFormatting>
  <conditionalFormatting sqref="AA220:AA225">
    <cfRule type="colorScale" priority="19">
      <colorScale>
        <cfvo type="min"/>
        <cfvo type="percentile" val="50"/>
        <cfvo type="max"/>
        <color rgb="FFF8696B"/>
        <color rgb="FFFFEB84"/>
        <color rgb="FF63BE7B"/>
      </colorScale>
    </cfRule>
  </conditionalFormatting>
  <conditionalFormatting sqref="F10:F231">
    <cfRule type="top10" dxfId="41" priority="18" rank="1"/>
  </conditionalFormatting>
  <conditionalFormatting sqref="G10:G231 L10:L231">
    <cfRule type="top10" dxfId="40" priority="17" rank="1"/>
  </conditionalFormatting>
  <conditionalFormatting sqref="T10:T231 R10:R231 P10:P231 N10:N231">
    <cfRule type="top10" dxfId="39" priority="16" rank="1"/>
  </conditionalFormatting>
  <conditionalFormatting sqref="H10:H231">
    <cfRule type="top10" dxfId="38" priority="15" rank="1"/>
  </conditionalFormatting>
  <conditionalFormatting sqref="J10:J231">
    <cfRule type="top10" dxfId="37" priority="14" rank="1"/>
  </conditionalFormatting>
  <conditionalFormatting sqref="AC226:AC231 AC10:AC201">
    <cfRule type="colorScale" priority="13">
      <colorScale>
        <cfvo type="min"/>
        <cfvo type="percentile" val="50"/>
        <cfvo type="max"/>
        <color rgb="FFF8696B"/>
        <color rgb="FFFFEB84"/>
        <color rgb="FF63BE7B"/>
      </colorScale>
    </cfRule>
  </conditionalFormatting>
  <conditionalFormatting sqref="AC202:AC207">
    <cfRule type="colorScale" priority="12">
      <colorScale>
        <cfvo type="min"/>
        <cfvo type="percentile" val="50"/>
        <cfvo type="max"/>
        <color rgb="FFF8696B"/>
        <color rgb="FFFFEB84"/>
        <color rgb="FF63BE7B"/>
      </colorScale>
    </cfRule>
  </conditionalFormatting>
  <conditionalFormatting sqref="AC208:AC219">
    <cfRule type="colorScale" priority="11">
      <colorScale>
        <cfvo type="min"/>
        <cfvo type="percentile" val="50"/>
        <cfvo type="max"/>
        <color rgb="FFF8696B"/>
        <color rgb="FFFFEB84"/>
        <color rgb="FF63BE7B"/>
      </colorScale>
    </cfRule>
  </conditionalFormatting>
  <conditionalFormatting sqref="AC220:AC225">
    <cfRule type="colorScale" priority="10">
      <colorScale>
        <cfvo type="min"/>
        <cfvo type="percentile" val="50"/>
        <cfvo type="max"/>
        <color rgb="FFF8696B"/>
        <color rgb="FFFFEB84"/>
        <color rgb="FF63BE7B"/>
      </colorScale>
    </cfRule>
  </conditionalFormatting>
  <conditionalFormatting sqref="AB10:AB231">
    <cfRule type="colorScale" priority="9">
      <colorScale>
        <cfvo type="min"/>
        <cfvo type="percentile" val="50"/>
        <cfvo type="max"/>
        <color rgb="FFF8696B"/>
        <color rgb="FFFFEB84"/>
        <color rgb="FF63BE7B"/>
      </colorScale>
    </cfRule>
  </conditionalFormatting>
  <conditionalFormatting sqref="AA4:AA9">
    <cfRule type="colorScale" priority="8">
      <colorScale>
        <cfvo type="min"/>
        <cfvo type="percentile" val="50"/>
        <cfvo type="max"/>
        <color rgb="FFF8696B"/>
        <color rgb="FFFFEB84"/>
        <color rgb="FF63BE7B"/>
      </colorScale>
    </cfRule>
  </conditionalFormatting>
  <conditionalFormatting sqref="F4:F9">
    <cfRule type="top10" dxfId="36" priority="7" rank="1"/>
  </conditionalFormatting>
  <conditionalFormatting sqref="G4:G9 L4:L9">
    <cfRule type="top10" dxfId="35" priority="6" rank="1"/>
  </conditionalFormatting>
  <conditionalFormatting sqref="T4:T9 R4:R9 P4:P9 N4:N9">
    <cfRule type="top10" dxfId="34" priority="5" rank="1"/>
  </conditionalFormatting>
  <conditionalFormatting sqref="H4:H9">
    <cfRule type="top10" dxfId="33" priority="4" rank="1"/>
  </conditionalFormatting>
  <conditionalFormatting sqref="J4:J9">
    <cfRule type="top10" dxfId="32" priority="3" rank="1"/>
  </conditionalFormatting>
  <conditionalFormatting sqref="AC4:AC9">
    <cfRule type="colorScale" priority="2">
      <colorScale>
        <cfvo type="min"/>
        <cfvo type="percentile" val="50"/>
        <cfvo type="max"/>
        <color rgb="FFF8696B"/>
        <color rgb="FFFFEB84"/>
        <color rgb="FF63BE7B"/>
      </colorScale>
    </cfRule>
  </conditionalFormatting>
  <conditionalFormatting sqref="AB4:AB9">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6"/>
  <sheetViews>
    <sheetView tabSelected="1" zoomScaleNormal="100" workbookViewId="0">
      <pane xSplit="2" ySplit="3" topLeftCell="U184" activePane="bottomRight" state="frozen"/>
      <selection pane="topRight" activeCell="B1" sqref="B1"/>
      <selection pane="bottomLeft" activeCell="A3" sqref="A3"/>
      <selection pane="bottomRight" activeCell="U178" sqref="U178:U183"/>
    </sheetView>
  </sheetViews>
  <sheetFormatPr baseColWidth="10" defaultRowHeight="15" x14ac:dyDescent="0.25"/>
  <cols>
    <col min="1" max="1" width="12.7109375" customWidth="1"/>
    <col min="2" max="3" width="20.7109375" customWidth="1"/>
    <col min="4" max="6" width="12.7109375" customWidth="1"/>
    <col min="7" max="7" width="20.7109375" customWidth="1"/>
    <col min="8" max="8" width="12.7109375" customWidth="1"/>
    <col min="9" max="9" width="20.7109375" customWidth="1"/>
    <col min="10" max="10" width="12.7109375" customWidth="1"/>
    <col min="11" max="11" width="20.7109375" customWidth="1"/>
    <col min="12" max="12" width="12.7109375" customWidth="1"/>
    <col min="13" max="13" width="20.7109375" customWidth="1"/>
    <col min="14" max="14" width="12.7109375" customWidth="1"/>
    <col min="15" max="15" width="20.7109375" customWidth="1"/>
    <col min="16" max="16" width="12.7109375" customWidth="1"/>
    <col min="17" max="19" width="20.7109375" customWidth="1"/>
    <col min="20" max="23" width="16.7109375" customWidth="1"/>
    <col min="24" max="24" width="12.7109375" customWidth="1"/>
    <col min="25" max="25" width="20.7109375" customWidth="1"/>
    <col min="26" max="26" width="12.7109375" customWidth="1"/>
    <col min="27" max="27" width="20.7109375" customWidth="1"/>
  </cols>
  <sheetData>
    <row r="1" spans="1:45" ht="35.1" customHeight="1" thickBot="1" x14ac:dyDescent="0.35">
      <c r="A1" s="165" t="s">
        <v>9</v>
      </c>
      <c r="B1" s="5" t="s">
        <v>5</v>
      </c>
      <c r="C1" s="156" t="s">
        <v>29</v>
      </c>
      <c r="D1" s="156" t="s">
        <v>34</v>
      </c>
      <c r="E1" s="156" t="s">
        <v>33</v>
      </c>
      <c r="F1" s="183">
        <f>'RECAP RENDEMENT'!D4</f>
        <v>17000</v>
      </c>
      <c r="G1" s="184"/>
      <c r="H1" s="184"/>
      <c r="I1" s="184"/>
      <c r="J1" s="184"/>
      <c r="K1" s="184"/>
      <c r="L1" s="184"/>
      <c r="M1" s="184"/>
      <c r="N1" s="184"/>
      <c r="O1" s="184"/>
      <c r="P1" s="184"/>
      <c r="Q1" s="184"/>
      <c r="R1" s="185"/>
      <c r="S1" s="156" t="s">
        <v>2</v>
      </c>
      <c r="T1" s="156" t="s">
        <v>10</v>
      </c>
      <c r="U1" s="156" t="s">
        <v>73</v>
      </c>
      <c r="V1" s="156" t="s">
        <v>43</v>
      </c>
      <c r="W1" s="156" t="s">
        <v>67</v>
      </c>
      <c r="X1" s="3"/>
      <c r="Y1" s="3"/>
      <c r="Z1" s="3"/>
      <c r="AA1" s="3"/>
      <c r="AB1" s="3"/>
      <c r="AC1" s="3"/>
      <c r="AD1" s="3"/>
      <c r="AE1" s="3"/>
      <c r="AF1" s="3"/>
      <c r="AG1" s="3"/>
      <c r="AH1" s="2"/>
      <c r="AI1" s="1"/>
      <c r="AJ1" s="1"/>
      <c r="AK1" s="1"/>
      <c r="AL1" s="1"/>
      <c r="AM1" s="1"/>
      <c r="AN1" s="1"/>
      <c r="AO1" s="1"/>
      <c r="AP1" s="1"/>
      <c r="AQ1" s="1"/>
      <c r="AR1" s="1"/>
      <c r="AS1" s="1"/>
    </row>
    <row r="2" spans="1:45" ht="36" customHeight="1" thickBot="1" x14ac:dyDescent="0.35">
      <c r="A2" s="166"/>
      <c r="B2" s="156" t="s">
        <v>6</v>
      </c>
      <c r="C2" s="157"/>
      <c r="D2" s="157"/>
      <c r="E2" s="157"/>
      <c r="F2" s="112">
        <f>((G3*100)/E$3)</f>
        <v>86.478345400079206</v>
      </c>
      <c r="G2" s="111" t="s">
        <v>30</v>
      </c>
      <c r="H2" s="112">
        <f>((I3*100)/E$3)</f>
        <v>0</v>
      </c>
      <c r="I2" s="111" t="s">
        <v>31</v>
      </c>
      <c r="J2" s="112">
        <f>(K3*100/C$3)</f>
        <v>0</v>
      </c>
      <c r="K2" s="129" t="s">
        <v>41</v>
      </c>
      <c r="L2" s="112">
        <f>(M3*100/E$3)</f>
        <v>6.3265900300668259</v>
      </c>
      <c r="M2" s="129" t="s">
        <v>18</v>
      </c>
      <c r="N2" s="112">
        <f>(O3*100/E$3)</f>
        <v>1.0776590650997144</v>
      </c>
      <c r="O2" s="129" t="s">
        <v>19</v>
      </c>
      <c r="P2" s="112">
        <f>(Q3*100/E$3)</f>
        <v>6.1174055047542568</v>
      </c>
      <c r="Q2" s="129" t="s">
        <v>20</v>
      </c>
      <c r="R2" s="21" t="s">
        <v>32</v>
      </c>
      <c r="S2" s="157"/>
      <c r="T2" s="182"/>
      <c r="U2" s="157"/>
      <c r="V2" s="157"/>
      <c r="W2" s="157"/>
      <c r="X2" s="112"/>
      <c r="Y2" s="111" t="s">
        <v>69</v>
      </c>
      <c r="Z2" s="142"/>
      <c r="AA2" s="143" t="s">
        <v>68</v>
      </c>
      <c r="AB2" s="3"/>
      <c r="AC2" s="3"/>
      <c r="AD2" s="3"/>
      <c r="AE2" s="3"/>
      <c r="AF2" s="3"/>
      <c r="AG2" s="3"/>
      <c r="AH2" s="2"/>
      <c r="AI2" s="1"/>
      <c r="AJ2" s="1"/>
      <c r="AK2" s="1"/>
      <c r="AL2" s="1"/>
      <c r="AM2" s="1"/>
      <c r="AN2" s="1"/>
      <c r="AO2" s="1"/>
      <c r="AP2" s="1"/>
      <c r="AQ2" s="1"/>
      <c r="AR2" s="1"/>
      <c r="AS2" s="1"/>
    </row>
    <row r="3" spans="1:45" ht="17.25" thickBot="1" x14ac:dyDescent="0.35">
      <c r="A3" s="167"/>
      <c r="B3" s="157"/>
      <c r="C3" s="32">
        <f>SUM(C10:C314)</f>
        <v>6169</v>
      </c>
      <c r="D3" s="33">
        <f>SUM(D10:D231)</f>
        <v>626725</v>
      </c>
      <c r="E3" s="33">
        <f>SUM(E10:E231)</f>
        <v>724719</v>
      </c>
      <c r="F3" s="33">
        <v>5</v>
      </c>
      <c r="G3" s="33">
        <f>SUM(G10:G314)</f>
        <v>626725</v>
      </c>
      <c r="H3" s="33">
        <v>5</v>
      </c>
      <c r="I3" s="33">
        <f>SUM(I10:I314)</f>
        <v>0</v>
      </c>
      <c r="J3" s="33">
        <v>14</v>
      </c>
      <c r="K3" s="33">
        <f>SUM(K10:K314)</f>
        <v>0</v>
      </c>
      <c r="L3" s="33">
        <v>5</v>
      </c>
      <c r="M3" s="33">
        <f>SUM(M10:M314)</f>
        <v>45850</v>
      </c>
      <c r="N3" s="33">
        <v>5</v>
      </c>
      <c r="O3" s="33">
        <f>SUM(O10:O231)</f>
        <v>7810</v>
      </c>
      <c r="P3" s="33">
        <v>13.5</v>
      </c>
      <c r="Q3" s="33">
        <f>SUM(Q10:Q314)</f>
        <v>44334</v>
      </c>
      <c r="R3" s="22">
        <f>(G3+I3+M3+O3)/F$1</f>
        <v>40.02264705882353</v>
      </c>
      <c r="S3" s="126">
        <f>(G3+I3+M3+O3+Q3+K3)/C3</f>
        <v>117.47754903550008</v>
      </c>
      <c r="T3" s="157"/>
      <c r="U3" s="116">
        <f>AVERAGEIF(U10:U231,"&gt;0",U10:U231)</f>
        <v>1.228872549019608</v>
      </c>
      <c r="V3" s="116">
        <f>AVERAGEIF(V10:V231,"&gt;0",V10:V231)</f>
        <v>1.3340882352941177</v>
      </c>
      <c r="W3" s="116">
        <f>AVERAGEIF(W10:W231,"&gt;0",W10:W231)</f>
        <v>1.142665314401623</v>
      </c>
      <c r="X3" s="33">
        <v>5</v>
      </c>
      <c r="Y3" s="33">
        <f>SUM(Y10:Y314)</f>
        <v>385</v>
      </c>
      <c r="Z3" s="33">
        <v>5</v>
      </c>
      <c r="AA3" s="33">
        <f>SUM(AA10:AA314)</f>
        <v>405</v>
      </c>
      <c r="AB3" s="2"/>
      <c r="AC3" s="2"/>
      <c r="AD3" s="2"/>
      <c r="AE3" s="2"/>
      <c r="AF3" s="2"/>
      <c r="AG3" s="2"/>
      <c r="AH3" s="2"/>
      <c r="AI3" s="1"/>
      <c r="AJ3" s="1"/>
      <c r="AK3" s="1"/>
      <c r="AL3" s="1"/>
      <c r="AM3" s="1"/>
      <c r="AN3" s="1"/>
      <c r="AO3" s="1"/>
      <c r="AP3" s="1"/>
      <c r="AQ3" s="1"/>
      <c r="AR3" s="1"/>
      <c r="AS3" s="1"/>
    </row>
    <row r="4" spans="1:45" ht="17.25" thickBot="1" x14ac:dyDescent="0.35">
      <c r="A4" s="146">
        <v>13</v>
      </c>
      <c r="B4" s="95"/>
      <c r="C4" s="106"/>
      <c r="D4" s="149">
        <f>SUM(G4:G9,I4:I9,K4:K9)</f>
        <v>0</v>
      </c>
      <c r="E4" s="149">
        <f>SUM(G4:G9,I4:I9,M4:M9,O4:O9,Q4:Q9,K4:K9)</f>
        <v>0</v>
      </c>
      <c r="F4" s="99"/>
      <c r="G4" s="76">
        <f>F4*F$3</f>
        <v>0</v>
      </c>
      <c r="H4" s="99"/>
      <c r="I4" s="76">
        <f>H4*H$3</f>
        <v>0</v>
      </c>
      <c r="J4" s="99"/>
      <c r="K4" s="76">
        <f t="shared" ref="K4:K9" si="0">J4*J$3</f>
        <v>0</v>
      </c>
      <c r="L4" s="99"/>
      <c r="M4" s="76">
        <f t="shared" ref="M4:M9" si="1">L4*L$3</f>
        <v>0</v>
      </c>
      <c r="N4" s="99"/>
      <c r="O4" s="76">
        <f t="shared" ref="O4:O9" si="2">N4*N$3</f>
        <v>0</v>
      </c>
      <c r="P4" s="99"/>
      <c r="Q4" s="76">
        <f t="shared" ref="Q4:Q9" si="3">P4*P$3</f>
        <v>0</v>
      </c>
      <c r="R4" s="77">
        <f>(G4+I4+M4+O4+K4)/F$1</f>
        <v>0</v>
      </c>
      <c r="S4" s="34" t="str">
        <f>IF(C4=0,"",(G4+I4+M4+O4+Q4+K4)/C4)</f>
        <v/>
      </c>
      <c r="T4" s="152" t="e">
        <f>AVERAGE(S4:S9)</f>
        <v>#DIV/0!</v>
      </c>
      <c r="U4" s="179">
        <f t="shared" ref="U4" si="4">(SUM(G4:G9)+SUM(I4:I9))/$F$1</f>
        <v>0</v>
      </c>
      <c r="V4" s="179">
        <f>SUM(R4:R9)</f>
        <v>0</v>
      </c>
      <c r="W4" s="152">
        <v>0</v>
      </c>
      <c r="X4" s="99"/>
      <c r="Y4" s="76">
        <f>X4*X$3</f>
        <v>0</v>
      </c>
      <c r="Z4" s="99"/>
      <c r="AA4" s="76">
        <f>Z4*Z$3</f>
        <v>0</v>
      </c>
      <c r="AB4" s="2"/>
      <c r="AC4" s="2"/>
      <c r="AD4" s="2"/>
      <c r="AE4" s="2"/>
      <c r="AF4" s="2"/>
      <c r="AG4" s="2"/>
      <c r="AH4" s="2"/>
      <c r="AI4" s="1"/>
      <c r="AJ4" s="1"/>
      <c r="AK4" s="1"/>
      <c r="AL4" s="1"/>
      <c r="AM4" s="1"/>
      <c r="AN4" s="1"/>
      <c r="AO4" s="1"/>
      <c r="AP4" s="1"/>
      <c r="AQ4" s="1"/>
      <c r="AR4" s="1"/>
      <c r="AS4" s="1"/>
    </row>
    <row r="5" spans="1:45" ht="17.25" thickBot="1" x14ac:dyDescent="0.35">
      <c r="A5" s="147"/>
      <c r="B5" s="96"/>
      <c r="C5" s="107"/>
      <c r="D5" s="150"/>
      <c r="E5" s="150"/>
      <c r="F5" s="100"/>
      <c r="G5" s="6">
        <f t="shared" ref="G5:G9" si="5">F5*F$3</f>
        <v>0</v>
      </c>
      <c r="H5" s="100"/>
      <c r="I5" s="6">
        <f t="shared" ref="I5:I9" si="6">H5*H$3</f>
        <v>0</v>
      </c>
      <c r="J5" s="100"/>
      <c r="K5" s="6">
        <f t="shared" si="0"/>
        <v>0</v>
      </c>
      <c r="L5" s="100"/>
      <c r="M5" s="6">
        <f t="shared" si="1"/>
        <v>0</v>
      </c>
      <c r="N5" s="100"/>
      <c r="O5" s="6">
        <f t="shared" si="2"/>
        <v>0</v>
      </c>
      <c r="P5" s="100"/>
      <c r="Q5" s="6">
        <f t="shared" si="3"/>
        <v>0</v>
      </c>
      <c r="R5" s="78">
        <f t="shared" ref="R5:R9" si="7">(G5+I5+M5+O5+K5)/F$1</f>
        <v>0</v>
      </c>
      <c r="S5" s="8" t="str">
        <f t="shared" ref="S5:S68" si="8">IF(C5=0,"",(G5+I5+M5+O5+Q5+K5)/C5)</f>
        <v/>
      </c>
      <c r="T5" s="152"/>
      <c r="U5" s="180"/>
      <c r="V5" s="180"/>
      <c r="W5" s="152"/>
      <c r="X5" s="100"/>
      <c r="Y5" s="6">
        <f t="shared" ref="Y5:Y9" si="9">X5*X$3</f>
        <v>0</v>
      </c>
      <c r="Z5" s="100"/>
      <c r="AA5" s="6">
        <f t="shared" ref="AA5:AA9" si="10">Z5*Z$3</f>
        <v>0</v>
      </c>
      <c r="AB5" s="2"/>
      <c r="AC5" s="2"/>
      <c r="AD5" s="2"/>
      <c r="AE5" s="2"/>
      <c r="AF5" s="2"/>
      <c r="AG5" s="2"/>
      <c r="AH5" s="2"/>
      <c r="AI5" s="1"/>
      <c r="AJ5" s="1"/>
      <c r="AK5" s="1"/>
      <c r="AL5" s="1"/>
      <c r="AM5" s="1"/>
      <c r="AN5" s="1"/>
      <c r="AO5" s="1"/>
      <c r="AP5" s="1"/>
      <c r="AQ5" s="1"/>
      <c r="AR5" s="1"/>
      <c r="AS5" s="1"/>
    </row>
    <row r="6" spans="1:45" ht="17.25" thickBot="1" x14ac:dyDescent="0.35">
      <c r="A6" s="147"/>
      <c r="B6" s="97"/>
      <c r="C6" s="107"/>
      <c r="D6" s="150"/>
      <c r="E6" s="150"/>
      <c r="F6" s="100"/>
      <c r="G6" s="6">
        <f t="shared" si="5"/>
        <v>0</v>
      </c>
      <c r="H6" s="100"/>
      <c r="I6" s="6">
        <f t="shared" si="6"/>
        <v>0</v>
      </c>
      <c r="J6" s="100"/>
      <c r="K6" s="6">
        <f t="shared" si="0"/>
        <v>0</v>
      </c>
      <c r="L6" s="100"/>
      <c r="M6" s="6">
        <f t="shared" si="1"/>
        <v>0</v>
      </c>
      <c r="N6" s="100"/>
      <c r="O6" s="6">
        <f t="shared" si="2"/>
        <v>0</v>
      </c>
      <c r="P6" s="100"/>
      <c r="Q6" s="6">
        <f t="shared" si="3"/>
        <v>0</v>
      </c>
      <c r="R6" s="78">
        <f t="shared" si="7"/>
        <v>0</v>
      </c>
      <c r="S6" s="8" t="str">
        <f t="shared" si="8"/>
        <v/>
      </c>
      <c r="T6" s="152"/>
      <c r="U6" s="180"/>
      <c r="V6" s="180"/>
      <c r="W6" s="152"/>
      <c r="X6" s="100"/>
      <c r="Y6" s="6">
        <f t="shared" si="9"/>
        <v>0</v>
      </c>
      <c r="Z6" s="100"/>
      <c r="AA6" s="6">
        <f t="shared" si="10"/>
        <v>0</v>
      </c>
      <c r="AB6" s="2"/>
      <c r="AC6" s="2"/>
      <c r="AD6" s="2"/>
      <c r="AE6" s="2"/>
      <c r="AF6" s="2"/>
      <c r="AG6" s="2"/>
      <c r="AH6" s="2"/>
      <c r="AI6" s="1"/>
      <c r="AJ6" s="1"/>
      <c r="AK6" s="1"/>
      <c r="AL6" s="1"/>
      <c r="AM6" s="1"/>
      <c r="AN6" s="1"/>
      <c r="AO6" s="1"/>
      <c r="AP6" s="1"/>
      <c r="AQ6" s="1"/>
      <c r="AR6" s="1"/>
      <c r="AS6" s="1"/>
    </row>
    <row r="7" spans="1:45" ht="17.25" thickBot="1" x14ac:dyDescent="0.35">
      <c r="A7" s="147"/>
      <c r="B7" s="97"/>
      <c r="C7" s="107"/>
      <c r="D7" s="150"/>
      <c r="E7" s="150"/>
      <c r="F7" s="100"/>
      <c r="G7" s="6">
        <f t="shared" si="5"/>
        <v>0</v>
      </c>
      <c r="H7" s="100"/>
      <c r="I7" s="6">
        <f t="shared" si="6"/>
        <v>0</v>
      </c>
      <c r="J7" s="100"/>
      <c r="K7" s="6">
        <f t="shared" si="0"/>
        <v>0</v>
      </c>
      <c r="L7" s="100"/>
      <c r="M7" s="6">
        <f t="shared" si="1"/>
        <v>0</v>
      </c>
      <c r="N7" s="100"/>
      <c r="O7" s="6">
        <f t="shared" si="2"/>
        <v>0</v>
      </c>
      <c r="P7" s="100"/>
      <c r="Q7" s="6">
        <f t="shared" si="3"/>
        <v>0</v>
      </c>
      <c r="R7" s="78">
        <f t="shared" si="7"/>
        <v>0</v>
      </c>
      <c r="S7" s="8" t="str">
        <f t="shared" si="8"/>
        <v/>
      </c>
      <c r="T7" s="152"/>
      <c r="U7" s="180"/>
      <c r="V7" s="180"/>
      <c r="W7" s="152"/>
      <c r="X7" s="100"/>
      <c r="Y7" s="6">
        <f t="shared" si="9"/>
        <v>0</v>
      </c>
      <c r="Z7" s="100"/>
      <c r="AA7" s="6">
        <f t="shared" si="10"/>
        <v>0</v>
      </c>
      <c r="AB7" s="2"/>
      <c r="AC7" s="2"/>
      <c r="AD7" s="2"/>
      <c r="AE7" s="2"/>
      <c r="AF7" s="2"/>
      <c r="AG7" s="2"/>
      <c r="AH7" s="2"/>
      <c r="AI7" s="1"/>
      <c r="AJ7" s="1"/>
      <c r="AK7" s="1"/>
      <c r="AL7" s="1"/>
      <c r="AM7" s="1"/>
      <c r="AN7" s="1"/>
      <c r="AO7" s="1"/>
      <c r="AP7" s="1"/>
      <c r="AQ7" s="1"/>
      <c r="AR7" s="1"/>
      <c r="AS7" s="1"/>
    </row>
    <row r="8" spans="1:45" ht="17.25" thickBot="1" x14ac:dyDescent="0.35">
      <c r="A8" s="147"/>
      <c r="B8" s="97"/>
      <c r="C8" s="107"/>
      <c r="D8" s="150"/>
      <c r="E8" s="150"/>
      <c r="F8" s="100"/>
      <c r="G8" s="6">
        <f t="shared" si="5"/>
        <v>0</v>
      </c>
      <c r="H8" s="100"/>
      <c r="I8" s="6">
        <f t="shared" si="6"/>
        <v>0</v>
      </c>
      <c r="J8" s="100"/>
      <c r="K8" s="6">
        <f t="shared" si="0"/>
        <v>0</v>
      </c>
      <c r="L8" s="100"/>
      <c r="M8" s="6">
        <f t="shared" si="1"/>
        <v>0</v>
      </c>
      <c r="N8" s="100"/>
      <c r="O8" s="6">
        <f t="shared" si="2"/>
        <v>0</v>
      </c>
      <c r="P8" s="100"/>
      <c r="Q8" s="6">
        <f t="shared" si="3"/>
        <v>0</v>
      </c>
      <c r="R8" s="78">
        <f t="shared" si="7"/>
        <v>0</v>
      </c>
      <c r="S8" s="8" t="str">
        <f t="shared" si="8"/>
        <v/>
      </c>
      <c r="T8" s="152"/>
      <c r="U8" s="180"/>
      <c r="V8" s="180"/>
      <c r="W8" s="152"/>
      <c r="X8" s="100"/>
      <c r="Y8" s="6">
        <f t="shared" si="9"/>
        <v>0</v>
      </c>
      <c r="Z8" s="100"/>
      <c r="AA8" s="6">
        <f t="shared" si="10"/>
        <v>0</v>
      </c>
      <c r="AB8" s="2"/>
      <c r="AC8" s="2"/>
      <c r="AD8" s="2"/>
      <c r="AE8" s="2"/>
      <c r="AF8" s="2"/>
      <c r="AG8" s="2"/>
      <c r="AH8" s="2"/>
      <c r="AI8" s="1"/>
      <c r="AJ8" s="1"/>
      <c r="AK8" s="1"/>
      <c r="AL8" s="1"/>
      <c r="AM8" s="1"/>
      <c r="AN8" s="1"/>
      <c r="AO8" s="1"/>
      <c r="AP8" s="1"/>
      <c r="AQ8" s="1"/>
      <c r="AR8" s="1"/>
      <c r="AS8" s="1"/>
    </row>
    <row r="9" spans="1:45" ht="17.25" thickBot="1" x14ac:dyDescent="0.35">
      <c r="A9" s="148"/>
      <c r="B9" s="98"/>
      <c r="C9" s="108"/>
      <c r="D9" s="151"/>
      <c r="E9" s="151"/>
      <c r="F9" s="101"/>
      <c r="G9" s="37">
        <f t="shared" si="5"/>
        <v>0</v>
      </c>
      <c r="H9" s="101"/>
      <c r="I9" s="37">
        <f t="shared" si="6"/>
        <v>0</v>
      </c>
      <c r="J9" s="101"/>
      <c r="K9" s="37">
        <f t="shared" si="0"/>
        <v>0</v>
      </c>
      <c r="L9" s="101"/>
      <c r="M9" s="37">
        <f t="shared" si="1"/>
        <v>0</v>
      </c>
      <c r="N9" s="101"/>
      <c r="O9" s="37">
        <f t="shared" si="2"/>
        <v>0</v>
      </c>
      <c r="P9" s="101"/>
      <c r="Q9" s="37">
        <f t="shared" si="3"/>
        <v>0</v>
      </c>
      <c r="R9" s="79">
        <f t="shared" si="7"/>
        <v>0</v>
      </c>
      <c r="S9" s="36" t="str">
        <f t="shared" si="8"/>
        <v/>
      </c>
      <c r="T9" s="152"/>
      <c r="U9" s="181"/>
      <c r="V9" s="181"/>
      <c r="W9" s="152"/>
      <c r="X9" s="101"/>
      <c r="Y9" s="37">
        <f t="shared" si="9"/>
        <v>0</v>
      </c>
      <c r="Z9" s="101"/>
      <c r="AA9" s="37">
        <f t="shared" si="10"/>
        <v>0</v>
      </c>
      <c r="AB9" s="2"/>
      <c r="AC9" s="2"/>
      <c r="AD9" s="2"/>
      <c r="AE9" s="2"/>
      <c r="AF9" s="2"/>
      <c r="AG9" s="2"/>
      <c r="AH9" s="2"/>
      <c r="AI9" s="1"/>
      <c r="AJ9" s="1"/>
      <c r="AK9" s="1"/>
      <c r="AL9" s="1"/>
      <c r="AM9" s="1"/>
      <c r="AN9" s="1"/>
      <c r="AO9" s="1"/>
      <c r="AP9" s="1"/>
      <c r="AQ9" s="1"/>
      <c r="AR9" s="1"/>
      <c r="AS9" s="1"/>
    </row>
    <row r="10" spans="1:45" ht="17.25" thickBot="1" x14ac:dyDescent="0.35">
      <c r="A10" s="146">
        <v>14</v>
      </c>
      <c r="B10" s="95"/>
      <c r="C10" s="106"/>
      <c r="D10" s="149">
        <f>SUM(G10:G15,I10:I15,K10:K15)</f>
        <v>0</v>
      </c>
      <c r="E10" s="149">
        <f>SUM(G10:G15,I10:I15,M10:M15,O10:O15,Q10:Q15,K10:K15)</f>
        <v>0</v>
      </c>
      <c r="F10" s="99"/>
      <c r="G10" s="76">
        <f>F10*F$3</f>
        <v>0</v>
      </c>
      <c r="H10" s="99"/>
      <c r="I10" s="76">
        <f>H10*H$3</f>
        <v>0</v>
      </c>
      <c r="J10" s="99"/>
      <c r="K10" s="76">
        <f t="shared" ref="K10:K73" si="11">J10*J$3</f>
        <v>0</v>
      </c>
      <c r="L10" s="99"/>
      <c r="M10" s="76">
        <f t="shared" ref="M10:M73" si="12">L10*L$3</f>
        <v>0</v>
      </c>
      <c r="N10" s="99"/>
      <c r="O10" s="76">
        <f t="shared" ref="O10:O73" si="13">N10*N$3</f>
        <v>0</v>
      </c>
      <c r="P10" s="99"/>
      <c r="Q10" s="76">
        <f t="shared" ref="Q10:Q73" si="14">P10*P$3</f>
        <v>0</v>
      </c>
      <c r="R10" s="77">
        <f>(G10+I10+M10+O10+K10)/F$1</f>
        <v>0</v>
      </c>
      <c r="S10" s="34" t="str">
        <f t="shared" si="8"/>
        <v/>
      </c>
      <c r="T10" s="152" t="e">
        <f>AVERAGE(S10:S15)</f>
        <v>#DIV/0!</v>
      </c>
      <c r="U10" s="179">
        <f t="shared" ref="U10" si="15">(SUM(G10:G15)+SUM(I10:I15))/$F$1</f>
        <v>0</v>
      </c>
      <c r="V10" s="179">
        <f>SUM(R10:R15)</f>
        <v>0</v>
      </c>
      <c r="W10" s="152">
        <v>0</v>
      </c>
      <c r="X10" s="99"/>
      <c r="Y10" s="76">
        <f>X10*X$3</f>
        <v>0</v>
      </c>
      <c r="Z10" s="99"/>
      <c r="AA10" s="76">
        <f>Z10*Z$3</f>
        <v>0</v>
      </c>
      <c r="AB10" s="2"/>
      <c r="AC10" s="2"/>
      <c r="AD10" s="2"/>
      <c r="AE10" s="2"/>
      <c r="AF10" s="2"/>
      <c r="AG10" s="2"/>
      <c r="AH10" s="2"/>
      <c r="AI10" s="1"/>
      <c r="AJ10" s="1"/>
      <c r="AK10" s="1"/>
      <c r="AL10" s="1"/>
      <c r="AM10" s="1"/>
      <c r="AN10" s="1"/>
      <c r="AO10" s="1"/>
      <c r="AP10" s="1"/>
      <c r="AQ10" s="1"/>
      <c r="AR10" s="1"/>
      <c r="AS10" s="1"/>
    </row>
    <row r="11" spans="1:45" ht="17.25" thickBot="1" x14ac:dyDescent="0.35">
      <c r="A11" s="147"/>
      <c r="B11" s="96"/>
      <c r="C11" s="107"/>
      <c r="D11" s="150"/>
      <c r="E11" s="150"/>
      <c r="F11" s="100"/>
      <c r="G11" s="6">
        <f t="shared" ref="G11:G74" si="16">F11*F$3</f>
        <v>0</v>
      </c>
      <c r="H11" s="100"/>
      <c r="I11" s="6">
        <f t="shared" ref="I11:I74" si="17">H11*H$3</f>
        <v>0</v>
      </c>
      <c r="J11" s="100"/>
      <c r="K11" s="6">
        <f t="shared" si="11"/>
        <v>0</v>
      </c>
      <c r="L11" s="100"/>
      <c r="M11" s="6">
        <f t="shared" si="12"/>
        <v>0</v>
      </c>
      <c r="N11" s="100"/>
      <c r="O11" s="6">
        <f t="shared" si="13"/>
        <v>0</v>
      </c>
      <c r="P11" s="100"/>
      <c r="Q11" s="6">
        <f t="shared" si="14"/>
        <v>0</v>
      </c>
      <c r="R11" s="78">
        <f t="shared" ref="R11:R74" si="18">(G11+I11+M11+O11+K11)/F$1</f>
        <v>0</v>
      </c>
      <c r="S11" s="8" t="str">
        <f t="shared" si="8"/>
        <v/>
      </c>
      <c r="T11" s="152"/>
      <c r="U11" s="180"/>
      <c r="V11" s="180"/>
      <c r="W11" s="152"/>
      <c r="X11" s="100"/>
      <c r="Y11" s="6">
        <f t="shared" ref="Y11:Y74" si="19">X11*X$3</f>
        <v>0</v>
      </c>
      <c r="Z11" s="100"/>
      <c r="AA11" s="6">
        <f t="shared" ref="AA11:AA74" si="20">Z11*Z$3</f>
        <v>0</v>
      </c>
      <c r="AB11" s="2"/>
      <c r="AC11" s="2"/>
      <c r="AD11" s="2"/>
      <c r="AE11" s="2"/>
      <c r="AF11" s="2"/>
      <c r="AG11" s="2"/>
      <c r="AH11" s="2"/>
      <c r="AI11" s="1"/>
      <c r="AJ11" s="1"/>
      <c r="AK11" s="1"/>
      <c r="AL11" s="1"/>
      <c r="AM11" s="1"/>
      <c r="AN11" s="1"/>
      <c r="AO11" s="1"/>
      <c r="AP11" s="1"/>
      <c r="AQ11" s="1"/>
      <c r="AR11" s="1"/>
      <c r="AS11" s="1"/>
    </row>
    <row r="12" spans="1:45" ht="17.25" thickBot="1" x14ac:dyDescent="0.35">
      <c r="A12" s="147"/>
      <c r="B12" s="97"/>
      <c r="C12" s="107"/>
      <c r="D12" s="150"/>
      <c r="E12" s="150"/>
      <c r="F12" s="100"/>
      <c r="G12" s="6">
        <f t="shared" si="16"/>
        <v>0</v>
      </c>
      <c r="H12" s="100"/>
      <c r="I12" s="6">
        <f t="shared" si="17"/>
        <v>0</v>
      </c>
      <c r="J12" s="100"/>
      <c r="K12" s="6">
        <f t="shared" si="11"/>
        <v>0</v>
      </c>
      <c r="L12" s="100"/>
      <c r="M12" s="6">
        <f t="shared" si="12"/>
        <v>0</v>
      </c>
      <c r="N12" s="100"/>
      <c r="O12" s="6">
        <f t="shared" si="13"/>
        <v>0</v>
      </c>
      <c r="P12" s="100"/>
      <c r="Q12" s="6">
        <f t="shared" si="14"/>
        <v>0</v>
      </c>
      <c r="R12" s="78">
        <f t="shared" si="18"/>
        <v>0</v>
      </c>
      <c r="S12" s="8" t="str">
        <f t="shared" si="8"/>
        <v/>
      </c>
      <c r="T12" s="152"/>
      <c r="U12" s="180"/>
      <c r="V12" s="180"/>
      <c r="W12" s="152"/>
      <c r="X12" s="100"/>
      <c r="Y12" s="6">
        <f t="shared" si="19"/>
        <v>0</v>
      </c>
      <c r="Z12" s="100"/>
      <c r="AA12" s="6">
        <f t="shared" si="20"/>
        <v>0</v>
      </c>
      <c r="AB12" s="2"/>
      <c r="AC12" s="2"/>
      <c r="AD12" s="2"/>
      <c r="AE12" s="2"/>
      <c r="AF12" s="2"/>
      <c r="AG12" s="2"/>
      <c r="AH12" s="2"/>
      <c r="AI12" s="1"/>
      <c r="AJ12" s="1"/>
      <c r="AK12" s="1"/>
      <c r="AL12" s="1"/>
      <c r="AM12" s="1"/>
      <c r="AN12" s="1"/>
      <c r="AO12" s="1"/>
      <c r="AP12" s="1"/>
      <c r="AQ12" s="1"/>
      <c r="AR12" s="1"/>
      <c r="AS12" s="1"/>
    </row>
    <row r="13" spans="1:45" ht="17.25" thickBot="1" x14ac:dyDescent="0.35">
      <c r="A13" s="147"/>
      <c r="B13" s="97"/>
      <c r="C13" s="107"/>
      <c r="D13" s="150"/>
      <c r="E13" s="150"/>
      <c r="F13" s="100"/>
      <c r="G13" s="6">
        <f t="shared" si="16"/>
        <v>0</v>
      </c>
      <c r="H13" s="100"/>
      <c r="I13" s="6">
        <f t="shared" si="17"/>
        <v>0</v>
      </c>
      <c r="J13" s="100"/>
      <c r="K13" s="6">
        <f t="shared" si="11"/>
        <v>0</v>
      </c>
      <c r="L13" s="100"/>
      <c r="M13" s="6">
        <f t="shared" si="12"/>
        <v>0</v>
      </c>
      <c r="N13" s="100"/>
      <c r="O13" s="6">
        <f t="shared" si="13"/>
        <v>0</v>
      </c>
      <c r="P13" s="100"/>
      <c r="Q13" s="6">
        <f t="shared" si="14"/>
        <v>0</v>
      </c>
      <c r="R13" s="78">
        <f t="shared" si="18"/>
        <v>0</v>
      </c>
      <c r="S13" s="8" t="str">
        <f t="shared" si="8"/>
        <v/>
      </c>
      <c r="T13" s="152"/>
      <c r="U13" s="180"/>
      <c r="V13" s="180"/>
      <c r="W13" s="152"/>
      <c r="X13" s="100"/>
      <c r="Y13" s="6">
        <f t="shared" si="19"/>
        <v>0</v>
      </c>
      <c r="Z13" s="100"/>
      <c r="AA13" s="6">
        <f t="shared" si="20"/>
        <v>0</v>
      </c>
      <c r="AB13" s="2"/>
      <c r="AC13" s="2"/>
      <c r="AD13" s="2"/>
      <c r="AE13" s="2"/>
      <c r="AF13" s="2"/>
      <c r="AG13" s="2"/>
      <c r="AH13" s="2"/>
      <c r="AI13" s="1"/>
      <c r="AJ13" s="1"/>
      <c r="AK13" s="1"/>
      <c r="AL13" s="1"/>
      <c r="AM13" s="1"/>
      <c r="AN13" s="1"/>
      <c r="AO13" s="1"/>
      <c r="AP13" s="1"/>
      <c r="AQ13" s="1"/>
      <c r="AR13" s="1"/>
      <c r="AS13" s="1"/>
    </row>
    <row r="14" spans="1:45" ht="17.25" thickBot="1" x14ac:dyDescent="0.35">
      <c r="A14" s="147"/>
      <c r="B14" s="97"/>
      <c r="C14" s="107"/>
      <c r="D14" s="150"/>
      <c r="E14" s="150"/>
      <c r="F14" s="100"/>
      <c r="G14" s="6">
        <f t="shared" si="16"/>
        <v>0</v>
      </c>
      <c r="H14" s="100"/>
      <c r="I14" s="6">
        <f t="shared" si="17"/>
        <v>0</v>
      </c>
      <c r="J14" s="100"/>
      <c r="K14" s="6">
        <f t="shared" si="11"/>
        <v>0</v>
      </c>
      <c r="L14" s="100"/>
      <c r="M14" s="6">
        <f t="shared" si="12"/>
        <v>0</v>
      </c>
      <c r="N14" s="100"/>
      <c r="O14" s="6">
        <f t="shared" si="13"/>
        <v>0</v>
      </c>
      <c r="P14" s="100"/>
      <c r="Q14" s="6">
        <f t="shared" si="14"/>
        <v>0</v>
      </c>
      <c r="R14" s="78">
        <f t="shared" si="18"/>
        <v>0</v>
      </c>
      <c r="S14" s="8" t="str">
        <f t="shared" si="8"/>
        <v/>
      </c>
      <c r="T14" s="152"/>
      <c r="U14" s="180"/>
      <c r="V14" s="180"/>
      <c r="W14" s="152"/>
      <c r="X14" s="100"/>
      <c r="Y14" s="6">
        <f t="shared" si="19"/>
        <v>0</v>
      </c>
      <c r="Z14" s="100"/>
      <c r="AA14" s="6">
        <f t="shared" si="20"/>
        <v>0</v>
      </c>
      <c r="AB14" s="2"/>
      <c r="AC14" s="2"/>
      <c r="AD14" s="2"/>
      <c r="AE14" s="2"/>
      <c r="AF14" s="2"/>
      <c r="AG14" s="2"/>
      <c r="AH14" s="2"/>
      <c r="AI14" s="1"/>
      <c r="AJ14" s="1"/>
      <c r="AK14" s="1"/>
      <c r="AL14" s="1"/>
      <c r="AM14" s="1"/>
      <c r="AN14" s="1"/>
      <c r="AO14" s="1"/>
      <c r="AP14" s="1"/>
      <c r="AQ14" s="1"/>
      <c r="AR14" s="1"/>
      <c r="AS14" s="1"/>
    </row>
    <row r="15" spans="1:45" ht="17.25" thickBot="1" x14ac:dyDescent="0.35">
      <c r="A15" s="148"/>
      <c r="B15" s="98"/>
      <c r="C15" s="108"/>
      <c r="D15" s="151"/>
      <c r="E15" s="151"/>
      <c r="F15" s="101"/>
      <c r="G15" s="37">
        <f t="shared" si="16"/>
        <v>0</v>
      </c>
      <c r="H15" s="101"/>
      <c r="I15" s="37">
        <f t="shared" si="17"/>
        <v>0</v>
      </c>
      <c r="J15" s="101"/>
      <c r="K15" s="37">
        <f t="shared" si="11"/>
        <v>0</v>
      </c>
      <c r="L15" s="101"/>
      <c r="M15" s="37">
        <f t="shared" si="12"/>
        <v>0</v>
      </c>
      <c r="N15" s="101"/>
      <c r="O15" s="37">
        <f t="shared" si="13"/>
        <v>0</v>
      </c>
      <c r="P15" s="101"/>
      <c r="Q15" s="37">
        <f t="shared" si="14"/>
        <v>0</v>
      </c>
      <c r="R15" s="79">
        <f t="shared" si="18"/>
        <v>0</v>
      </c>
      <c r="S15" s="36" t="str">
        <f t="shared" si="8"/>
        <v/>
      </c>
      <c r="T15" s="152"/>
      <c r="U15" s="181"/>
      <c r="V15" s="181"/>
      <c r="W15" s="152"/>
      <c r="X15" s="101"/>
      <c r="Y15" s="37">
        <f t="shared" si="19"/>
        <v>0</v>
      </c>
      <c r="Z15" s="101"/>
      <c r="AA15" s="37">
        <f t="shared" si="20"/>
        <v>0</v>
      </c>
      <c r="AB15" s="2"/>
      <c r="AC15" s="2"/>
      <c r="AD15" s="2"/>
      <c r="AE15" s="2"/>
      <c r="AF15" s="2"/>
      <c r="AG15" s="2"/>
      <c r="AH15" s="2"/>
      <c r="AI15" s="1"/>
      <c r="AJ15" s="1"/>
      <c r="AK15" s="1"/>
      <c r="AL15" s="1"/>
      <c r="AM15" s="1"/>
      <c r="AN15" s="1"/>
      <c r="AO15" s="1"/>
      <c r="AP15" s="1"/>
      <c r="AQ15" s="1"/>
      <c r="AR15" s="1"/>
      <c r="AS15" s="1"/>
    </row>
    <row r="16" spans="1:45" ht="17.25" thickBot="1" x14ac:dyDescent="0.35">
      <c r="A16" s="146">
        <v>15</v>
      </c>
      <c r="B16" s="95"/>
      <c r="C16" s="106"/>
      <c r="D16" s="149">
        <f t="shared" ref="D16" si="21">SUM(G16:G21,I16:I21,K16:K21)</f>
        <v>0</v>
      </c>
      <c r="E16" s="149">
        <f t="shared" ref="E16" si="22">SUM(G16:G21,I16:I21,M16:M21,O16:O21,Q16:Q21,K16:K21)</f>
        <v>0</v>
      </c>
      <c r="F16" s="99"/>
      <c r="G16" s="38">
        <f t="shared" si="16"/>
        <v>0</v>
      </c>
      <c r="H16" s="99"/>
      <c r="I16" s="38">
        <f t="shared" si="17"/>
        <v>0</v>
      </c>
      <c r="J16" s="99"/>
      <c r="K16" s="38">
        <f t="shared" si="11"/>
        <v>0</v>
      </c>
      <c r="L16" s="99"/>
      <c r="M16" s="38">
        <f t="shared" si="12"/>
        <v>0</v>
      </c>
      <c r="N16" s="99"/>
      <c r="O16" s="38">
        <f t="shared" si="13"/>
        <v>0</v>
      </c>
      <c r="P16" s="99"/>
      <c r="Q16" s="38">
        <f t="shared" si="14"/>
        <v>0</v>
      </c>
      <c r="R16" s="77">
        <f t="shared" si="18"/>
        <v>0</v>
      </c>
      <c r="S16" s="34" t="str">
        <f t="shared" si="8"/>
        <v/>
      </c>
      <c r="T16" s="152" t="e">
        <f t="shared" ref="T16" si="23">AVERAGE(S16:S21)</f>
        <v>#DIV/0!</v>
      </c>
      <c r="U16" s="179">
        <f t="shared" ref="U16" si="24">(SUM(G16:G21)+SUM(I16:I21))/$F$1</f>
        <v>0</v>
      </c>
      <c r="V16" s="179">
        <f t="shared" ref="V16" si="25">SUM(R16:R21)</f>
        <v>0</v>
      </c>
      <c r="W16" s="152">
        <v>0</v>
      </c>
      <c r="X16" s="99"/>
      <c r="Y16" s="38">
        <f t="shared" si="19"/>
        <v>0</v>
      </c>
      <c r="Z16" s="99"/>
      <c r="AA16" s="38">
        <f t="shared" si="20"/>
        <v>0</v>
      </c>
      <c r="AB16" s="2"/>
      <c r="AC16" s="2"/>
      <c r="AD16" s="2"/>
      <c r="AE16" s="2"/>
      <c r="AF16" s="2"/>
      <c r="AG16" s="2"/>
      <c r="AH16" s="2"/>
      <c r="AI16" s="1"/>
      <c r="AJ16" s="1"/>
      <c r="AK16" s="1"/>
      <c r="AL16" s="1"/>
      <c r="AM16" s="1"/>
      <c r="AN16" s="1"/>
      <c r="AO16" s="1"/>
      <c r="AP16" s="1"/>
      <c r="AQ16" s="1"/>
      <c r="AR16" s="1"/>
      <c r="AS16" s="1"/>
    </row>
    <row r="17" spans="1:45" ht="17.25" thickBot="1" x14ac:dyDescent="0.35">
      <c r="A17" s="147"/>
      <c r="B17" s="96"/>
      <c r="C17" s="107"/>
      <c r="D17" s="150"/>
      <c r="E17" s="150"/>
      <c r="F17" s="100"/>
      <c r="G17" s="6">
        <f t="shared" si="16"/>
        <v>0</v>
      </c>
      <c r="H17" s="100"/>
      <c r="I17" s="6">
        <f t="shared" si="17"/>
        <v>0</v>
      </c>
      <c r="J17" s="100"/>
      <c r="K17" s="6">
        <f t="shared" si="11"/>
        <v>0</v>
      </c>
      <c r="L17" s="100"/>
      <c r="M17" s="6">
        <f t="shared" si="12"/>
        <v>0</v>
      </c>
      <c r="N17" s="100"/>
      <c r="O17" s="6">
        <f t="shared" si="13"/>
        <v>0</v>
      </c>
      <c r="P17" s="100"/>
      <c r="Q17" s="6">
        <f t="shared" si="14"/>
        <v>0</v>
      </c>
      <c r="R17" s="78">
        <f t="shared" si="18"/>
        <v>0</v>
      </c>
      <c r="S17" s="8" t="str">
        <f t="shared" si="8"/>
        <v/>
      </c>
      <c r="T17" s="152"/>
      <c r="U17" s="180"/>
      <c r="V17" s="180"/>
      <c r="W17" s="152"/>
      <c r="X17" s="100"/>
      <c r="Y17" s="6">
        <f t="shared" si="19"/>
        <v>0</v>
      </c>
      <c r="Z17" s="100"/>
      <c r="AA17" s="6">
        <f t="shared" si="20"/>
        <v>0</v>
      </c>
      <c r="AB17" s="2"/>
      <c r="AC17" s="2"/>
      <c r="AD17" s="2"/>
      <c r="AE17" s="2"/>
      <c r="AF17" s="2"/>
      <c r="AG17" s="2"/>
      <c r="AH17" s="2"/>
      <c r="AI17" s="1"/>
      <c r="AJ17" s="1"/>
      <c r="AK17" s="1"/>
      <c r="AL17" s="1"/>
      <c r="AM17" s="1"/>
      <c r="AN17" s="1"/>
      <c r="AO17" s="1"/>
      <c r="AP17" s="1"/>
      <c r="AQ17" s="1"/>
      <c r="AR17" s="1"/>
      <c r="AS17" s="1"/>
    </row>
    <row r="18" spans="1:45" ht="17.25" thickBot="1" x14ac:dyDescent="0.35">
      <c r="A18" s="147"/>
      <c r="B18" s="97"/>
      <c r="C18" s="107"/>
      <c r="D18" s="150"/>
      <c r="E18" s="150"/>
      <c r="F18" s="100"/>
      <c r="G18" s="6">
        <f t="shared" si="16"/>
        <v>0</v>
      </c>
      <c r="H18" s="100"/>
      <c r="I18" s="6">
        <f t="shared" si="17"/>
        <v>0</v>
      </c>
      <c r="J18" s="100"/>
      <c r="K18" s="6">
        <f t="shared" si="11"/>
        <v>0</v>
      </c>
      <c r="L18" s="100"/>
      <c r="M18" s="6">
        <f t="shared" si="12"/>
        <v>0</v>
      </c>
      <c r="N18" s="100"/>
      <c r="O18" s="6">
        <f t="shared" si="13"/>
        <v>0</v>
      </c>
      <c r="P18" s="100"/>
      <c r="Q18" s="6">
        <f t="shared" si="14"/>
        <v>0</v>
      </c>
      <c r="R18" s="78">
        <f t="shared" si="18"/>
        <v>0</v>
      </c>
      <c r="S18" s="8" t="str">
        <f t="shared" si="8"/>
        <v/>
      </c>
      <c r="T18" s="152"/>
      <c r="U18" s="180"/>
      <c r="V18" s="180"/>
      <c r="W18" s="152"/>
      <c r="X18" s="100"/>
      <c r="Y18" s="6">
        <f t="shared" si="19"/>
        <v>0</v>
      </c>
      <c r="Z18" s="100"/>
      <c r="AA18" s="6">
        <f t="shared" si="20"/>
        <v>0</v>
      </c>
      <c r="AB18" s="2"/>
      <c r="AC18" s="2"/>
      <c r="AD18" s="2"/>
      <c r="AE18" s="2"/>
      <c r="AF18" s="2"/>
      <c r="AG18" s="2"/>
      <c r="AH18" s="2"/>
      <c r="AI18" s="1"/>
      <c r="AJ18" s="1"/>
      <c r="AK18" s="1"/>
      <c r="AL18" s="1"/>
      <c r="AM18" s="1"/>
      <c r="AN18" s="1"/>
      <c r="AO18" s="1"/>
      <c r="AP18" s="1"/>
      <c r="AQ18" s="1"/>
      <c r="AR18" s="1"/>
      <c r="AS18" s="1"/>
    </row>
    <row r="19" spans="1:45" ht="17.25" thickBot="1" x14ac:dyDescent="0.35">
      <c r="A19" s="147"/>
      <c r="B19" s="97"/>
      <c r="C19" s="107"/>
      <c r="D19" s="150"/>
      <c r="E19" s="150"/>
      <c r="F19" s="100"/>
      <c r="G19" s="6">
        <f t="shared" si="16"/>
        <v>0</v>
      </c>
      <c r="H19" s="100"/>
      <c r="I19" s="6">
        <f t="shared" si="17"/>
        <v>0</v>
      </c>
      <c r="J19" s="100"/>
      <c r="K19" s="6">
        <f t="shared" si="11"/>
        <v>0</v>
      </c>
      <c r="L19" s="100"/>
      <c r="M19" s="6">
        <f t="shared" si="12"/>
        <v>0</v>
      </c>
      <c r="N19" s="100"/>
      <c r="O19" s="6">
        <f t="shared" si="13"/>
        <v>0</v>
      </c>
      <c r="P19" s="100"/>
      <c r="Q19" s="6">
        <f t="shared" si="14"/>
        <v>0</v>
      </c>
      <c r="R19" s="78">
        <f t="shared" si="18"/>
        <v>0</v>
      </c>
      <c r="S19" s="8" t="str">
        <f t="shared" si="8"/>
        <v/>
      </c>
      <c r="T19" s="152"/>
      <c r="U19" s="180"/>
      <c r="V19" s="180"/>
      <c r="W19" s="152"/>
      <c r="X19" s="100"/>
      <c r="Y19" s="6">
        <f t="shared" si="19"/>
        <v>0</v>
      </c>
      <c r="Z19" s="100"/>
      <c r="AA19" s="6">
        <f t="shared" si="20"/>
        <v>0</v>
      </c>
      <c r="AB19" s="2"/>
      <c r="AC19" s="2"/>
      <c r="AD19" s="2"/>
      <c r="AE19" s="2"/>
      <c r="AF19" s="2"/>
      <c r="AG19" s="2"/>
      <c r="AH19" s="2"/>
      <c r="AI19" s="1"/>
      <c r="AJ19" s="1"/>
      <c r="AK19" s="1"/>
      <c r="AL19" s="1"/>
      <c r="AM19" s="1"/>
      <c r="AN19" s="1"/>
      <c r="AO19" s="1"/>
      <c r="AP19" s="1"/>
      <c r="AQ19" s="1"/>
      <c r="AR19" s="1"/>
      <c r="AS19" s="1"/>
    </row>
    <row r="20" spans="1:45" ht="17.25" thickBot="1" x14ac:dyDescent="0.35">
      <c r="A20" s="147"/>
      <c r="B20" s="97"/>
      <c r="C20" s="107"/>
      <c r="D20" s="150"/>
      <c r="E20" s="150"/>
      <c r="F20" s="100"/>
      <c r="G20" s="6">
        <f t="shared" si="16"/>
        <v>0</v>
      </c>
      <c r="H20" s="100"/>
      <c r="I20" s="6">
        <f t="shared" si="17"/>
        <v>0</v>
      </c>
      <c r="J20" s="100"/>
      <c r="K20" s="6">
        <f t="shared" si="11"/>
        <v>0</v>
      </c>
      <c r="L20" s="100"/>
      <c r="M20" s="6">
        <f t="shared" si="12"/>
        <v>0</v>
      </c>
      <c r="N20" s="100"/>
      <c r="O20" s="6">
        <f t="shared" si="13"/>
        <v>0</v>
      </c>
      <c r="P20" s="100"/>
      <c r="Q20" s="6">
        <f t="shared" si="14"/>
        <v>0</v>
      </c>
      <c r="R20" s="78">
        <f t="shared" si="18"/>
        <v>0</v>
      </c>
      <c r="S20" s="8" t="str">
        <f t="shared" si="8"/>
        <v/>
      </c>
      <c r="T20" s="152"/>
      <c r="U20" s="180"/>
      <c r="V20" s="180"/>
      <c r="W20" s="152"/>
      <c r="X20" s="100"/>
      <c r="Y20" s="6">
        <f t="shared" si="19"/>
        <v>0</v>
      </c>
      <c r="Z20" s="100"/>
      <c r="AA20" s="6">
        <f t="shared" si="20"/>
        <v>0</v>
      </c>
      <c r="AB20" s="2"/>
      <c r="AC20" s="2"/>
      <c r="AD20" s="2"/>
      <c r="AE20" s="2"/>
      <c r="AF20" s="2"/>
      <c r="AG20" s="2"/>
      <c r="AH20" s="2"/>
      <c r="AI20" s="1"/>
      <c r="AJ20" s="1"/>
      <c r="AK20" s="1"/>
      <c r="AL20" s="1"/>
      <c r="AM20" s="1"/>
      <c r="AN20" s="1"/>
      <c r="AO20" s="1"/>
      <c r="AP20" s="1"/>
      <c r="AQ20" s="1"/>
      <c r="AR20" s="1"/>
      <c r="AS20" s="1"/>
    </row>
    <row r="21" spans="1:45" ht="17.25" thickBot="1" x14ac:dyDescent="0.35">
      <c r="A21" s="148"/>
      <c r="B21" s="98"/>
      <c r="C21" s="108"/>
      <c r="D21" s="151"/>
      <c r="E21" s="151"/>
      <c r="F21" s="101"/>
      <c r="G21" s="37">
        <f t="shared" si="16"/>
        <v>0</v>
      </c>
      <c r="H21" s="101"/>
      <c r="I21" s="37">
        <f t="shared" si="17"/>
        <v>0</v>
      </c>
      <c r="J21" s="101"/>
      <c r="K21" s="37">
        <f t="shared" si="11"/>
        <v>0</v>
      </c>
      <c r="L21" s="101"/>
      <c r="M21" s="37">
        <f t="shared" si="12"/>
        <v>0</v>
      </c>
      <c r="N21" s="101"/>
      <c r="O21" s="37">
        <f t="shared" si="13"/>
        <v>0</v>
      </c>
      <c r="P21" s="101"/>
      <c r="Q21" s="37">
        <f t="shared" si="14"/>
        <v>0</v>
      </c>
      <c r="R21" s="79">
        <f t="shared" si="18"/>
        <v>0</v>
      </c>
      <c r="S21" s="36" t="str">
        <f t="shared" si="8"/>
        <v/>
      </c>
      <c r="T21" s="152"/>
      <c r="U21" s="181"/>
      <c r="V21" s="181"/>
      <c r="W21" s="152"/>
      <c r="X21" s="101"/>
      <c r="Y21" s="6">
        <f t="shared" si="19"/>
        <v>0</v>
      </c>
      <c r="Z21" s="101"/>
      <c r="AA21" s="6">
        <f t="shared" si="20"/>
        <v>0</v>
      </c>
      <c r="AB21" s="2"/>
      <c r="AC21" s="2"/>
      <c r="AD21" s="2"/>
      <c r="AE21" s="2"/>
      <c r="AF21" s="2"/>
      <c r="AG21" s="2"/>
      <c r="AH21" s="2"/>
      <c r="AI21" s="1"/>
      <c r="AJ21" s="1"/>
      <c r="AK21" s="1"/>
      <c r="AL21" s="1"/>
      <c r="AM21" s="1"/>
      <c r="AN21" s="1"/>
      <c r="AO21" s="1"/>
      <c r="AP21" s="1"/>
      <c r="AQ21" s="1"/>
      <c r="AR21" s="1"/>
      <c r="AS21" s="1"/>
    </row>
    <row r="22" spans="1:45" ht="17.25" thickBot="1" x14ac:dyDescent="0.35">
      <c r="A22" s="146">
        <v>16</v>
      </c>
      <c r="B22" s="105">
        <v>43570</v>
      </c>
      <c r="C22" s="106">
        <v>25.5</v>
      </c>
      <c r="D22" s="149">
        <f t="shared" ref="D22" si="26">SUM(G22:G27,I22:I27,K22:K27)</f>
        <v>10360</v>
      </c>
      <c r="E22" s="149">
        <f t="shared" ref="E22" si="27">SUM(G22:G27,I22:I27,M22:M27,O22:O27,Q22:Q27,K22:K27)</f>
        <v>12641.5</v>
      </c>
      <c r="F22" s="99">
        <v>308</v>
      </c>
      <c r="G22" s="38">
        <f t="shared" si="16"/>
        <v>1540</v>
      </c>
      <c r="H22" s="99"/>
      <c r="I22" s="38">
        <f t="shared" si="17"/>
        <v>0</v>
      </c>
      <c r="J22" s="99"/>
      <c r="K22" s="38">
        <f t="shared" si="11"/>
        <v>0</v>
      </c>
      <c r="L22" s="99">
        <v>13</v>
      </c>
      <c r="M22" s="38">
        <f t="shared" si="12"/>
        <v>65</v>
      </c>
      <c r="N22" s="99">
        <v>7</v>
      </c>
      <c r="O22" s="38">
        <f t="shared" si="13"/>
        <v>35</v>
      </c>
      <c r="P22" s="99">
        <v>8</v>
      </c>
      <c r="Q22" s="38">
        <f t="shared" si="14"/>
        <v>108</v>
      </c>
      <c r="R22" s="77">
        <f t="shared" si="18"/>
        <v>9.6470588235294114E-2</v>
      </c>
      <c r="S22" s="34">
        <f t="shared" si="8"/>
        <v>68.549019607843135</v>
      </c>
      <c r="T22" s="152">
        <f t="shared" ref="T22" si="28">AVERAGE(S22:S27)</f>
        <v>77.766604747162035</v>
      </c>
      <c r="U22" s="179">
        <f>(SUM(G22:G27)+SUM(I22:I27))/$F$1</f>
        <v>0.60941176470588232</v>
      </c>
      <c r="V22" s="179">
        <f t="shared" ref="V22" si="29">SUM(R22:R27)</f>
        <v>0.67294117647058826</v>
      </c>
      <c r="W22" s="152">
        <v>0.22205882352941178</v>
      </c>
      <c r="X22" s="99"/>
      <c r="Y22" s="6">
        <f t="shared" si="19"/>
        <v>0</v>
      </c>
      <c r="Z22" s="99"/>
      <c r="AA22" s="6">
        <f t="shared" si="20"/>
        <v>0</v>
      </c>
      <c r="AB22" s="2"/>
      <c r="AC22" s="2"/>
      <c r="AD22" s="2"/>
      <c r="AE22" s="2"/>
      <c r="AF22" s="2"/>
      <c r="AG22" s="2"/>
      <c r="AH22" s="2"/>
      <c r="AI22" s="1"/>
      <c r="AJ22" s="1"/>
      <c r="AK22" s="1"/>
      <c r="AL22" s="1"/>
      <c r="AM22" s="1"/>
      <c r="AN22" s="1"/>
      <c r="AO22" s="1"/>
      <c r="AP22" s="1"/>
      <c r="AQ22" s="1"/>
      <c r="AR22" s="1"/>
      <c r="AS22" s="1"/>
    </row>
    <row r="23" spans="1:45" ht="17.25" thickBot="1" x14ac:dyDescent="0.35">
      <c r="A23" s="147"/>
      <c r="B23" s="97">
        <v>43571</v>
      </c>
      <c r="C23" s="107">
        <v>17</v>
      </c>
      <c r="D23" s="150"/>
      <c r="E23" s="150"/>
      <c r="F23" s="100">
        <v>224</v>
      </c>
      <c r="G23" s="6">
        <f t="shared" si="16"/>
        <v>1120</v>
      </c>
      <c r="H23" s="100"/>
      <c r="I23" s="6">
        <f t="shared" si="17"/>
        <v>0</v>
      </c>
      <c r="J23" s="100"/>
      <c r="K23" s="6">
        <f t="shared" si="11"/>
        <v>0</v>
      </c>
      <c r="L23" s="100">
        <v>14</v>
      </c>
      <c r="M23" s="6">
        <f t="shared" si="12"/>
        <v>70</v>
      </c>
      <c r="N23" s="100">
        <v>6</v>
      </c>
      <c r="O23" s="6">
        <f t="shared" si="13"/>
        <v>30</v>
      </c>
      <c r="P23" s="100">
        <v>14</v>
      </c>
      <c r="Q23" s="6">
        <f t="shared" si="14"/>
        <v>189</v>
      </c>
      <c r="R23" s="78">
        <f t="shared" si="18"/>
        <v>7.1764705882352939E-2</v>
      </c>
      <c r="S23" s="8">
        <f t="shared" si="8"/>
        <v>82.882352941176464</v>
      </c>
      <c r="T23" s="152"/>
      <c r="U23" s="180"/>
      <c r="V23" s="180"/>
      <c r="W23" s="152"/>
      <c r="X23" s="100"/>
      <c r="Y23" s="6">
        <f t="shared" si="19"/>
        <v>0</v>
      </c>
      <c r="Z23" s="100"/>
      <c r="AA23" s="6">
        <f t="shared" si="20"/>
        <v>0</v>
      </c>
      <c r="AB23" s="2"/>
      <c r="AC23" s="2"/>
      <c r="AD23" s="2"/>
      <c r="AE23" s="2"/>
      <c r="AF23" s="2"/>
      <c r="AG23" s="2"/>
      <c r="AH23" s="2"/>
      <c r="AI23" s="1"/>
      <c r="AJ23" s="1"/>
      <c r="AK23" s="1"/>
      <c r="AL23" s="1"/>
      <c r="AM23" s="1"/>
      <c r="AN23" s="1"/>
      <c r="AO23" s="1"/>
      <c r="AP23" s="1"/>
      <c r="AQ23" s="1"/>
      <c r="AR23" s="1"/>
      <c r="AS23" s="1"/>
    </row>
    <row r="24" spans="1:45" ht="17.25" thickBot="1" x14ac:dyDescent="0.35">
      <c r="A24" s="147"/>
      <c r="B24" s="97">
        <v>43572</v>
      </c>
      <c r="C24" s="107">
        <v>25.5</v>
      </c>
      <c r="D24" s="150"/>
      <c r="E24" s="150"/>
      <c r="F24" s="100">
        <v>293</v>
      </c>
      <c r="G24" s="6">
        <f t="shared" si="16"/>
        <v>1465</v>
      </c>
      <c r="H24" s="100"/>
      <c r="I24" s="6">
        <f t="shared" si="17"/>
        <v>0</v>
      </c>
      <c r="J24" s="100"/>
      <c r="K24" s="6">
        <f t="shared" si="11"/>
        <v>0</v>
      </c>
      <c r="L24" s="100">
        <v>27</v>
      </c>
      <c r="M24" s="6">
        <f t="shared" si="12"/>
        <v>135</v>
      </c>
      <c r="N24" s="100">
        <v>14</v>
      </c>
      <c r="O24" s="6">
        <f t="shared" si="13"/>
        <v>70</v>
      </c>
      <c r="P24" s="100">
        <v>19</v>
      </c>
      <c r="Q24" s="6">
        <f t="shared" si="14"/>
        <v>256.5</v>
      </c>
      <c r="R24" s="80">
        <f t="shared" si="18"/>
        <v>9.823529411764706E-2</v>
      </c>
      <c r="S24" s="8">
        <f t="shared" si="8"/>
        <v>75.549019607843135</v>
      </c>
      <c r="T24" s="152"/>
      <c r="U24" s="180"/>
      <c r="V24" s="180"/>
      <c r="W24" s="152"/>
      <c r="X24" s="100"/>
      <c r="Y24" s="6">
        <f t="shared" si="19"/>
        <v>0</v>
      </c>
      <c r="Z24" s="100"/>
      <c r="AA24" s="6">
        <f t="shared" si="20"/>
        <v>0</v>
      </c>
      <c r="AB24" s="2"/>
      <c r="AC24" s="2"/>
      <c r="AD24" s="2"/>
      <c r="AE24" s="2"/>
      <c r="AF24" s="2"/>
      <c r="AG24" s="2"/>
      <c r="AH24" s="2"/>
      <c r="AI24" s="1"/>
      <c r="AJ24" s="1"/>
      <c r="AK24" s="1"/>
      <c r="AL24" s="1"/>
      <c r="AM24" s="1"/>
      <c r="AN24" s="1"/>
      <c r="AO24" s="1"/>
      <c r="AP24" s="1"/>
      <c r="AQ24" s="1"/>
      <c r="AR24" s="1"/>
      <c r="AS24" s="1"/>
    </row>
    <row r="25" spans="1:45" ht="17.25" thickBot="1" x14ac:dyDescent="0.35">
      <c r="A25" s="147"/>
      <c r="B25" s="97">
        <v>43573</v>
      </c>
      <c r="C25" s="107">
        <v>38</v>
      </c>
      <c r="D25" s="150"/>
      <c r="E25" s="150"/>
      <c r="F25" s="100">
        <v>471</v>
      </c>
      <c r="G25" s="6">
        <f t="shared" si="16"/>
        <v>2355</v>
      </c>
      <c r="H25" s="100"/>
      <c r="I25" s="6">
        <f t="shared" si="17"/>
        <v>0</v>
      </c>
      <c r="J25" s="100"/>
      <c r="K25" s="6">
        <f t="shared" si="11"/>
        <v>0</v>
      </c>
      <c r="L25" s="100">
        <v>38</v>
      </c>
      <c r="M25" s="6">
        <f t="shared" si="12"/>
        <v>190</v>
      </c>
      <c r="N25" s="100">
        <v>27</v>
      </c>
      <c r="O25" s="6">
        <f t="shared" si="13"/>
        <v>135</v>
      </c>
      <c r="P25" s="100">
        <v>24</v>
      </c>
      <c r="Q25" s="6">
        <f t="shared" si="14"/>
        <v>324</v>
      </c>
      <c r="R25" s="80">
        <f t="shared" si="18"/>
        <v>0.15764705882352942</v>
      </c>
      <c r="S25" s="8">
        <f t="shared" si="8"/>
        <v>79.05263157894737</v>
      </c>
      <c r="T25" s="152"/>
      <c r="U25" s="180"/>
      <c r="V25" s="180"/>
      <c r="W25" s="152"/>
      <c r="X25" s="100">
        <v>2.5</v>
      </c>
      <c r="Y25" s="6">
        <f t="shared" si="19"/>
        <v>12.5</v>
      </c>
      <c r="Z25" s="100">
        <v>4</v>
      </c>
      <c r="AA25" s="6">
        <f t="shared" si="20"/>
        <v>20</v>
      </c>
      <c r="AB25" s="2"/>
      <c r="AC25" s="2"/>
      <c r="AD25" s="2"/>
      <c r="AE25" s="2"/>
      <c r="AF25" s="2"/>
      <c r="AG25" s="2"/>
      <c r="AH25" s="2"/>
      <c r="AI25" s="1"/>
      <c r="AJ25" s="1"/>
      <c r="AK25" s="1"/>
      <c r="AL25" s="1"/>
      <c r="AM25" s="1"/>
      <c r="AN25" s="1"/>
      <c r="AO25" s="1"/>
      <c r="AP25" s="1"/>
      <c r="AQ25" s="1"/>
      <c r="AR25" s="1"/>
      <c r="AS25" s="1"/>
    </row>
    <row r="26" spans="1:45" ht="17.25" thickBot="1" x14ac:dyDescent="0.35">
      <c r="A26" s="147"/>
      <c r="B26" s="97">
        <v>43574</v>
      </c>
      <c r="C26" s="107">
        <v>55</v>
      </c>
      <c r="D26" s="150"/>
      <c r="E26" s="150"/>
      <c r="F26" s="100">
        <v>776</v>
      </c>
      <c r="G26" s="6">
        <f t="shared" si="16"/>
        <v>3880</v>
      </c>
      <c r="H26" s="100"/>
      <c r="I26" s="6">
        <f t="shared" si="17"/>
        <v>0</v>
      </c>
      <c r="J26" s="100"/>
      <c r="K26" s="6">
        <f t="shared" si="11"/>
        <v>0</v>
      </c>
      <c r="L26" s="100">
        <v>48</v>
      </c>
      <c r="M26" s="6">
        <f t="shared" si="12"/>
        <v>240</v>
      </c>
      <c r="N26" s="100">
        <v>22</v>
      </c>
      <c r="O26" s="6">
        <f t="shared" si="13"/>
        <v>110</v>
      </c>
      <c r="P26" s="100">
        <v>24</v>
      </c>
      <c r="Q26" s="6">
        <f t="shared" si="14"/>
        <v>324</v>
      </c>
      <c r="R26" s="80">
        <f t="shared" si="18"/>
        <v>0.24882352941176469</v>
      </c>
      <c r="S26" s="8">
        <f t="shared" si="8"/>
        <v>82.8</v>
      </c>
      <c r="T26" s="152"/>
      <c r="U26" s="180"/>
      <c r="V26" s="180"/>
      <c r="W26" s="152"/>
      <c r="X26" s="100"/>
      <c r="Y26" s="6">
        <f t="shared" si="19"/>
        <v>0</v>
      </c>
      <c r="Z26" s="100"/>
      <c r="AA26" s="6">
        <f t="shared" si="20"/>
        <v>0</v>
      </c>
      <c r="AB26" s="2"/>
      <c r="AC26" s="2"/>
      <c r="AD26" s="2"/>
      <c r="AE26" s="2"/>
      <c r="AF26" s="2"/>
      <c r="AG26" s="2"/>
      <c r="AH26" s="2"/>
      <c r="AI26" s="1"/>
      <c r="AJ26" s="1"/>
      <c r="AK26" s="1"/>
      <c r="AL26" s="1"/>
      <c r="AM26" s="1"/>
      <c r="AN26" s="1"/>
      <c r="AO26" s="1"/>
      <c r="AP26" s="1"/>
      <c r="AQ26" s="1"/>
      <c r="AR26" s="1"/>
      <c r="AS26" s="1"/>
    </row>
    <row r="27" spans="1:45" ht="17.25" thickBot="1" x14ac:dyDescent="0.35">
      <c r="A27" s="148"/>
      <c r="B27" s="98"/>
      <c r="C27" s="108"/>
      <c r="D27" s="151"/>
      <c r="E27" s="151"/>
      <c r="F27" s="101"/>
      <c r="G27" s="37">
        <f t="shared" si="16"/>
        <v>0</v>
      </c>
      <c r="H27" s="101"/>
      <c r="I27" s="37">
        <f t="shared" si="17"/>
        <v>0</v>
      </c>
      <c r="J27" s="101"/>
      <c r="K27" s="37">
        <f t="shared" si="11"/>
        <v>0</v>
      </c>
      <c r="L27" s="101"/>
      <c r="M27" s="37">
        <f t="shared" si="12"/>
        <v>0</v>
      </c>
      <c r="N27" s="101"/>
      <c r="O27" s="37">
        <f t="shared" si="13"/>
        <v>0</v>
      </c>
      <c r="P27" s="101"/>
      <c r="Q27" s="37">
        <f t="shared" si="14"/>
        <v>0</v>
      </c>
      <c r="R27" s="81">
        <f t="shared" si="18"/>
        <v>0</v>
      </c>
      <c r="S27" s="36" t="str">
        <f t="shared" si="8"/>
        <v/>
      </c>
      <c r="T27" s="152"/>
      <c r="U27" s="181"/>
      <c r="V27" s="181"/>
      <c r="W27" s="152"/>
      <c r="X27" s="101"/>
      <c r="Y27" s="6">
        <f t="shared" si="19"/>
        <v>0</v>
      </c>
      <c r="Z27" s="101"/>
      <c r="AA27" s="6">
        <f t="shared" si="20"/>
        <v>0</v>
      </c>
      <c r="AB27" s="2"/>
      <c r="AC27" s="2"/>
      <c r="AD27" s="2"/>
      <c r="AE27" s="2"/>
      <c r="AF27" s="2"/>
      <c r="AG27" s="2"/>
      <c r="AH27" s="2"/>
      <c r="AI27" s="1"/>
      <c r="AJ27" s="1"/>
      <c r="AK27" s="1"/>
      <c r="AL27" s="1"/>
      <c r="AM27" s="1"/>
      <c r="AN27" s="1"/>
      <c r="AO27" s="1"/>
      <c r="AP27" s="1"/>
      <c r="AQ27" s="1"/>
      <c r="AR27" s="1"/>
      <c r="AS27" s="1"/>
    </row>
    <row r="28" spans="1:45" ht="17.25" thickBot="1" x14ac:dyDescent="0.35">
      <c r="A28" s="147">
        <v>17</v>
      </c>
      <c r="B28" s="105">
        <v>43577</v>
      </c>
      <c r="C28" s="106">
        <v>27</v>
      </c>
      <c r="D28" s="149">
        <f t="shared" ref="D28" si="30">SUM(G28:G33,I28:I33,K28:K33)</f>
        <v>17495</v>
      </c>
      <c r="E28" s="149">
        <f t="shared" ref="E28" si="31">SUM(G28:G33,I28:I33,M28:M33,O28:O33,Q28:Q33,K28:K33)</f>
        <v>19658.5</v>
      </c>
      <c r="F28" s="99">
        <v>439</v>
      </c>
      <c r="G28" s="6">
        <f t="shared" si="16"/>
        <v>2195</v>
      </c>
      <c r="H28" s="99"/>
      <c r="I28" s="6">
        <f t="shared" si="17"/>
        <v>0</v>
      </c>
      <c r="J28" s="99"/>
      <c r="K28" s="6">
        <f t="shared" si="11"/>
        <v>0</v>
      </c>
      <c r="L28" s="99">
        <v>18</v>
      </c>
      <c r="M28" s="6">
        <f t="shared" si="12"/>
        <v>90</v>
      </c>
      <c r="N28" s="99">
        <v>6</v>
      </c>
      <c r="O28" s="6">
        <f t="shared" si="13"/>
        <v>30</v>
      </c>
      <c r="P28" s="99">
        <v>9</v>
      </c>
      <c r="Q28" s="6">
        <f t="shared" si="14"/>
        <v>121.5</v>
      </c>
      <c r="R28" s="80">
        <f t="shared" si="18"/>
        <v>0.13617647058823529</v>
      </c>
      <c r="S28" s="8">
        <f t="shared" si="8"/>
        <v>90.240740740740748</v>
      </c>
      <c r="T28" s="152">
        <f t="shared" ref="T28" si="32">AVERAGE(S28:S33)</f>
        <v>98.690644290123444</v>
      </c>
      <c r="U28" s="179">
        <f>(SUM(G28:G33)+SUM(I28:I33))/$F$1</f>
        <v>1.0291176470588235</v>
      </c>
      <c r="V28" s="179">
        <f t="shared" ref="V28" si="33">SUM(R28:R33)</f>
        <v>1.1079411764705882</v>
      </c>
      <c r="W28" s="152">
        <v>0.54823529411764715</v>
      </c>
      <c r="X28" s="99"/>
      <c r="Y28" s="6">
        <f t="shared" si="19"/>
        <v>0</v>
      </c>
      <c r="Z28" s="99"/>
      <c r="AA28" s="6">
        <f t="shared" si="20"/>
        <v>0</v>
      </c>
      <c r="AB28" s="2"/>
      <c r="AC28" s="2"/>
      <c r="AD28" s="2"/>
      <c r="AE28" s="2"/>
      <c r="AF28" s="2"/>
      <c r="AG28" s="2"/>
      <c r="AH28" s="2"/>
      <c r="AI28" s="1"/>
      <c r="AJ28" s="1"/>
      <c r="AK28" s="1"/>
      <c r="AL28" s="1"/>
      <c r="AM28" s="1"/>
      <c r="AN28" s="1"/>
      <c r="AO28" s="1"/>
      <c r="AP28" s="1"/>
      <c r="AQ28" s="1"/>
      <c r="AR28" s="1"/>
      <c r="AS28" s="1"/>
    </row>
    <row r="29" spans="1:45" ht="17.25" thickBot="1" x14ac:dyDescent="0.35">
      <c r="A29" s="147"/>
      <c r="B29" s="97">
        <v>43578</v>
      </c>
      <c r="C29" s="107">
        <v>36</v>
      </c>
      <c r="D29" s="150"/>
      <c r="E29" s="150"/>
      <c r="F29" s="100">
        <v>660</v>
      </c>
      <c r="G29" s="6">
        <f t="shared" si="16"/>
        <v>3300</v>
      </c>
      <c r="H29" s="100"/>
      <c r="I29" s="6">
        <f t="shared" si="17"/>
        <v>0</v>
      </c>
      <c r="J29" s="100"/>
      <c r="K29" s="6">
        <f t="shared" si="11"/>
        <v>0</v>
      </c>
      <c r="L29" s="100">
        <v>32</v>
      </c>
      <c r="M29" s="6">
        <f t="shared" si="12"/>
        <v>160</v>
      </c>
      <c r="N29" s="100">
        <v>13</v>
      </c>
      <c r="O29" s="6">
        <f t="shared" si="13"/>
        <v>65</v>
      </c>
      <c r="P29" s="100">
        <v>12</v>
      </c>
      <c r="Q29" s="6">
        <f t="shared" si="14"/>
        <v>162</v>
      </c>
      <c r="R29" s="80">
        <f t="shared" si="18"/>
        <v>0.2073529411764706</v>
      </c>
      <c r="S29" s="8">
        <f t="shared" si="8"/>
        <v>102.41666666666667</v>
      </c>
      <c r="T29" s="152"/>
      <c r="U29" s="180"/>
      <c r="V29" s="180"/>
      <c r="W29" s="152"/>
      <c r="X29" s="100"/>
      <c r="Y29" s="6">
        <f t="shared" si="19"/>
        <v>0</v>
      </c>
      <c r="Z29" s="100"/>
      <c r="AA29" s="6">
        <f t="shared" si="20"/>
        <v>0</v>
      </c>
      <c r="AB29" s="2"/>
      <c r="AC29" s="2"/>
      <c r="AD29" s="2"/>
      <c r="AE29" s="2"/>
      <c r="AF29" s="2"/>
      <c r="AG29" s="2"/>
      <c r="AH29" s="2"/>
      <c r="AI29" s="1"/>
      <c r="AJ29" s="1"/>
      <c r="AK29" s="1"/>
      <c r="AL29" s="1"/>
      <c r="AM29" s="1"/>
      <c r="AN29" s="1"/>
      <c r="AO29" s="1"/>
      <c r="AP29" s="1"/>
      <c r="AQ29" s="1"/>
      <c r="AR29" s="1"/>
      <c r="AS29" s="1"/>
    </row>
    <row r="30" spans="1:45" ht="17.25" thickBot="1" x14ac:dyDescent="0.35">
      <c r="A30" s="147"/>
      <c r="B30" s="97">
        <v>43579</v>
      </c>
      <c r="C30" s="107">
        <v>32</v>
      </c>
      <c r="D30" s="150"/>
      <c r="E30" s="150"/>
      <c r="F30" s="100">
        <v>544</v>
      </c>
      <c r="G30" s="6">
        <f t="shared" si="16"/>
        <v>2720</v>
      </c>
      <c r="H30" s="100"/>
      <c r="I30" s="6">
        <f t="shared" si="17"/>
        <v>0</v>
      </c>
      <c r="J30" s="100"/>
      <c r="K30" s="6">
        <f t="shared" si="11"/>
        <v>0</v>
      </c>
      <c r="L30" s="100">
        <v>37</v>
      </c>
      <c r="M30" s="6">
        <f t="shared" si="12"/>
        <v>185</v>
      </c>
      <c r="N30" s="100">
        <v>11</v>
      </c>
      <c r="O30" s="6">
        <f t="shared" si="13"/>
        <v>55</v>
      </c>
      <c r="P30" s="100">
        <v>11</v>
      </c>
      <c r="Q30" s="6">
        <f t="shared" si="14"/>
        <v>148.5</v>
      </c>
      <c r="R30" s="80">
        <f t="shared" si="18"/>
        <v>0.17411764705882352</v>
      </c>
      <c r="S30" s="8">
        <f t="shared" si="8"/>
        <v>97.140625</v>
      </c>
      <c r="T30" s="152"/>
      <c r="U30" s="180"/>
      <c r="V30" s="180"/>
      <c r="W30" s="152"/>
      <c r="X30" s="100"/>
      <c r="Y30" s="6">
        <f t="shared" si="19"/>
        <v>0</v>
      </c>
      <c r="Z30" s="100"/>
      <c r="AA30" s="6">
        <f t="shared" si="20"/>
        <v>0</v>
      </c>
      <c r="AB30" s="2"/>
      <c r="AC30" s="2"/>
      <c r="AD30" s="2"/>
      <c r="AE30" s="2"/>
      <c r="AF30" s="2"/>
      <c r="AG30" s="2"/>
      <c r="AH30" s="2"/>
      <c r="AI30" s="1"/>
      <c r="AJ30" s="1"/>
      <c r="AK30" s="1"/>
      <c r="AL30" s="1"/>
      <c r="AM30" s="1"/>
      <c r="AN30" s="1"/>
      <c r="AO30" s="1"/>
      <c r="AP30" s="1"/>
      <c r="AQ30" s="1"/>
      <c r="AR30" s="1"/>
      <c r="AS30" s="1"/>
    </row>
    <row r="31" spans="1:45" ht="17.25" thickBot="1" x14ac:dyDescent="0.35">
      <c r="A31" s="147"/>
      <c r="B31" s="97">
        <v>43580</v>
      </c>
      <c r="C31" s="107">
        <v>40</v>
      </c>
      <c r="D31" s="150"/>
      <c r="E31" s="150"/>
      <c r="F31" s="100">
        <v>662</v>
      </c>
      <c r="G31" s="6">
        <f t="shared" si="16"/>
        <v>3310</v>
      </c>
      <c r="H31" s="100"/>
      <c r="I31" s="6">
        <f t="shared" si="17"/>
        <v>0</v>
      </c>
      <c r="J31" s="100"/>
      <c r="K31" s="6">
        <f t="shared" si="11"/>
        <v>0</v>
      </c>
      <c r="L31" s="100">
        <v>48</v>
      </c>
      <c r="M31" s="6">
        <f t="shared" si="12"/>
        <v>240</v>
      </c>
      <c r="N31" s="100">
        <v>14</v>
      </c>
      <c r="O31" s="6">
        <f t="shared" si="13"/>
        <v>70</v>
      </c>
      <c r="P31" s="100">
        <v>15</v>
      </c>
      <c r="Q31" s="6">
        <f t="shared" si="14"/>
        <v>202.5</v>
      </c>
      <c r="R31" s="80">
        <f t="shared" si="18"/>
        <v>0.21294117647058824</v>
      </c>
      <c r="S31" s="8">
        <f t="shared" si="8"/>
        <v>95.5625</v>
      </c>
      <c r="T31" s="152"/>
      <c r="U31" s="180"/>
      <c r="V31" s="180"/>
      <c r="W31" s="152"/>
      <c r="X31" s="100">
        <v>3</v>
      </c>
      <c r="Y31" s="6">
        <f t="shared" si="19"/>
        <v>15</v>
      </c>
      <c r="Z31" s="100">
        <v>2</v>
      </c>
      <c r="AA31" s="6">
        <f t="shared" si="20"/>
        <v>10</v>
      </c>
      <c r="AB31" s="2"/>
      <c r="AC31" s="2"/>
      <c r="AD31" s="2"/>
      <c r="AE31" s="2"/>
      <c r="AF31" s="2"/>
      <c r="AG31" s="2"/>
      <c r="AH31" s="2"/>
      <c r="AI31" s="1"/>
      <c r="AJ31" s="1"/>
      <c r="AK31" s="1"/>
      <c r="AL31" s="1"/>
      <c r="AM31" s="1"/>
      <c r="AN31" s="1"/>
      <c r="AO31" s="1"/>
      <c r="AP31" s="1"/>
      <c r="AQ31" s="1"/>
      <c r="AR31" s="1"/>
      <c r="AS31" s="1"/>
    </row>
    <row r="32" spans="1:45" ht="17.25" thickBot="1" x14ac:dyDescent="0.35">
      <c r="A32" s="147"/>
      <c r="B32" s="97">
        <v>43581</v>
      </c>
      <c r="C32" s="107">
        <v>40</v>
      </c>
      <c r="D32" s="150"/>
      <c r="E32" s="150"/>
      <c r="F32" s="100">
        <v>744</v>
      </c>
      <c r="G32" s="6">
        <f t="shared" si="16"/>
        <v>3720</v>
      </c>
      <c r="H32" s="100"/>
      <c r="I32" s="6">
        <f t="shared" si="17"/>
        <v>0</v>
      </c>
      <c r="J32" s="100"/>
      <c r="K32" s="6">
        <f t="shared" si="11"/>
        <v>0</v>
      </c>
      <c r="L32" s="100">
        <v>43</v>
      </c>
      <c r="M32" s="6">
        <f t="shared" si="12"/>
        <v>215</v>
      </c>
      <c r="N32" s="100">
        <v>12</v>
      </c>
      <c r="O32" s="6">
        <f t="shared" si="13"/>
        <v>60</v>
      </c>
      <c r="P32" s="100">
        <v>8</v>
      </c>
      <c r="Q32" s="6">
        <f t="shared" si="14"/>
        <v>108</v>
      </c>
      <c r="R32" s="80">
        <f t="shared" si="18"/>
        <v>0.23499999999999999</v>
      </c>
      <c r="S32" s="8">
        <f t="shared" si="8"/>
        <v>102.575</v>
      </c>
      <c r="T32" s="152"/>
      <c r="U32" s="180"/>
      <c r="V32" s="180"/>
      <c r="W32" s="152"/>
      <c r="X32" s="100"/>
      <c r="Y32" s="6">
        <f t="shared" si="19"/>
        <v>0</v>
      </c>
      <c r="Z32" s="100"/>
      <c r="AA32" s="6">
        <f t="shared" si="20"/>
        <v>0</v>
      </c>
      <c r="AB32" s="2"/>
      <c r="AC32" s="2"/>
      <c r="AD32" s="2"/>
      <c r="AE32" s="2"/>
      <c r="AF32" s="2"/>
      <c r="AG32" s="2"/>
      <c r="AH32" s="2"/>
      <c r="AI32" s="1"/>
      <c r="AJ32" s="1"/>
      <c r="AK32" s="1"/>
      <c r="AL32" s="1"/>
      <c r="AM32" s="1"/>
      <c r="AN32" s="1"/>
      <c r="AO32" s="1"/>
      <c r="AP32" s="1"/>
      <c r="AQ32" s="1"/>
      <c r="AR32" s="1"/>
      <c r="AS32" s="1"/>
    </row>
    <row r="33" spans="1:45" ht="17.25" thickBot="1" x14ac:dyDescent="0.35">
      <c r="A33" s="148"/>
      <c r="B33" s="98">
        <v>43217</v>
      </c>
      <c r="C33" s="108">
        <v>24</v>
      </c>
      <c r="D33" s="151"/>
      <c r="E33" s="151"/>
      <c r="F33" s="101">
        <v>450</v>
      </c>
      <c r="G33" s="37">
        <f t="shared" si="16"/>
        <v>2250</v>
      </c>
      <c r="H33" s="101"/>
      <c r="I33" s="37">
        <f t="shared" si="17"/>
        <v>0</v>
      </c>
      <c r="J33" s="101"/>
      <c r="K33" s="37">
        <f t="shared" si="11"/>
        <v>0</v>
      </c>
      <c r="L33" s="101">
        <v>26</v>
      </c>
      <c r="M33" s="37">
        <f t="shared" si="12"/>
        <v>130</v>
      </c>
      <c r="N33" s="101">
        <v>8</v>
      </c>
      <c r="O33" s="37">
        <f t="shared" si="13"/>
        <v>40</v>
      </c>
      <c r="P33" s="101">
        <v>6</v>
      </c>
      <c r="Q33" s="37">
        <f t="shared" si="14"/>
        <v>81</v>
      </c>
      <c r="R33" s="81">
        <f t="shared" si="18"/>
        <v>0.1423529411764706</v>
      </c>
      <c r="S33" s="36">
        <f t="shared" si="8"/>
        <v>104.20833333333333</v>
      </c>
      <c r="T33" s="152"/>
      <c r="U33" s="181"/>
      <c r="V33" s="181"/>
      <c r="W33" s="152"/>
      <c r="X33" s="101"/>
      <c r="Y33" s="37">
        <f t="shared" si="19"/>
        <v>0</v>
      </c>
      <c r="Z33" s="101"/>
      <c r="AA33" s="37">
        <f t="shared" si="20"/>
        <v>0</v>
      </c>
      <c r="AB33" s="2"/>
      <c r="AC33" s="2"/>
      <c r="AD33" s="2"/>
      <c r="AE33" s="2"/>
      <c r="AF33" s="2"/>
      <c r="AG33" s="2"/>
      <c r="AH33" s="2"/>
      <c r="AI33" s="1"/>
      <c r="AJ33" s="1"/>
      <c r="AK33" s="1"/>
      <c r="AL33" s="1"/>
      <c r="AM33" s="1"/>
      <c r="AN33" s="1"/>
      <c r="AO33" s="1"/>
      <c r="AP33" s="1"/>
      <c r="AQ33" s="1"/>
      <c r="AR33" s="1"/>
      <c r="AS33" s="1"/>
    </row>
    <row r="34" spans="1:45" ht="17.25" thickBot="1" x14ac:dyDescent="0.35">
      <c r="A34" s="146">
        <v>18</v>
      </c>
      <c r="B34" s="105">
        <v>43584</v>
      </c>
      <c r="C34" s="106">
        <v>50</v>
      </c>
      <c r="D34" s="149">
        <f t="shared" ref="D34" si="34">SUM(G34:G39,I34:I39,K34:K39)</f>
        <v>29045</v>
      </c>
      <c r="E34" s="149">
        <f t="shared" ref="E34" si="35">SUM(G34:G39,I34:I39,M34:M39,O34:O39,Q34:Q39,K34:K39)</f>
        <v>31754.5</v>
      </c>
      <c r="F34" s="99">
        <v>1041</v>
      </c>
      <c r="G34" s="38">
        <f t="shared" si="16"/>
        <v>5205</v>
      </c>
      <c r="H34" s="99"/>
      <c r="I34" s="38">
        <f t="shared" si="17"/>
        <v>0</v>
      </c>
      <c r="J34" s="99"/>
      <c r="K34" s="38">
        <f t="shared" si="11"/>
        <v>0</v>
      </c>
      <c r="L34" s="99">
        <v>42</v>
      </c>
      <c r="M34" s="38">
        <f t="shared" si="12"/>
        <v>210</v>
      </c>
      <c r="N34" s="99">
        <v>11</v>
      </c>
      <c r="O34" s="38">
        <f t="shared" si="13"/>
        <v>55</v>
      </c>
      <c r="P34" s="99">
        <v>8</v>
      </c>
      <c r="Q34" s="38">
        <f t="shared" si="14"/>
        <v>108</v>
      </c>
      <c r="R34" s="82">
        <f t="shared" si="18"/>
        <v>0.32176470588235295</v>
      </c>
      <c r="S34" s="34">
        <f t="shared" si="8"/>
        <v>111.56</v>
      </c>
      <c r="T34" s="152">
        <f>AVERAGE(S34:S39)</f>
        <v>113.78726859798955</v>
      </c>
      <c r="U34" s="179">
        <f>(SUM(G34:G39)+SUM(I34:I39))/$F$1</f>
        <v>1.7085294117647059</v>
      </c>
      <c r="V34" s="179">
        <f t="shared" ref="V34" si="36">SUM(R34:R39)</f>
        <v>1.8147058823529409</v>
      </c>
      <c r="W34" s="152">
        <v>1.1176470588235292</v>
      </c>
      <c r="X34" s="99"/>
      <c r="Y34" s="38">
        <f t="shared" si="19"/>
        <v>0</v>
      </c>
      <c r="Z34" s="99"/>
      <c r="AA34" s="38">
        <f t="shared" si="20"/>
        <v>0</v>
      </c>
      <c r="AB34" s="2"/>
      <c r="AC34" s="2"/>
      <c r="AD34" s="2"/>
      <c r="AE34" s="2"/>
      <c r="AF34" s="2"/>
      <c r="AG34" s="2"/>
      <c r="AH34" s="2"/>
      <c r="AI34" s="1"/>
      <c r="AJ34" s="1"/>
      <c r="AK34" s="1"/>
      <c r="AL34" s="1"/>
      <c r="AM34" s="1"/>
      <c r="AN34" s="1"/>
      <c r="AO34" s="1"/>
      <c r="AP34" s="1"/>
      <c r="AQ34" s="1"/>
      <c r="AR34" s="1"/>
      <c r="AS34" s="1"/>
    </row>
    <row r="35" spans="1:45" ht="17.25" thickBot="1" x14ac:dyDescent="0.35">
      <c r="A35" s="147"/>
      <c r="B35" s="97">
        <v>43585</v>
      </c>
      <c r="C35" s="107">
        <v>50</v>
      </c>
      <c r="D35" s="150"/>
      <c r="E35" s="150"/>
      <c r="F35" s="100">
        <v>1042</v>
      </c>
      <c r="G35" s="6">
        <f t="shared" si="16"/>
        <v>5210</v>
      </c>
      <c r="H35" s="100"/>
      <c r="I35" s="6">
        <f t="shared" si="17"/>
        <v>0</v>
      </c>
      <c r="J35" s="100"/>
      <c r="K35" s="6">
        <f t="shared" si="11"/>
        <v>0</v>
      </c>
      <c r="L35" s="100">
        <v>58</v>
      </c>
      <c r="M35" s="6">
        <f t="shared" si="12"/>
        <v>290</v>
      </c>
      <c r="N35" s="100">
        <v>21</v>
      </c>
      <c r="O35" s="6">
        <f t="shared" si="13"/>
        <v>105</v>
      </c>
      <c r="P35" s="100">
        <v>11</v>
      </c>
      <c r="Q35" s="6">
        <f t="shared" si="14"/>
        <v>148.5</v>
      </c>
      <c r="R35" s="80">
        <f t="shared" si="18"/>
        <v>0.32970588235294118</v>
      </c>
      <c r="S35" s="8">
        <f t="shared" si="8"/>
        <v>115.07</v>
      </c>
      <c r="T35" s="152"/>
      <c r="U35" s="180"/>
      <c r="V35" s="180"/>
      <c r="W35" s="152"/>
      <c r="X35" s="100"/>
      <c r="Y35" s="6">
        <f t="shared" si="19"/>
        <v>0</v>
      </c>
      <c r="Z35" s="100"/>
      <c r="AA35" s="6">
        <f t="shared" si="20"/>
        <v>0</v>
      </c>
      <c r="AB35" s="2"/>
      <c r="AC35" s="2"/>
      <c r="AD35" s="2"/>
      <c r="AE35" s="2"/>
      <c r="AF35" s="2"/>
      <c r="AG35" s="2"/>
      <c r="AH35" s="2"/>
      <c r="AI35" s="1"/>
      <c r="AJ35" s="1"/>
      <c r="AK35" s="1"/>
      <c r="AL35" s="1"/>
      <c r="AM35" s="1"/>
      <c r="AN35" s="1"/>
      <c r="AO35" s="1"/>
      <c r="AP35" s="1"/>
      <c r="AQ35" s="1"/>
      <c r="AR35" s="1"/>
      <c r="AS35" s="1"/>
    </row>
    <row r="36" spans="1:45" ht="17.25" thickBot="1" x14ac:dyDescent="0.35">
      <c r="A36" s="147"/>
      <c r="B36" s="97">
        <v>43586</v>
      </c>
      <c r="C36" s="107">
        <v>30</v>
      </c>
      <c r="D36" s="150"/>
      <c r="E36" s="150"/>
      <c r="F36" s="100">
        <v>568</v>
      </c>
      <c r="G36" s="6">
        <f t="shared" si="16"/>
        <v>2840</v>
      </c>
      <c r="H36" s="100"/>
      <c r="I36" s="6">
        <f t="shared" si="17"/>
        <v>0</v>
      </c>
      <c r="J36" s="100"/>
      <c r="K36" s="6">
        <f t="shared" si="11"/>
        <v>0</v>
      </c>
      <c r="L36" s="100">
        <v>36</v>
      </c>
      <c r="M36" s="6">
        <f t="shared" si="12"/>
        <v>180</v>
      </c>
      <c r="N36" s="100">
        <v>11</v>
      </c>
      <c r="O36" s="6">
        <f t="shared" si="13"/>
        <v>55</v>
      </c>
      <c r="P36" s="100">
        <v>7</v>
      </c>
      <c r="Q36" s="6">
        <f t="shared" si="14"/>
        <v>94.5</v>
      </c>
      <c r="R36" s="80">
        <f t="shared" si="18"/>
        <v>0.18088235294117647</v>
      </c>
      <c r="S36" s="8">
        <f t="shared" si="8"/>
        <v>105.65</v>
      </c>
      <c r="T36" s="152"/>
      <c r="U36" s="180"/>
      <c r="V36" s="180"/>
      <c r="W36" s="152"/>
      <c r="X36" s="100"/>
      <c r="Y36" s="6">
        <f t="shared" si="19"/>
        <v>0</v>
      </c>
      <c r="Z36" s="100"/>
      <c r="AA36" s="6">
        <f t="shared" si="20"/>
        <v>0</v>
      </c>
      <c r="AB36" s="2"/>
      <c r="AC36" s="2"/>
      <c r="AD36" s="2"/>
      <c r="AE36" s="2"/>
      <c r="AF36" s="2"/>
      <c r="AG36" s="2"/>
      <c r="AH36" s="2"/>
      <c r="AI36" s="1"/>
      <c r="AJ36" s="1"/>
      <c r="AK36" s="1"/>
      <c r="AL36" s="1"/>
      <c r="AM36" s="1"/>
      <c r="AN36" s="1"/>
      <c r="AO36" s="1"/>
      <c r="AP36" s="1"/>
      <c r="AQ36" s="1"/>
      <c r="AR36" s="1"/>
      <c r="AS36" s="1"/>
    </row>
    <row r="37" spans="1:45" ht="17.25" thickBot="1" x14ac:dyDescent="0.35">
      <c r="A37" s="147"/>
      <c r="B37" s="97">
        <v>43587</v>
      </c>
      <c r="C37" s="107">
        <v>49</v>
      </c>
      <c r="D37" s="150"/>
      <c r="E37" s="150"/>
      <c r="F37" s="100">
        <v>1014</v>
      </c>
      <c r="G37" s="6">
        <f t="shared" si="16"/>
        <v>5070</v>
      </c>
      <c r="H37" s="100"/>
      <c r="I37" s="6">
        <f t="shared" si="17"/>
        <v>0</v>
      </c>
      <c r="J37" s="100"/>
      <c r="K37" s="6">
        <f t="shared" si="11"/>
        <v>0</v>
      </c>
      <c r="L37" s="100">
        <v>61</v>
      </c>
      <c r="M37" s="6">
        <f t="shared" si="12"/>
        <v>305</v>
      </c>
      <c r="N37" s="100"/>
      <c r="O37" s="6">
        <f t="shared" si="13"/>
        <v>0</v>
      </c>
      <c r="P37" s="100">
        <v>18</v>
      </c>
      <c r="Q37" s="6">
        <f t="shared" si="14"/>
        <v>243</v>
      </c>
      <c r="R37" s="80">
        <f t="shared" si="18"/>
        <v>0.31617647058823528</v>
      </c>
      <c r="S37" s="8">
        <f t="shared" si="8"/>
        <v>114.65306122448979</v>
      </c>
      <c r="T37" s="152"/>
      <c r="U37" s="180"/>
      <c r="V37" s="180"/>
      <c r="W37" s="152"/>
      <c r="X37" s="100">
        <v>2.5</v>
      </c>
      <c r="Y37" s="6">
        <f t="shared" si="19"/>
        <v>12.5</v>
      </c>
      <c r="Z37" s="100">
        <v>3.5</v>
      </c>
      <c r="AA37" s="6">
        <f t="shared" si="20"/>
        <v>17.5</v>
      </c>
      <c r="AB37" s="2"/>
      <c r="AC37" s="2"/>
      <c r="AD37" s="2"/>
      <c r="AE37" s="2"/>
      <c r="AF37" s="2"/>
      <c r="AG37" s="2"/>
      <c r="AH37" s="2"/>
      <c r="AI37" s="1"/>
      <c r="AJ37" s="1"/>
      <c r="AK37" s="1"/>
      <c r="AL37" s="1"/>
      <c r="AM37" s="1"/>
      <c r="AN37" s="1"/>
      <c r="AO37" s="1"/>
      <c r="AP37" s="1"/>
      <c r="AQ37" s="1"/>
      <c r="AR37" s="1"/>
      <c r="AS37" s="1"/>
    </row>
    <row r="38" spans="1:45" ht="17.25" thickBot="1" x14ac:dyDescent="0.35">
      <c r="A38" s="147"/>
      <c r="B38" s="97">
        <v>43223</v>
      </c>
      <c r="C38" s="107">
        <v>53.5</v>
      </c>
      <c r="D38" s="150"/>
      <c r="E38" s="150"/>
      <c r="F38" s="100">
        <v>1178</v>
      </c>
      <c r="G38" s="6">
        <f t="shared" si="16"/>
        <v>5890</v>
      </c>
      <c r="H38" s="100"/>
      <c r="I38" s="6">
        <f t="shared" si="17"/>
        <v>0</v>
      </c>
      <c r="J38" s="100"/>
      <c r="K38" s="6">
        <f t="shared" si="11"/>
        <v>0</v>
      </c>
      <c r="L38" s="100">
        <v>69</v>
      </c>
      <c r="M38" s="6">
        <f t="shared" si="12"/>
        <v>345</v>
      </c>
      <c r="N38" s="100"/>
      <c r="O38" s="6">
        <f t="shared" si="13"/>
        <v>0</v>
      </c>
      <c r="P38" s="100">
        <v>16</v>
      </c>
      <c r="Q38" s="6">
        <f t="shared" si="14"/>
        <v>216</v>
      </c>
      <c r="R38" s="80">
        <f t="shared" si="18"/>
        <v>0.36676470588235294</v>
      </c>
      <c r="S38" s="8">
        <f t="shared" si="8"/>
        <v>120.57943925233644</v>
      </c>
      <c r="T38" s="152"/>
      <c r="U38" s="180"/>
      <c r="V38" s="180"/>
      <c r="W38" s="152"/>
      <c r="X38" s="100"/>
      <c r="Y38" s="6">
        <f t="shared" si="19"/>
        <v>0</v>
      </c>
      <c r="Z38" s="100"/>
      <c r="AA38" s="6">
        <f t="shared" si="20"/>
        <v>0</v>
      </c>
      <c r="AB38" s="2"/>
      <c r="AC38" s="2"/>
      <c r="AD38" s="2"/>
      <c r="AE38" s="2"/>
      <c r="AF38" s="2"/>
      <c r="AG38" s="2"/>
      <c r="AH38" s="2"/>
      <c r="AI38" s="1"/>
      <c r="AJ38" s="1"/>
      <c r="AK38" s="1"/>
      <c r="AL38" s="1"/>
      <c r="AM38" s="1"/>
      <c r="AN38" s="1"/>
      <c r="AO38" s="1"/>
      <c r="AP38" s="1"/>
      <c r="AQ38" s="1"/>
      <c r="AR38" s="1"/>
      <c r="AS38" s="1"/>
    </row>
    <row r="39" spans="1:45" ht="17.25" thickBot="1" x14ac:dyDescent="0.35">
      <c r="A39" s="148"/>
      <c r="B39" s="98">
        <v>43589</v>
      </c>
      <c r="C39" s="108">
        <v>45</v>
      </c>
      <c r="D39" s="151"/>
      <c r="E39" s="151"/>
      <c r="F39" s="101">
        <v>966</v>
      </c>
      <c r="G39" s="39">
        <f t="shared" si="16"/>
        <v>4830</v>
      </c>
      <c r="H39" s="101"/>
      <c r="I39" s="39">
        <f t="shared" si="17"/>
        <v>0</v>
      </c>
      <c r="J39" s="101"/>
      <c r="K39" s="39">
        <f t="shared" si="11"/>
        <v>0</v>
      </c>
      <c r="L39" s="101">
        <v>52</v>
      </c>
      <c r="M39" s="39">
        <f t="shared" si="12"/>
        <v>260</v>
      </c>
      <c r="N39" s="101"/>
      <c r="O39" s="39">
        <f t="shared" si="13"/>
        <v>0</v>
      </c>
      <c r="P39" s="101">
        <v>7</v>
      </c>
      <c r="Q39" s="39">
        <f t="shared" si="14"/>
        <v>94.5</v>
      </c>
      <c r="R39" s="36">
        <f t="shared" si="18"/>
        <v>0.29941176470588238</v>
      </c>
      <c r="S39" s="36">
        <f t="shared" si="8"/>
        <v>115.21111111111111</v>
      </c>
      <c r="T39" s="152"/>
      <c r="U39" s="181"/>
      <c r="V39" s="181"/>
      <c r="W39" s="152"/>
      <c r="X39" s="101"/>
      <c r="Y39" s="39">
        <f t="shared" si="19"/>
        <v>0</v>
      </c>
      <c r="Z39" s="101"/>
      <c r="AA39" s="39">
        <f t="shared" si="20"/>
        <v>0</v>
      </c>
      <c r="AB39" s="2"/>
      <c r="AC39" s="2"/>
      <c r="AD39" s="2"/>
      <c r="AE39" s="2"/>
      <c r="AF39" s="2"/>
      <c r="AG39" s="2"/>
      <c r="AH39" s="2"/>
      <c r="AI39" s="1"/>
      <c r="AJ39" s="1"/>
      <c r="AK39" s="1"/>
      <c r="AL39" s="1"/>
      <c r="AM39" s="1"/>
      <c r="AN39" s="1"/>
      <c r="AO39" s="1"/>
      <c r="AP39" s="1"/>
      <c r="AQ39" s="1"/>
      <c r="AR39" s="1"/>
      <c r="AS39" s="1"/>
    </row>
    <row r="40" spans="1:45" ht="17.25" thickBot="1" x14ac:dyDescent="0.35">
      <c r="A40" s="147">
        <v>19</v>
      </c>
      <c r="B40" s="105">
        <v>43591</v>
      </c>
      <c r="C40" s="106">
        <v>35</v>
      </c>
      <c r="D40" s="149">
        <f t="shared" ref="D40" si="37">SUM(G40:G45,I40:I45,K40:K45)</f>
        <v>20580</v>
      </c>
      <c r="E40" s="149">
        <f>SUM(G40:G45,I40:I45,M40:M45,O40:O45,Q40:Q45,K40:K45)</f>
        <v>22708.5</v>
      </c>
      <c r="F40" s="99">
        <v>768</v>
      </c>
      <c r="G40" s="7">
        <f t="shared" si="16"/>
        <v>3840</v>
      </c>
      <c r="H40" s="99"/>
      <c r="I40" s="7">
        <f t="shared" si="17"/>
        <v>0</v>
      </c>
      <c r="J40" s="99"/>
      <c r="K40" s="7">
        <f t="shared" si="11"/>
        <v>0</v>
      </c>
      <c r="L40" s="99">
        <v>42</v>
      </c>
      <c r="M40" s="7">
        <f t="shared" si="12"/>
        <v>210</v>
      </c>
      <c r="N40" s="99"/>
      <c r="O40" s="7">
        <f t="shared" si="13"/>
        <v>0</v>
      </c>
      <c r="P40" s="99">
        <v>10</v>
      </c>
      <c r="Q40" s="7">
        <f t="shared" si="14"/>
        <v>135</v>
      </c>
      <c r="R40" s="8">
        <f t="shared" si="18"/>
        <v>0.23823529411764705</v>
      </c>
      <c r="S40" s="8">
        <f t="shared" si="8"/>
        <v>119.57142857142857</v>
      </c>
      <c r="T40" s="152">
        <f t="shared" ref="T40" si="38">AVERAGE(S40:S45)</f>
        <v>120.20961038961039</v>
      </c>
      <c r="U40" s="179">
        <f t="shared" ref="U40" si="39">(SUM(G40:G45)+SUM(I40:I45))/$F$1</f>
        <v>1.2105882352941177</v>
      </c>
      <c r="V40" s="179">
        <f t="shared" ref="V40" si="40">SUM(R40:R45)</f>
        <v>1.2873529411764706</v>
      </c>
      <c r="W40" s="152">
        <v>1.2017647058823531</v>
      </c>
      <c r="X40" s="99"/>
      <c r="Y40" s="7">
        <f t="shared" si="19"/>
        <v>0</v>
      </c>
      <c r="Z40" s="99"/>
      <c r="AA40" s="7">
        <f t="shared" si="20"/>
        <v>0</v>
      </c>
      <c r="AB40" s="2"/>
      <c r="AC40" s="2"/>
      <c r="AD40" s="2"/>
      <c r="AE40" s="2"/>
      <c r="AF40" s="2"/>
      <c r="AG40" s="1"/>
      <c r="AH40" s="1"/>
      <c r="AI40" s="1"/>
      <c r="AJ40" s="1"/>
      <c r="AK40" s="1"/>
      <c r="AL40" s="1"/>
      <c r="AM40" s="1"/>
      <c r="AN40" s="1"/>
      <c r="AO40" s="1"/>
      <c r="AP40" s="1"/>
      <c r="AQ40" s="1"/>
    </row>
    <row r="41" spans="1:45" ht="17.25" thickBot="1" x14ac:dyDescent="0.35">
      <c r="A41" s="147"/>
      <c r="B41" s="97">
        <v>43592</v>
      </c>
      <c r="C41" s="107">
        <v>40</v>
      </c>
      <c r="D41" s="150"/>
      <c r="E41" s="150"/>
      <c r="F41" s="100">
        <v>902</v>
      </c>
      <c r="G41" s="7">
        <f t="shared" si="16"/>
        <v>4510</v>
      </c>
      <c r="H41" s="100"/>
      <c r="I41" s="7">
        <f t="shared" si="17"/>
        <v>0</v>
      </c>
      <c r="J41" s="100"/>
      <c r="K41" s="7">
        <f t="shared" si="11"/>
        <v>0</v>
      </c>
      <c r="L41" s="100">
        <v>58</v>
      </c>
      <c r="M41" s="7">
        <f t="shared" si="12"/>
        <v>290</v>
      </c>
      <c r="N41" s="100"/>
      <c r="O41" s="7">
        <f t="shared" si="13"/>
        <v>0</v>
      </c>
      <c r="P41" s="100">
        <v>12</v>
      </c>
      <c r="Q41" s="7">
        <f t="shared" si="14"/>
        <v>162</v>
      </c>
      <c r="R41" s="8">
        <f t="shared" si="18"/>
        <v>0.28235294117647058</v>
      </c>
      <c r="S41" s="8">
        <f t="shared" si="8"/>
        <v>124.05</v>
      </c>
      <c r="T41" s="152"/>
      <c r="U41" s="180"/>
      <c r="V41" s="180"/>
      <c r="W41" s="152"/>
      <c r="X41" s="100"/>
      <c r="Y41" s="7">
        <f t="shared" si="19"/>
        <v>0</v>
      </c>
      <c r="Z41" s="100"/>
      <c r="AA41" s="7">
        <f t="shared" si="20"/>
        <v>0</v>
      </c>
      <c r="AB41" s="2"/>
      <c r="AC41" s="2"/>
      <c r="AD41" s="2"/>
      <c r="AE41" s="2"/>
      <c r="AF41" s="2"/>
      <c r="AG41" s="1"/>
      <c r="AH41" s="1"/>
      <c r="AI41" s="1"/>
      <c r="AJ41" s="1"/>
      <c r="AK41" s="1"/>
      <c r="AL41" s="1"/>
      <c r="AM41" s="1"/>
      <c r="AN41" s="1"/>
      <c r="AO41" s="1"/>
      <c r="AP41" s="1"/>
      <c r="AQ41" s="1"/>
    </row>
    <row r="42" spans="1:45" ht="17.25" thickBot="1" x14ac:dyDescent="0.35">
      <c r="A42" s="147"/>
      <c r="B42" s="97">
        <v>43593</v>
      </c>
      <c r="C42" s="107">
        <v>35</v>
      </c>
      <c r="D42" s="150"/>
      <c r="E42" s="150"/>
      <c r="F42" s="100">
        <v>781</v>
      </c>
      <c r="G42" s="7">
        <f t="shared" si="16"/>
        <v>3905</v>
      </c>
      <c r="H42" s="100"/>
      <c r="I42" s="7">
        <f t="shared" si="17"/>
        <v>0</v>
      </c>
      <c r="J42" s="100"/>
      <c r="K42" s="7">
        <f t="shared" si="11"/>
        <v>0</v>
      </c>
      <c r="L42" s="100">
        <v>61</v>
      </c>
      <c r="M42" s="7">
        <f t="shared" si="12"/>
        <v>305</v>
      </c>
      <c r="N42" s="100"/>
      <c r="O42" s="7">
        <f t="shared" si="13"/>
        <v>0</v>
      </c>
      <c r="P42" s="100">
        <v>15</v>
      </c>
      <c r="Q42" s="7">
        <f t="shared" si="14"/>
        <v>202.5</v>
      </c>
      <c r="R42" s="8">
        <f t="shared" si="18"/>
        <v>0.24764705882352941</v>
      </c>
      <c r="S42" s="8">
        <f t="shared" si="8"/>
        <v>126.07142857142857</v>
      </c>
      <c r="T42" s="152"/>
      <c r="U42" s="180"/>
      <c r="V42" s="180"/>
      <c r="W42" s="152"/>
      <c r="X42" s="100"/>
      <c r="Y42" s="7">
        <f t="shared" si="19"/>
        <v>0</v>
      </c>
      <c r="Z42" s="100"/>
      <c r="AA42" s="7">
        <f t="shared" si="20"/>
        <v>0</v>
      </c>
      <c r="AB42" s="2"/>
      <c r="AC42" s="2"/>
      <c r="AD42" s="2"/>
      <c r="AE42" s="2"/>
      <c r="AF42" s="2"/>
      <c r="AG42" s="1"/>
      <c r="AH42" s="1"/>
      <c r="AI42" s="1"/>
      <c r="AJ42" s="1"/>
      <c r="AK42" s="1"/>
      <c r="AL42" s="1"/>
      <c r="AM42" s="1"/>
      <c r="AN42" s="1"/>
      <c r="AO42" s="1"/>
      <c r="AP42" s="1"/>
      <c r="AQ42" s="1"/>
    </row>
    <row r="43" spans="1:45" ht="17.25" thickBot="1" x14ac:dyDescent="0.35">
      <c r="A43" s="147"/>
      <c r="B43" s="97">
        <v>43594</v>
      </c>
      <c r="C43" s="107">
        <v>44</v>
      </c>
      <c r="D43" s="150"/>
      <c r="E43" s="150"/>
      <c r="F43" s="100">
        <v>921</v>
      </c>
      <c r="G43" s="7">
        <f t="shared" si="16"/>
        <v>4605</v>
      </c>
      <c r="H43" s="100"/>
      <c r="I43" s="7">
        <f t="shared" si="17"/>
        <v>0</v>
      </c>
      <c r="J43" s="100"/>
      <c r="K43" s="7">
        <f t="shared" si="11"/>
        <v>0</v>
      </c>
      <c r="L43" s="100">
        <v>64</v>
      </c>
      <c r="M43" s="7">
        <f t="shared" si="12"/>
        <v>320</v>
      </c>
      <c r="N43" s="100"/>
      <c r="O43" s="7">
        <f t="shared" si="13"/>
        <v>0</v>
      </c>
      <c r="P43" s="100">
        <v>16</v>
      </c>
      <c r="Q43" s="7">
        <f t="shared" si="14"/>
        <v>216</v>
      </c>
      <c r="R43" s="8">
        <f t="shared" si="18"/>
        <v>0.2897058823529412</v>
      </c>
      <c r="S43" s="8">
        <f t="shared" si="8"/>
        <v>116.84090909090909</v>
      </c>
      <c r="T43" s="152"/>
      <c r="U43" s="180"/>
      <c r="V43" s="180"/>
      <c r="W43" s="152"/>
      <c r="X43" s="100"/>
      <c r="Y43" s="7">
        <f t="shared" si="19"/>
        <v>0</v>
      </c>
      <c r="Z43" s="100"/>
      <c r="AA43" s="7">
        <f t="shared" si="20"/>
        <v>0</v>
      </c>
      <c r="AB43" s="2"/>
      <c r="AC43" s="2"/>
      <c r="AD43" s="2"/>
      <c r="AE43" s="2"/>
      <c r="AF43" s="2"/>
      <c r="AG43" s="1"/>
      <c r="AH43" s="1"/>
      <c r="AI43" s="1"/>
      <c r="AJ43" s="1"/>
      <c r="AK43" s="1"/>
      <c r="AL43" s="1"/>
      <c r="AM43" s="1"/>
      <c r="AN43" s="1"/>
      <c r="AO43" s="1"/>
      <c r="AP43" s="1"/>
      <c r="AQ43" s="1"/>
    </row>
    <row r="44" spans="1:45" ht="17.25" thickBot="1" x14ac:dyDescent="0.35">
      <c r="A44" s="147"/>
      <c r="B44" s="97">
        <v>43595</v>
      </c>
      <c r="C44" s="107">
        <v>35</v>
      </c>
      <c r="D44" s="150"/>
      <c r="E44" s="150"/>
      <c r="F44" s="100">
        <v>744</v>
      </c>
      <c r="G44" s="7">
        <f t="shared" si="16"/>
        <v>3720</v>
      </c>
      <c r="H44" s="100"/>
      <c r="I44" s="7">
        <f t="shared" si="17"/>
        <v>0</v>
      </c>
      <c r="J44" s="100"/>
      <c r="K44" s="7">
        <f t="shared" si="11"/>
        <v>0</v>
      </c>
      <c r="L44" s="100">
        <v>36</v>
      </c>
      <c r="M44" s="7">
        <f t="shared" si="12"/>
        <v>180</v>
      </c>
      <c r="N44" s="100"/>
      <c r="O44" s="7">
        <f t="shared" si="13"/>
        <v>0</v>
      </c>
      <c r="P44" s="100">
        <v>8</v>
      </c>
      <c r="Q44" s="7">
        <f t="shared" si="14"/>
        <v>108</v>
      </c>
      <c r="R44" s="8">
        <f t="shared" si="18"/>
        <v>0.22941176470588234</v>
      </c>
      <c r="S44" s="8">
        <f t="shared" si="8"/>
        <v>114.51428571428572</v>
      </c>
      <c r="T44" s="152"/>
      <c r="U44" s="180"/>
      <c r="V44" s="180"/>
      <c r="W44" s="152"/>
      <c r="X44" s="100"/>
      <c r="Y44" s="7">
        <f t="shared" si="19"/>
        <v>0</v>
      </c>
      <c r="Z44" s="100"/>
      <c r="AA44" s="7">
        <f t="shared" si="20"/>
        <v>0</v>
      </c>
      <c r="AB44" s="2"/>
      <c r="AC44" s="2"/>
      <c r="AD44" s="2"/>
      <c r="AE44" s="2"/>
      <c r="AF44" s="2"/>
      <c r="AG44" s="1"/>
      <c r="AH44" s="1"/>
      <c r="AI44" s="1"/>
      <c r="AJ44" s="1"/>
      <c r="AK44" s="1"/>
      <c r="AL44" s="1"/>
      <c r="AM44" s="1"/>
      <c r="AN44" s="1"/>
      <c r="AO44" s="1"/>
      <c r="AP44" s="1"/>
      <c r="AQ44" s="1"/>
    </row>
    <row r="45" spans="1:45" ht="17.25" thickBot="1" x14ac:dyDescent="0.35">
      <c r="A45" s="147"/>
      <c r="B45" s="98"/>
      <c r="C45" s="108"/>
      <c r="D45" s="151"/>
      <c r="E45" s="151"/>
      <c r="F45" s="101"/>
      <c r="G45" s="7">
        <f t="shared" si="16"/>
        <v>0</v>
      </c>
      <c r="H45" s="101"/>
      <c r="I45" s="7">
        <f t="shared" si="17"/>
        <v>0</v>
      </c>
      <c r="J45" s="101"/>
      <c r="K45" s="7">
        <f t="shared" si="11"/>
        <v>0</v>
      </c>
      <c r="L45" s="101"/>
      <c r="M45" s="7">
        <f t="shared" si="12"/>
        <v>0</v>
      </c>
      <c r="N45" s="101"/>
      <c r="O45" s="7">
        <f t="shared" si="13"/>
        <v>0</v>
      </c>
      <c r="P45" s="101"/>
      <c r="Q45" s="7">
        <f t="shared" si="14"/>
        <v>0</v>
      </c>
      <c r="R45" s="8">
        <f t="shared" si="18"/>
        <v>0</v>
      </c>
      <c r="S45" s="8" t="str">
        <f t="shared" si="8"/>
        <v/>
      </c>
      <c r="T45" s="152"/>
      <c r="U45" s="181"/>
      <c r="V45" s="181"/>
      <c r="W45" s="152"/>
      <c r="X45" s="101"/>
      <c r="Y45" s="7">
        <f t="shared" si="19"/>
        <v>0</v>
      </c>
      <c r="Z45" s="101"/>
      <c r="AA45" s="7">
        <f t="shared" si="20"/>
        <v>0</v>
      </c>
      <c r="AB45" s="2"/>
      <c r="AC45" s="2"/>
      <c r="AD45" s="2"/>
      <c r="AE45" s="2"/>
      <c r="AF45" s="2"/>
      <c r="AG45" s="1"/>
      <c r="AH45" s="1"/>
      <c r="AI45" s="1"/>
      <c r="AJ45" s="1"/>
      <c r="AK45" s="1"/>
      <c r="AL45" s="1"/>
      <c r="AM45" s="1"/>
      <c r="AN45" s="1"/>
      <c r="AO45" s="1"/>
      <c r="AP45" s="1"/>
      <c r="AQ45" s="1"/>
    </row>
    <row r="46" spans="1:45" ht="17.25" thickBot="1" x14ac:dyDescent="0.35">
      <c r="A46" s="146">
        <v>20</v>
      </c>
      <c r="B46" s="105">
        <v>43598</v>
      </c>
      <c r="C46" s="106">
        <v>34</v>
      </c>
      <c r="D46" s="149">
        <f t="shared" ref="D46" si="41">SUM(G46:G51,I46:I51,K46:K51)</f>
        <v>28240</v>
      </c>
      <c r="E46" s="149">
        <f t="shared" ref="E46" si="42">SUM(G46:G51,I46:I51,M46:M51,O46:O51,Q46:Q51,K46:K51)</f>
        <v>30283.5</v>
      </c>
      <c r="F46" s="99">
        <v>778</v>
      </c>
      <c r="G46" s="40">
        <f t="shared" si="16"/>
        <v>3890</v>
      </c>
      <c r="H46" s="99"/>
      <c r="I46" s="40">
        <f t="shared" si="17"/>
        <v>0</v>
      </c>
      <c r="J46" s="99"/>
      <c r="K46" s="40">
        <f t="shared" si="11"/>
        <v>0</v>
      </c>
      <c r="L46" s="99">
        <v>41</v>
      </c>
      <c r="M46" s="40">
        <f t="shared" si="12"/>
        <v>205</v>
      </c>
      <c r="N46" s="99"/>
      <c r="O46" s="40">
        <f t="shared" si="13"/>
        <v>0</v>
      </c>
      <c r="P46" s="99">
        <v>6</v>
      </c>
      <c r="Q46" s="40">
        <f t="shared" si="14"/>
        <v>81</v>
      </c>
      <c r="R46" s="34">
        <f t="shared" si="18"/>
        <v>0.24088235294117646</v>
      </c>
      <c r="S46" s="34">
        <f t="shared" si="8"/>
        <v>122.82352941176471</v>
      </c>
      <c r="T46" s="152">
        <f>AVERAGE(S46:S51)</f>
        <v>126.53101454285233</v>
      </c>
      <c r="U46" s="179">
        <f t="shared" ref="U46" si="43">(SUM(G46:G51)+SUM(I46:I51))/$F$1</f>
        <v>1.6611764705882353</v>
      </c>
      <c r="V46" s="179">
        <f t="shared" ref="V46" si="44">SUM(R46:R51)</f>
        <v>1.7488235294117649</v>
      </c>
      <c r="W46" s="152">
        <v>1.5658823529411763</v>
      </c>
      <c r="X46" s="99"/>
      <c r="Y46" s="40">
        <f t="shared" si="19"/>
        <v>0</v>
      </c>
      <c r="Z46" s="99"/>
      <c r="AA46" s="40">
        <f t="shared" si="20"/>
        <v>0</v>
      </c>
      <c r="AB46" s="2"/>
      <c r="AC46" s="2"/>
      <c r="AD46" s="2"/>
      <c r="AE46" s="2"/>
      <c r="AF46" s="2"/>
      <c r="AG46" s="1"/>
      <c r="AH46" s="1"/>
      <c r="AI46" s="1"/>
      <c r="AJ46" s="1"/>
      <c r="AK46" s="1"/>
      <c r="AL46" s="1"/>
      <c r="AM46" s="1"/>
      <c r="AN46" s="1"/>
      <c r="AO46" s="1"/>
      <c r="AP46" s="1"/>
      <c r="AQ46" s="1"/>
    </row>
    <row r="47" spans="1:45" ht="17.25" thickBot="1" x14ac:dyDescent="0.35">
      <c r="A47" s="147"/>
      <c r="B47" s="97">
        <v>43599</v>
      </c>
      <c r="C47" s="107">
        <v>40</v>
      </c>
      <c r="D47" s="150"/>
      <c r="E47" s="150"/>
      <c r="F47" s="100">
        <v>922</v>
      </c>
      <c r="G47" s="7">
        <f t="shared" si="16"/>
        <v>4610</v>
      </c>
      <c r="H47" s="100"/>
      <c r="I47" s="7">
        <f t="shared" si="17"/>
        <v>0</v>
      </c>
      <c r="J47" s="100"/>
      <c r="K47" s="7">
        <f t="shared" si="11"/>
        <v>0</v>
      </c>
      <c r="L47" s="100">
        <v>56</v>
      </c>
      <c r="M47" s="7">
        <f t="shared" si="12"/>
        <v>280</v>
      </c>
      <c r="N47" s="100"/>
      <c r="O47" s="7">
        <f t="shared" si="13"/>
        <v>0</v>
      </c>
      <c r="P47" s="100">
        <v>10</v>
      </c>
      <c r="Q47" s="7">
        <f t="shared" si="14"/>
        <v>135</v>
      </c>
      <c r="R47" s="8">
        <f t="shared" si="18"/>
        <v>0.28764705882352942</v>
      </c>
      <c r="S47" s="8">
        <f t="shared" si="8"/>
        <v>125.625</v>
      </c>
      <c r="T47" s="152"/>
      <c r="U47" s="180"/>
      <c r="V47" s="180"/>
      <c r="W47" s="152"/>
      <c r="X47" s="100"/>
      <c r="Y47" s="7">
        <f t="shared" si="19"/>
        <v>0</v>
      </c>
      <c r="Z47" s="100"/>
      <c r="AA47" s="7">
        <f t="shared" si="20"/>
        <v>0</v>
      </c>
      <c r="AB47" s="2"/>
      <c r="AC47" s="2"/>
      <c r="AD47" s="2"/>
      <c r="AE47" s="2"/>
      <c r="AF47" s="2"/>
      <c r="AG47" s="1"/>
      <c r="AH47" s="1"/>
      <c r="AI47" s="1"/>
      <c r="AJ47" s="1"/>
      <c r="AK47" s="1"/>
      <c r="AL47" s="1"/>
      <c r="AM47" s="1"/>
      <c r="AN47" s="1"/>
      <c r="AO47" s="1"/>
      <c r="AP47" s="1"/>
      <c r="AQ47" s="1"/>
    </row>
    <row r="48" spans="1:45" ht="17.25" thickBot="1" x14ac:dyDescent="0.35">
      <c r="A48" s="147"/>
      <c r="B48" s="97">
        <v>43600</v>
      </c>
      <c r="C48" s="107">
        <v>32.75</v>
      </c>
      <c r="D48" s="150"/>
      <c r="E48" s="150"/>
      <c r="F48" s="100">
        <v>800</v>
      </c>
      <c r="G48" s="7">
        <f t="shared" si="16"/>
        <v>4000</v>
      </c>
      <c r="H48" s="100"/>
      <c r="I48" s="7">
        <f t="shared" si="17"/>
        <v>0</v>
      </c>
      <c r="J48" s="100"/>
      <c r="K48" s="7">
        <f t="shared" si="11"/>
        <v>0</v>
      </c>
      <c r="L48" s="100">
        <v>47</v>
      </c>
      <c r="M48" s="7">
        <f t="shared" si="12"/>
        <v>235</v>
      </c>
      <c r="N48" s="100"/>
      <c r="O48" s="7">
        <f t="shared" si="13"/>
        <v>0</v>
      </c>
      <c r="P48" s="100">
        <v>7</v>
      </c>
      <c r="Q48" s="7">
        <f t="shared" si="14"/>
        <v>94.5</v>
      </c>
      <c r="R48" s="8">
        <f t="shared" si="18"/>
        <v>0.24911764705882353</v>
      </c>
      <c r="S48" s="8">
        <f t="shared" si="8"/>
        <v>132.19847328244273</v>
      </c>
      <c r="T48" s="152"/>
      <c r="U48" s="180"/>
      <c r="V48" s="180"/>
      <c r="W48" s="152"/>
      <c r="X48" s="100"/>
      <c r="Y48" s="7">
        <f t="shared" si="19"/>
        <v>0</v>
      </c>
      <c r="Z48" s="100"/>
      <c r="AA48" s="7">
        <f t="shared" si="20"/>
        <v>0</v>
      </c>
      <c r="AB48" s="2"/>
      <c r="AC48" s="2"/>
      <c r="AD48" s="2"/>
      <c r="AE48" s="2"/>
      <c r="AF48" s="2"/>
      <c r="AG48" s="1"/>
      <c r="AH48" s="1"/>
      <c r="AI48" s="1"/>
      <c r="AJ48" s="1"/>
      <c r="AK48" s="1"/>
      <c r="AL48" s="1"/>
      <c r="AM48" s="1"/>
      <c r="AN48" s="1"/>
      <c r="AO48" s="1"/>
      <c r="AP48" s="1"/>
      <c r="AQ48" s="1"/>
    </row>
    <row r="49" spans="1:43" ht="17.25" thickBot="1" x14ac:dyDescent="0.35">
      <c r="A49" s="147"/>
      <c r="B49" s="97">
        <v>43601</v>
      </c>
      <c r="C49" s="107">
        <v>47.75</v>
      </c>
      <c r="D49" s="150"/>
      <c r="E49" s="150"/>
      <c r="F49" s="100">
        <v>1122</v>
      </c>
      <c r="G49" s="7">
        <f t="shared" si="16"/>
        <v>5610</v>
      </c>
      <c r="H49" s="100"/>
      <c r="I49" s="7">
        <f t="shared" si="17"/>
        <v>0</v>
      </c>
      <c r="J49" s="100"/>
      <c r="K49" s="7">
        <f t="shared" si="11"/>
        <v>0</v>
      </c>
      <c r="L49" s="100">
        <v>66</v>
      </c>
      <c r="M49" s="7">
        <f t="shared" si="12"/>
        <v>330</v>
      </c>
      <c r="N49" s="100"/>
      <c r="O49" s="7">
        <f t="shared" si="13"/>
        <v>0</v>
      </c>
      <c r="P49" s="100">
        <v>7</v>
      </c>
      <c r="Q49" s="7">
        <f t="shared" si="14"/>
        <v>94.5</v>
      </c>
      <c r="R49" s="8">
        <f t="shared" si="18"/>
        <v>0.34941176470588237</v>
      </c>
      <c r="S49" s="8">
        <f t="shared" si="8"/>
        <v>126.37696335078535</v>
      </c>
      <c r="T49" s="152"/>
      <c r="U49" s="180"/>
      <c r="V49" s="180"/>
      <c r="W49" s="152"/>
      <c r="X49" s="100">
        <v>3</v>
      </c>
      <c r="Y49" s="7">
        <f t="shared" si="19"/>
        <v>15</v>
      </c>
      <c r="Z49" s="100">
        <v>4</v>
      </c>
      <c r="AA49" s="7">
        <f t="shared" si="20"/>
        <v>20</v>
      </c>
      <c r="AB49" s="2"/>
      <c r="AC49" s="2"/>
      <c r="AD49" s="2"/>
      <c r="AE49" s="2"/>
      <c r="AF49" s="2"/>
      <c r="AG49" s="1"/>
      <c r="AH49" s="1"/>
      <c r="AI49" s="1"/>
      <c r="AJ49" s="1"/>
      <c r="AK49" s="1"/>
      <c r="AL49" s="1"/>
      <c r="AM49" s="1"/>
      <c r="AN49" s="1"/>
      <c r="AO49" s="1"/>
      <c r="AP49" s="1"/>
      <c r="AQ49" s="1"/>
    </row>
    <row r="50" spans="1:43" ht="17.25" thickBot="1" x14ac:dyDescent="0.35">
      <c r="A50" s="147"/>
      <c r="B50" s="97">
        <v>43602</v>
      </c>
      <c r="C50" s="107">
        <v>55</v>
      </c>
      <c r="D50" s="150"/>
      <c r="E50" s="150"/>
      <c r="F50" s="100">
        <v>1299</v>
      </c>
      <c r="G50" s="7">
        <f t="shared" si="16"/>
        <v>6495</v>
      </c>
      <c r="H50" s="100"/>
      <c r="I50" s="7">
        <f t="shared" si="17"/>
        <v>0</v>
      </c>
      <c r="J50" s="100"/>
      <c r="K50" s="7">
        <f t="shared" si="11"/>
        <v>0</v>
      </c>
      <c r="L50" s="100">
        <v>67</v>
      </c>
      <c r="M50" s="7">
        <f t="shared" si="12"/>
        <v>335</v>
      </c>
      <c r="N50" s="100"/>
      <c r="O50" s="7">
        <f t="shared" si="13"/>
        <v>0</v>
      </c>
      <c r="P50" s="100">
        <v>8</v>
      </c>
      <c r="Q50" s="7">
        <f t="shared" si="14"/>
        <v>108</v>
      </c>
      <c r="R50" s="8">
        <f t="shared" si="18"/>
        <v>0.40176470588235297</v>
      </c>
      <c r="S50" s="8">
        <f t="shared" si="8"/>
        <v>126.14545454545454</v>
      </c>
      <c r="T50" s="152"/>
      <c r="U50" s="180"/>
      <c r="V50" s="180"/>
      <c r="W50" s="152"/>
      <c r="X50" s="100"/>
      <c r="Y50" s="7">
        <f t="shared" si="19"/>
        <v>0</v>
      </c>
      <c r="Z50" s="100"/>
      <c r="AA50" s="7">
        <f t="shared" si="20"/>
        <v>0</v>
      </c>
      <c r="AB50" s="2"/>
      <c r="AC50" s="2"/>
      <c r="AD50" s="2"/>
      <c r="AE50" s="2"/>
      <c r="AF50" s="2"/>
      <c r="AG50" s="1"/>
      <c r="AH50" s="1"/>
      <c r="AI50" s="1"/>
      <c r="AJ50" s="1"/>
      <c r="AK50" s="1"/>
      <c r="AL50" s="1"/>
      <c r="AM50" s="1"/>
      <c r="AN50" s="1"/>
      <c r="AO50" s="1"/>
      <c r="AP50" s="1"/>
      <c r="AQ50" s="1"/>
    </row>
    <row r="51" spans="1:43" ht="17.25" thickBot="1" x14ac:dyDescent="0.35">
      <c r="A51" s="148"/>
      <c r="B51" s="98">
        <v>43603</v>
      </c>
      <c r="C51" s="108">
        <v>30</v>
      </c>
      <c r="D51" s="151"/>
      <c r="E51" s="151"/>
      <c r="F51" s="101">
        <v>727</v>
      </c>
      <c r="G51" s="39">
        <f t="shared" si="16"/>
        <v>3635</v>
      </c>
      <c r="H51" s="101"/>
      <c r="I51" s="39">
        <f t="shared" si="17"/>
        <v>0</v>
      </c>
      <c r="J51" s="101"/>
      <c r="K51" s="39">
        <f t="shared" si="11"/>
        <v>0</v>
      </c>
      <c r="L51" s="101">
        <v>21</v>
      </c>
      <c r="M51" s="39">
        <f t="shared" si="12"/>
        <v>105</v>
      </c>
      <c r="N51" s="101"/>
      <c r="O51" s="39">
        <f t="shared" si="13"/>
        <v>0</v>
      </c>
      <c r="P51" s="101">
        <v>3</v>
      </c>
      <c r="Q51" s="39">
        <f t="shared" si="14"/>
        <v>40.5</v>
      </c>
      <c r="R51" s="36">
        <f t="shared" si="18"/>
        <v>0.22</v>
      </c>
      <c r="S51" s="36">
        <f t="shared" si="8"/>
        <v>126.01666666666667</v>
      </c>
      <c r="T51" s="152"/>
      <c r="U51" s="181"/>
      <c r="V51" s="181"/>
      <c r="W51" s="152"/>
      <c r="X51" s="101"/>
      <c r="Y51" s="39">
        <f t="shared" si="19"/>
        <v>0</v>
      </c>
      <c r="Z51" s="101"/>
      <c r="AA51" s="39">
        <f t="shared" si="20"/>
        <v>0</v>
      </c>
      <c r="AB51" s="2"/>
      <c r="AC51" s="2"/>
      <c r="AD51" s="2"/>
      <c r="AE51" s="2"/>
      <c r="AF51" s="2"/>
      <c r="AG51" s="1"/>
      <c r="AH51" s="1"/>
      <c r="AI51" s="1"/>
      <c r="AJ51" s="1"/>
      <c r="AK51" s="1"/>
      <c r="AL51" s="1"/>
      <c r="AM51" s="1"/>
      <c r="AN51" s="1"/>
      <c r="AO51" s="1"/>
      <c r="AP51" s="1"/>
      <c r="AQ51" s="1"/>
    </row>
    <row r="52" spans="1:43" ht="17.25" thickBot="1" x14ac:dyDescent="0.35">
      <c r="A52" s="147">
        <v>21</v>
      </c>
      <c r="B52" s="105">
        <v>43605</v>
      </c>
      <c r="C52" s="106">
        <v>49</v>
      </c>
      <c r="D52" s="149">
        <f t="shared" ref="D52" si="45">SUM(G52:G57,I52:I57,K52:K57)</f>
        <v>25815</v>
      </c>
      <c r="E52" s="149">
        <f t="shared" ref="E52" si="46">SUM(G52:G57,I52:I57,M52:M57,O52:O57,Q52:Q57,K52:K57)</f>
        <v>28017.5</v>
      </c>
      <c r="F52" s="99">
        <v>1222</v>
      </c>
      <c r="G52" s="7">
        <f t="shared" si="16"/>
        <v>6110</v>
      </c>
      <c r="H52" s="99"/>
      <c r="I52" s="7">
        <f t="shared" si="17"/>
        <v>0</v>
      </c>
      <c r="J52" s="99"/>
      <c r="K52" s="7">
        <f t="shared" si="11"/>
        <v>0</v>
      </c>
      <c r="L52" s="99">
        <v>65</v>
      </c>
      <c r="M52" s="7">
        <f t="shared" si="12"/>
        <v>325</v>
      </c>
      <c r="N52" s="99"/>
      <c r="O52" s="7">
        <f t="shared" si="13"/>
        <v>0</v>
      </c>
      <c r="P52" s="99">
        <v>4</v>
      </c>
      <c r="Q52" s="7">
        <f t="shared" si="14"/>
        <v>54</v>
      </c>
      <c r="R52" s="8">
        <f t="shared" si="18"/>
        <v>0.37852941176470589</v>
      </c>
      <c r="S52" s="8">
        <f t="shared" si="8"/>
        <v>132.42857142857142</v>
      </c>
      <c r="T52" s="152">
        <f t="shared" ref="T52" si="47">AVERAGE(S52:S57)</f>
        <v>129.70960737413418</v>
      </c>
      <c r="U52" s="179">
        <f t="shared" ref="U52" si="48">(SUM(G52:G57)+SUM(I52:I57))/$F$1</f>
        <v>1.5185294117647059</v>
      </c>
      <c r="V52" s="179">
        <f t="shared" ref="V52" si="49">SUM(R52:R57)</f>
        <v>1.6044117647058824</v>
      </c>
      <c r="W52" s="152">
        <v>1.0958823529411765</v>
      </c>
      <c r="X52" s="99"/>
      <c r="Y52" s="7">
        <f t="shared" si="19"/>
        <v>0</v>
      </c>
      <c r="Z52" s="99"/>
      <c r="AA52" s="7">
        <f t="shared" si="20"/>
        <v>0</v>
      </c>
      <c r="AB52" s="2"/>
      <c r="AC52" s="2"/>
      <c r="AD52" s="2"/>
      <c r="AE52" s="2"/>
      <c r="AF52" s="2"/>
      <c r="AG52" s="1"/>
      <c r="AH52" s="1"/>
      <c r="AI52" s="1"/>
      <c r="AJ52" s="1"/>
      <c r="AK52" s="1"/>
      <c r="AL52" s="1"/>
      <c r="AM52" s="1"/>
      <c r="AN52" s="1"/>
      <c r="AO52" s="1"/>
      <c r="AP52" s="1"/>
      <c r="AQ52" s="1"/>
    </row>
    <row r="53" spans="1:43" ht="17.25" thickBot="1" x14ac:dyDescent="0.35">
      <c r="A53" s="147"/>
      <c r="B53" s="97">
        <v>43606</v>
      </c>
      <c r="C53" s="107">
        <v>43.75</v>
      </c>
      <c r="D53" s="150"/>
      <c r="E53" s="150"/>
      <c r="F53" s="100">
        <v>1082</v>
      </c>
      <c r="G53" s="7">
        <f t="shared" si="16"/>
        <v>5410</v>
      </c>
      <c r="H53" s="100"/>
      <c r="I53" s="7">
        <f t="shared" si="17"/>
        <v>0</v>
      </c>
      <c r="J53" s="100"/>
      <c r="K53" s="7">
        <f t="shared" si="11"/>
        <v>0</v>
      </c>
      <c r="L53" s="100">
        <v>65</v>
      </c>
      <c r="M53" s="7">
        <f t="shared" si="12"/>
        <v>325</v>
      </c>
      <c r="N53" s="100"/>
      <c r="O53" s="7">
        <f t="shared" si="13"/>
        <v>0</v>
      </c>
      <c r="P53" s="100">
        <v>15</v>
      </c>
      <c r="Q53" s="7">
        <f t="shared" si="14"/>
        <v>202.5</v>
      </c>
      <c r="R53" s="8">
        <f t="shared" si="18"/>
        <v>0.33735294117647058</v>
      </c>
      <c r="S53" s="8">
        <f t="shared" si="8"/>
        <v>135.71428571428572</v>
      </c>
      <c r="T53" s="152"/>
      <c r="U53" s="180"/>
      <c r="V53" s="180"/>
      <c r="W53" s="152"/>
      <c r="X53" s="100"/>
      <c r="Y53" s="7">
        <f t="shared" si="19"/>
        <v>0</v>
      </c>
      <c r="Z53" s="100"/>
      <c r="AA53" s="7">
        <f t="shared" si="20"/>
        <v>0</v>
      </c>
      <c r="AB53" s="2"/>
      <c r="AC53" s="2"/>
      <c r="AD53" s="2"/>
      <c r="AE53" s="2"/>
      <c r="AF53" s="2"/>
      <c r="AG53" s="1"/>
      <c r="AH53" s="1"/>
      <c r="AI53" s="1"/>
      <c r="AJ53" s="1"/>
      <c r="AK53" s="1"/>
      <c r="AL53" s="1"/>
      <c r="AM53" s="1"/>
      <c r="AN53" s="1"/>
      <c r="AO53" s="1"/>
      <c r="AP53" s="1"/>
      <c r="AQ53" s="1"/>
    </row>
    <row r="54" spans="1:43" ht="17.25" thickBot="1" x14ac:dyDescent="0.35">
      <c r="A54" s="147"/>
      <c r="B54" s="97">
        <v>43607</v>
      </c>
      <c r="C54" s="107">
        <v>40</v>
      </c>
      <c r="D54" s="150"/>
      <c r="E54" s="150"/>
      <c r="F54" s="100">
        <v>961</v>
      </c>
      <c r="G54" s="7">
        <f t="shared" si="16"/>
        <v>4805</v>
      </c>
      <c r="H54" s="100"/>
      <c r="I54" s="7">
        <f t="shared" si="17"/>
        <v>0</v>
      </c>
      <c r="J54" s="100"/>
      <c r="K54" s="7">
        <f t="shared" si="11"/>
        <v>0</v>
      </c>
      <c r="L54" s="100">
        <v>83</v>
      </c>
      <c r="M54" s="7">
        <f t="shared" si="12"/>
        <v>415</v>
      </c>
      <c r="N54" s="100"/>
      <c r="O54" s="7">
        <f t="shared" si="13"/>
        <v>0</v>
      </c>
      <c r="P54" s="100">
        <v>14</v>
      </c>
      <c r="Q54" s="7">
        <f t="shared" si="14"/>
        <v>189</v>
      </c>
      <c r="R54" s="8">
        <f t="shared" si="18"/>
        <v>0.30705882352941177</v>
      </c>
      <c r="S54" s="8">
        <f t="shared" si="8"/>
        <v>135.22499999999999</v>
      </c>
      <c r="T54" s="152"/>
      <c r="U54" s="180"/>
      <c r="V54" s="180"/>
      <c r="W54" s="152"/>
      <c r="X54" s="100"/>
      <c r="Y54" s="7">
        <f t="shared" si="19"/>
        <v>0</v>
      </c>
      <c r="Z54" s="100"/>
      <c r="AA54" s="7">
        <f t="shared" si="20"/>
        <v>0</v>
      </c>
      <c r="AB54" s="2"/>
      <c r="AC54" s="2"/>
      <c r="AD54" s="2"/>
      <c r="AE54" s="2"/>
      <c r="AF54" s="2"/>
      <c r="AG54" s="1"/>
      <c r="AH54" s="1"/>
      <c r="AI54" s="1"/>
      <c r="AJ54" s="1"/>
      <c r="AK54" s="1"/>
      <c r="AL54" s="1"/>
      <c r="AM54" s="1"/>
      <c r="AN54" s="1"/>
      <c r="AO54" s="1"/>
      <c r="AP54" s="1"/>
      <c r="AQ54" s="1"/>
    </row>
    <row r="55" spans="1:43" ht="17.25" thickBot="1" x14ac:dyDescent="0.35">
      <c r="A55" s="147"/>
      <c r="B55" s="97">
        <v>43608</v>
      </c>
      <c r="C55" s="107">
        <v>29</v>
      </c>
      <c r="D55" s="150"/>
      <c r="E55" s="150"/>
      <c r="F55" s="100">
        <v>640</v>
      </c>
      <c r="G55" s="7">
        <f t="shared" si="16"/>
        <v>3200</v>
      </c>
      <c r="H55" s="100"/>
      <c r="I55" s="7">
        <f t="shared" si="17"/>
        <v>0</v>
      </c>
      <c r="J55" s="100"/>
      <c r="K55" s="7">
        <f t="shared" si="11"/>
        <v>0</v>
      </c>
      <c r="L55" s="100">
        <v>31</v>
      </c>
      <c r="M55" s="7">
        <f t="shared" si="12"/>
        <v>155</v>
      </c>
      <c r="N55" s="100"/>
      <c r="O55" s="7">
        <f t="shared" si="13"/>
        <v>0</v>
      </c>
      <c r="P55" s="100">
        <v>8</v>
      </c>
      <c r="Q55" s="7">
        <f t="shared" si="14"/>
        <v>108</v>
      </c>
      <c r="R55" s="8">
        <f t="shared" si="18"/>
        <v>0.19735294117647059</v>
      </c>
      <c r="S55" s="8">
        <f t="shared" si="8"/>
        <v>119.41379310344827</v>
      </c>
      <c r="T55" s="152"/>
      <c r="U55" s="180"/>
      <c r="V55" s="180"/>
      <c r="W55" s="152"/>
      <c r="X55" s="100">
        <v>3</v>
      </c>
      <c r="Y55" s="7">
        <f t="shared" si="19"/>
        <v>15</v>
      </c>
      <c r="Z55" s="100">
        <v>3</v>
      </c>
      <c r="AA55" s="7">
        <f t="shared" si="20"/>
        <v>15</v>
      </c>
      <c r="AB55" s="2"/>
      <c r="AC55" s="2"/>
      <c r="AD55" s="2"/>
      <c r="AE55" s="2"/>
      <c r="AF55" s="2"/>
      <c r="AG55" s="1"/>
      <c r="AH55" s="1"/>
      <c r="AI55" s="1"/>
      <c r="AJ55" s="1"/>
      <c r="AK55" s="1"/>
      <c r="AL55" s="1"/>
      <c r="AM55" s="1"/>
      <c r="AN55" s="1"/>
      <c r="AO55" s="1"/>
      <c r="AP55" s="1"/>
      <c r="AQ55" s="1"/>
    </row>
    <row r="56" spans="1:43" ht="17.25" thickBot="1" x14ac:dyDescent="0.35">
      <c r="A56" s="147"/>
      <c r="B56" s="97">
        <v>43609</v>
      </c>
      <c r="C56" s="107">
        <v>31</v>
      </c>
      <c r="D56" s="150"/>
      <c r="E56" s="150"/>
      <c r="F56" s="100">
        <v>743</v>
      </c>
      <c r="G56" s="7">
        <f t="shared" si="16"/>
        <v>3715</v>
      </c>
      <c r="H56" s="100"/>
      <c r="I56" s="7">
        <f t="shared" si="17"/>
        <v>0</v>
      </c>
      <c r="J56" s="100"/>
      <c r="K56" s="7">
        <f t="shared" si="11"/>
        <v>0</v>
      </c>
      <c r="L56" s="100">
        <v>33</v>
      </c>
      <c r="M56" s="7">
        <f t="shared" si="12"/>
        <v>165</v>
      </c>
      <c r="N56" s="100"/>
      <c r="O56" s="7">
        <f t="shared" si="13"/>
        <v>0</v>
      </c>
      <c r="P56" s="100">
        <v>9</v>
      </c>
      <c r="Q56" s="7">
        <f t="shared" si="14"/>
        <v>121.5</v>
      </c>
      <c r="R56" s="8">
        <f t="shared" si="18"/>
        <v>0.22823529411764706</v>
      </c>
      <c r="S56" s="8">
        <f t="shared" si="8"/>
        <v>129.08064516129033</v>
      </c>
      <c r="T56" s="152"/>
      <c r="U56" s="180"/>
      <c r="V56" s="180"/>
      <c r="W56" s="152"/>
      <c r="X56" s="100"/>
      <c r="Y56" s="7">
        <f t="shared" si="19"/>
        <v>0</v>
      </c>
      <c r="Z56" s="100"/>
      <c r="AA56" s="7">
        <f t="shared" si="20"/>
        <v>0</v>
      </c>
      <c r="AB56" s="2"/>
      <c r="AC56" s="2"/>
      <c r="AD56" s="2"/>
      <c r="AE56" s="2"/>
      <c r="AF56" s="2"/>
      <c r="AG56" s="1"/>
      <c r="AH56" s="1"/>
      <c r="AI56" s="1"/>
      <c r="AJ56" s="1"/>
      <c r="AK56" s="1"/>
      <c r="AL56" s="1"/>
      <c r="AM56" s="1"/>
      <c r="AN56" s="1"/>
      <c r="AO56" s="1"/>
      <c r="AP56" s="1"/>
      <c r="AQ56" s="1"/>
    </row>
    <row r="57" spans="1:43" ht="17.25" thickBot="1" x14ac:dyDescent="0.35">
      <c r="A57" s="147"/>
      <c r="B57" s="98">
        <v>43610</v>
      </c>
      <c r="C57" s="108">
        <v>21.5</v>
      </c>
      <c r="D57" s="151"/>
      <c r="E57" s="151"/>
      <c r="F57" s="101">
        <v>515</v>
      </c>
      <c r="G57" s="7">
        <f t="shared" si="16"/>
        <v>2575</v>
      </c>
      <c r="H57" s="101"/>
      <c r="I57" s="7">
        <f t="shared" si="17"/>
        <v>0</v>
      </c>
      <c r="J57" s="101"/>
      <c r="K57" s="7">
        <f t="shared" si="11"/>
        <v>0</v>
      </c>
      <c r="L57" s="101">
        <v>15</v>
      </c>
      <c r="M57" s="7">
        <f t="shared" si="12"/>
        <v>75</v>
      </c>
      <c r="N57" s="101"/>
      <c r="O57" s="7">
        <f t="shared" si="13"/>
        <v>0</v>
      </c>
      <c r="P57" s="101">
        <v>5</v>
      </c>
      <c r="Q57" s="7">
        <f t="shared" si="14"/>
        <v>67.5</v>
      </c>
      <c r="R57" s="8">
        <f t="shared" si="18"/>
        <v>0.15588235294117647</v>
      </c>
      <c r="S57" s="8">
        <f t="shared" si="8"/>
        <v>126.3953488372093</v>
      </c>
      <c r="T57" s="152"/>
      <c r="U57" s="181"/>
      <c r="V57" s="181"/>
      <c r="W57" s="152"/>
      <c r="X57" s="101"/>
      <c r="Y57" s="7">
        <f t="shared" si="19"/>
        <v>0</v>
      </c>
      <c r="Z57" s="101"/>
      <c r="AA57" s="7">
        <f t="shared" si="20"/>
        <v>0</v>
      </c>
      <c r="AB57" s="2"/>
      <c r="AC57" s="2"/>
      <c r="AD57" s="2"/>
      <c r="AE57" s="2"/>
      <c r="AF57" s="2"/>
      <c r="AG57" s="1"/>
      <c r="AH57" s="1"/>
      <c r="AI57" s="1"/>
      <c r="AJ57" s="1"/>
      <c r="AK57" s="1"/>
      <c r="AL57" s="1"/>
      <c r="AM57" s="1"/>
      <c r="AN57" s="1"/>
      <c r="AO57" s="1"/>
      <c r="AP57" s="1"/>
      <c r="AQ57" s="1"/>
    </row>
    <row r="58" spans="1:43" ht="17.25" thickBot="1" x14ac:dyDescent="0.35">
      <c r="A58" s="146">
        <v>22</v>
      </c>
      <c r="B58" s="105">
        <v>43612</v>
      </c>
      <c r="C58" s="106">
        <v>43.25</v>
      </c>
      <c r="D58" s="149">
        <f t="shared" ref="D58" si="50">SUM(G58:G63,I58:I63,K58:K63)</f>
        <v>21455</v>
      </c>
      <c r="E58" s="149">
        <f t="shared" ref="E58" si="51">SUM(G58:G63,I58:I63,M58:M63,O58:O63,Q58:Q63,K58:K63)</f>
        <v>23262</v>
      </c>
      <c r="F58" s="99">
        <v>1117</v>
      </c>
      <c r="G58" s="40">
        <f t="shared" si="16"/>
        <v>5585</v>
      </c>
      <c r="H58" s="99"/>
      <c r="I58" s="40">
        <f t="shared" si="17"/>
        <v>0</v>
      </c>
      <c r="J58" s="99"/>
      <c r="K58" s="40">
        <f t="shared" si="11"/>
        <v>0</v>
      </c>
      <c r="L58" s="99">
        <v>46</v>
      </c>
      <c r="M58" s="40">
        <f t="shared" si="12"/>
        <v>230</v>
      </c>
      <c r="N58" s="99"/>
      <c r="O58" s="40">
        <f t="shared" si="13"/>
        <v>0</v>
      </c>
      <c r="P58" s="99">
        <v>14</v>
      </c>
      <c r="Q58" s="40">
        <f t="shared" si="14"/>
        <v>189</v>
      </c>
      <c r="R58" s="34">
        <f t="shared" si="18"/>
        <v>0.34205882352941175</v>
      </c>
      <c r="S58" s="34">
        <f t="shared" si="8"/>
        <v>138.82080924855492</v>
      </c>
      <c r="T58" s="152">
        <f>AVERAGE(S58:S63)</f>
        <v>128.69737613542526</v>
      </c>
      <c r="U58" s="179">
        <f t="shared" ref="U58" si="52">(SUM(G58:G63)+SUM(I58:I63))/$F$1</f>
        <v>1.2620588235294117</v>
      </c>
      <c r="V58" s="179">
        <f t="shared" ref="V58" si="53">SUM(R58:R63)</f>
        <v>1.3270588235294118</v>
      </c>
      <c r="W58" s="152">
        <v>1.52</v>
      </c>
      <c r="X58" s="99"/>
      <c r="Y58" s="40">
        <f t="shared" si="19"/>
        <v>0</v>
      </c>
      <c r="Z58" s="99"/>
      <c r="AA58" s="40">
        <f t="shared" si="20"/>
        <v>0</v>
      </c>
      <c r="AB58" s="2"/>
      <c r="AC58" s="2"/>
      <c r="AD58" s="2"/>
      <c r="AE58" s="2"/>
      <c r="AF58" s="2"/>
      <c r="AG58" s="1"/>
      <c r="AH58" s="1"/>
      <c r="AI58" s="1"/>
      <c r="AJ58" s="1"/>
      <c r="AK58" s="1"/>
      <c r="AL58" s="1"/>
      <c r="AM58" s="1"/>
      <c r="AN58" s="1"/>
      <c r="AO58" s="1"/>
      <c r="AP58" s="1"/>
      <c r="AQ58" s="1"/>
    </row>
    <row r="59" spans="1:43" ht="17.25" thickBot="1" x14ac:dyDescent="0.35">
      <c r="A59" s="147"/>
      <c r="B59" s="97">
        <v>43613</v>
      </c>
      <c r="C59" s="107">
        <v>40</v>
      </c>
      <c r="D59" s="150"/>
      <c r="E59" s="150"/>
      <c r="F59" s="100">
        <v>979</v>
      </c>
      <c r="G59" s="7">
        <f t="shared" si="16"/>
        <v>4895</v>
      </c>
      <c r="H59" s="100"/>
      <c r="I59" s="7">
        <f t="shared" si="17"/>
        <v>0</v>
      </c>
      <c r="J59" s="100"/>
      <c r="K59" s="7">
        <f t="shared" si="11"/>
        <v>0</v>
      </c>
      <c r="L59" s="100">
        <v>50</v>
      </c>
      <c r="M59" s="7">
        <f t="shared" si="12"/>
        <v>250</v>
      </c>
      <c r="N59" s="100"/>
      <c r="O59" s="7">
        <f t="shared" si="13"/>
        <v>0</v>
      </c>
      <c r="P59" s="100">
        <v>12</v>
      </c>
      <c r="Q59" s="7">
        <f t="shared" si="14"/>
        <v>162</v>
      </c>
      <c r="R59" s="8">
        <f t="shared" si="18"/>
        <v>0.30264705882352944</v>
      </c>
      <c r="S59" s="8">
        <f t="shared" si="8"/>
        <v>132.67500000000001</v>
      </c>
      <c r="T59" s="152"/>
      <c r="U59" s="180"/>
      <c r="V59" s="180"/>
      <c r="W59" s="152"/>
      <c r="X59" s="100"/>
      <c r="Y59" s="7">
        <f t="shared" si="19"/>
        <v>0</v>
      </c>
      <c r="Z59" s="100"/>
      <c r="AA59" s="7">
        <f t="shared" si="20"/>
        <v>0</v>
      </c>
      <c r="AB59" s="2"/>
      <c r="AC59" s="2"/>
      <c r="AD59" s="2"/>
      <c r="AE59" s="2"/>
      <c r="AF59" s="2"/>
      <c r="AG59" s="1"/>
      <c r="AH59" s="1"/>
      <c r="AI59" s="1"/>
      <c r="AJ59" s="1"/>
      <c r="AK59" s="1"/>
      <c r="AL59" s="1"/>
      <c r="AM59" s="1"/>
      <c r="AN59" s="1"/>
      <c r="AO59" s="1"/>
      <c r="AP59" s="1"/>
      <c r="AQ59" s="1"/>
    </row>
    <row r="60" spans="1:43" ht="17.25" thickBot="1" x14ac:dyDescent="0.35">
      <c r="A60" s="147"/>
      <c r="B60" s="97">
        <v>43614</v>
      </c>
      <c r="C60" s="107">
        <v>40</v>
      </c>
      <c r="D60" s="150"/>
      <c r="E60" s="150"/>
      <c r="F60" s="100">
        <v>958</v>
      </c>
      <c r="G60" s="7">
        <f t="shared" si="16"/>
        <v>4790</v>
      </c>
      <c r="H60" s="100"/>
      <c r="I60" s="7">
        <f t="shared" si="17"/>
        <v>0</v>
      </c>
      <c r="J60" s="100"/>
      <c r="K60" s="7">
        <f t="shared" si="11"/>
        <v>0</v>
      </c>
      <c r="L60" s="100">
        <v>57</v>
      </c>
      <c r="M60" s="7">
        <f t="shared" si="12"/>
        <v>285</v>
      </c>
      <c r="N60" s="100"/>
      <c r="O60" s="7">
        <f t="shared" si="13"/>
        <v>0</v>
      </c>
      <c r="P60" s="100">
        <v>9</v>
      </c>
      <c r="Q60" s="7">
        <f t="shared" si="14"/>
        <v>121.5</v>
      </c>
      <c r="R60" s="8">
        <f t="shared" si="18"/>
        <v>0.29852941176470588</v>
      </c>
      <c r="S60" s="8">
        <f t="shared" si="8"/>
        <v>129.91249999999999</v>
      </c>
      <c r="T60" s="152"/>
      <c r="U60" s="180"/>
      <c r="V60" s="180"/>
      <c r="W60" s="152"/>
      <c r="X60" s="100"/>
      <c r="Y60" s="7">
        <f t="shared" si="19"/>
        <v>0</v>
      </c>
      <c r="Z60" s="100"/>
      <c r="AA60" s="7">
        <f t="shared" si="20"/>
        <v>0</v>
      </c>
      <c r="AB60" s="2"/>
      <c r="AC60" s="2"/>
      <c r="AD60" s="2"/>
      <c r="AE60" s="2"/>
      <c r="AF60" s="2"/>
      <c r="AG60" s="1"/>
      <c r="AH60" s="1"/>
      <c r="AI60" s="1"/>
      <c r="AJ60" s="1"/>
      <c r="AK60" s="1"/>
      <c r="AL60" s="1"/>
      <c r="AM60" s="1"/>
      <c r="AN60" s="1"/>
      <c r="AO60" s="1"/>
      <c r="AP60" s="1"/>
      <c r="AQ60" s="1"/>
    </row>
    <row r="61" spans="1:43" ht="17.25" thickBot="1" x14ac:dyDescent="0.35">
      <c r="A61" s="147"/>
      <c r="B61" s="97">
        <v>43615</v>
      </c>
      <c r="C61" s="107">
        <v>35</v>
      </c>
      <c r="D61" s="150"/>
      <c r="E61" s="150"/>
      <c r="F61" s="100">
        <v>815</v>
      </c>
      <c r="G61" s="7">
        <f t="shared" si="16"/>
        <v>4075</v>
      </c>
      <c r="H61" s="100"/>
      <c r="I61" s="7">
        <f t="shared" si="17"/>
        <v>0</v>
      </c>
      <c r="J61" s="100"/>
      <c r="K61" s="7">
        <f t="shared" si="11"/>
        <v>0</v>
      </c>
      <c r="L61" s="100">
        <v>48</v>
      </c>
      <c r="M61" s="7">
        <f t="shared" si="12"/>
        <v>240</v>
      </c>
      <c r="N61" s="100"/>
      <c r="O61" s="7">
        <f t="shared" si="13"/>
        <v>0</v>
      </c>
      <c r="P61" s="100">
        <v>11</v>
      </c>
      <c r="Q61" s="7">
        <f t="shared" si="14"/>
        <v>148.5</v>
      </c>
      <c r="R61" s="8">
        <f t="shared" si="18"/>
        <v>0.25382352941176473</v>
      </c>
      <c r="S61" s="8">
        <f t="shared" si="8"/>
        <v>127.52857142857142</v>
      </c>
      <c r="T61" s="152"/>
      <c r="U61" s="180"/>
      <c r="V61" s="180"/>
      <c r="W61" s="152"/>
      <c r="X61" s="100"/>
      <c r="Y61" s="7">
        <f t="shared" si="19"/>
        <v>0</v>
      </c>
      <c r="Z61" s="100"/>
      <c r="AA61" s="7">
        <f t="shared" si="20"/>
        <v>0</v>
      </c>
      <c r="AB61" s="2"/>
      <c r="AC61" s="2"/>
      <c r="AD61" s="2"/>
      <c r="AE61" s="2"/>
      <c r="AF61" s="2"/>
      <c r="AG61" s="1"/>
      <c r="AH61" s="1"/>
      <c r="AI61" s="1"/>
      <c r="AJ61" s="1"/>
      <c r="AK61" s="1"/>
      <c r="AL61" s="1"/>
      <c r="AM61" s="1"/>
      <c r="AN61" s="1"/>
      <c r="AO61" s="1"/>
      <c r="AP61" s="1"/>
      <c r="AQ61" s="1"/>
    </row>
    <row r="62" spans="1:43" ht="17.25" thickBot="1" x14ac:dyDescent="0.35">
      <c r="A62" s="147"/>
      <c r="B62" s="97">
        <v>43616</v>
      </c>
      <c r="C62" s="107">
        <v>20</v>
      </c>
      <c r="D62" s="150"/>
      <c r="E62" s="150"/>
      <c r="F62" s="100">
        <v>422</v>
      </c>
      <c r="G62" s="7">
        <f t="shared" si="16"/>
        <v>2110</v>
      </c>
      <c r="H62" s="100"/>
      <c r="I62" s="7">
        <f t="shared" si="17"/>
        <v>0</v>
      </c>
      <c r="J62" s="100"/>
      <c r="K62" s="7">
        <f t="shared" si="11"/>
        <v>0</v>
      </c>
      <c r="L62" s="100">
        <v>20</v>
      </c>
      <c r="M62" s="7">
        <f t="shared" si="12"/>
        <v>100</v>
      </c>
      <c r="N62" s="100"/>
      <c r="O62" s="7">
        <f t="shared" si="13"/>
        <v>0</v>
      </c>
      <c r="P62" s="100">
        <v>6</v>
      </c>
      <c r="Q62" s="7">
        <f t="shared" si="14"/>
        <v>81</v>
      </c>
      <c r="R62" s="8">
        <f t="shared" si="18"/>
        <v>0.13</v>
      </c>
      <c r="S62" s="8">
        <f t="shared" si="8"/>
        <v>114.55</v>
      </c>
      <c r="T62" s="152"/>
      <c r="U62" s="180"/>
      <c r="V62" s="180"/>
      <c r="W62" s="152"/>
      <c r="X62" s="100">
        <v>2.5</v>
      </c>
      <c r="Y62" s="7">
        <f t="shared" si="19"/>
        <v>12.5</v>
      </c>
      <c r="Z62" s="100">
        <v>3</v>
      </c>
      <c r="AA62" s="7">
        <f t="shared" si="20"/>
        <v>15</v>
      </c>
      <c r="AB62" s="2"/>
      <c r="AC62" s="2"/>
      <c r="AD62" s="2"/>
      <c r="AE62" s="2"/>
      <c r="AF62" s="2"/>
      <c r="AG62" s="1"/>
      <c r="AH62" s="1"/>
      <c r="AI62" s="1"/>
      <c r="AJ62" s="1"/>
      <c r="AK62" s="1"/>
      <c r="AL62" s="1"/>
      <c r="AM62" s="1"/>
      <c r="AN62" s="1"/>
      <c r="AO62" s="1"/>
      <c r="AP62" s="1"/>
      <c r="AQ62" s="1"/>
    </row>
    <row r="63" spans="1:43" ht="17.25" thickBot="1" x14ac:dyDescent="0.35">
      <c r="A63" s="148"/>
      <c r="B63" s="98"/>
      <c r="C63" s="108"/>
      <c r="D63" s="151"/>
      <c r="E63" s="151"/>
      <c r="F63" s="101"/>
      <c r="G63" s="39">
        <f t="shared" si="16"/>
        <v>0</v>
      </c>
      <c r="H63" s="101"/>
      <c r="I63" s="39">
        <f t="shared" si="17"/>
        <v>0</v>
      </c>
      <c r="J63" s="101"/>
      <c r="K63" s="39">
        <f t="shared" si="11"/>
        <v>0</v>
      </c>
      <c r="L63" s="101"/>
      <c r="M63" s="39">
        <f t="shared" si="12"/>
        <v>0</v>
      </c>
      <c r="N63" s="101"/>
      <c r="O63" s="39">
        <f t="shared" si="13"/>
        <v>0</v>
      </c>
      <c r="P63" s="101"/>
      <c r="Q63" s="39">
        <f t="shared" si="14"/>
        <v>0</v>
      </c>
      <c r="R63" s="36">
        <f t="shared" si="18"/>
        <v>0</v>
      </c>
      <c r="S63" s="36" t="str">
        <f t="shared" si="8"/>
        <v/>
      </c>
      <c r="T63" s="152"/>
      <c r="U63" s="181"/>
      <c r="V63" s="181"/>
      <c r="W63" s="152"/>
      <c r="X63" s="101"/>
      <c r="Y63" s="39">
        <f t="shared" si="19"/>
        <v>0</v>
      </c>
      <c r="Z63" s="101"/>
      <c r="AA63" s="39">
        <f t="shared" si="20"/>
        <v>0</v>
      </c>
      <c r="AB63" s="2"/>
      <c r="AC63" s="2"/>
      <c r="AD63" s="2"/>
      <c r="AE63" s="2"/>
      <c r="AF63" s="2"/>
      <c r="AG63" s="1"/>
      <c r="AH63" s="1"/>
      <c r="AI63" s="1"/>
      <c r="AJ63" s="1"/>
      <c r="AK63" s="1"/>
      <c r="AL63" s="1"/>
      <c r="AM63" s="1"/>
      <c r="AN63" s="1"/>
      <c r="AO63" s="1"/>
      <c r="AP63" s="1"/>
      <c r="AQ63" s="1"/>
    </row>
    <row r="64" spans="1:43" ht="17.25" thickBot="1" x14ac:dyDescent="0.35">
      <c r="A64" s="147">
        <v>23</v>
      </c>
      <c r="B64" s="105">
        <v>43619</v>
      </c>
      <c r="C64" s="106">
        <v>27</v>
      </c>
      <c r="D64" s="149">
        <f t="shared" ref="D64" si="54">SUM(G64:G69,I64:I69,K64:K69)</f>
        <v>20115</v>
      </c>
      <c r="E64" s="149">
        <f t="shared" ref="E64" si="55">SUM(G64:G69,I64:I69,M64:M69,O64:O69,Q64:Q69,K64:K69)</f>
        <v>21498.5</v>
      </c>
      <c r="F64" s="99">
        <v>630</v>
      </c>
      <c r="G64" s="7">
        <f t="shared" si="16"/>
        <v>3150</v>
      </c>
      <c r="H64" s="99"/>
      <c r="I64" s="7">
        <f t="shared" si="17"/>
        <v>0</v>
      </c>
      <c r="J64" s="99"/>
      <c r="K64" s="7">
        <f t="shared" si="11"/>
        <v>0</v>
      </c>
      <c r="L64" s="99">
        <v>29</v>
      </c>
      <c r="M64" s="7">
        <f t="shared" si="12"/>
        <v>145</v>
      </c>
      <c r="N64" s="99"/>
      <c r="O64" s="7">
        <f t="shared" si="13"/>
        <v>0</v>
      </c>
      <c r="P64" s="99">
        <v>5</v>
      </c>
      <c r="Q64" s="7">
        <f t="shared" si="14"/>
        <v>67.5</v>
      </c>
      <c r="R64" s="8">
        <f t="shared" si="18"/>
        <v>0.1938235294117647</v>
      </c>
      <c r="S64" s="8">
        <f t="shared" si="8"/>
        <v>124.53703703703704</v>
      </c>
      <c r="T64" s="152">
        <f t="shared" ref="T64" si="56">AVERAGE(S64:S69)</f>
        <v>129.76883597883597</v>
      </c>
      <c r="U64" s="179">
        <f t="shared" ref="U64" si="57">(SUM(G64:G69)+SUM(I64:I69))/$F$1</f>
        <v>1.1832352941176472</v>
      </c>
      <c r="V64" s="179">
        <f t="shared" ref="V64" si="58">SUM(R64:R69)</f>
        <v>1.2320588235294117</v>
      </c>
      <c r="W64" s="152">
        <v>1.0894117647058823</v>
      </c>
      <c r="X64" s="99"/>
      <c r="Y64" s="7">
        <f t="shared" si="19"/>
        <v>0</v>
      </c>
      <c r="Z64" s="99"/>
      <c r="AA64" s="7">
        <f t="shared" si="20"/>
        <v>0</v>
      </c>
      <c r="AB64" s="2"/>
      <c r="AC64" s="2"/>
      <c r="AD64" s="2"/>
      <c r="AE64" s="2"/>
      <c r="AF64" s="2"/>
      <c r="AG64" s="1"/>
      <c r="AH64" s="1"/>
      <c r="AI64" s="1"/>
      <c r="AJ64" s="1"/>
      <c r="AK64" s="1"/>
      <c r="AL64" s="1"/>
      <c r="AM64" s="1"/>
      <c r="AN64" s="1"/>
      <c r="AO64" s="1"/>
      <c r="AP64" s="1"/>
      <c r="AQ64" s="1"/>
    </row>
    <row r="65" spans="1:43" ht="17.25" thickBot="1" x14ac:dyDescent="0.35">
      <c r="A65" s="147"/>
      <c r="B65" s="97">
        <v>43620</v>
      </c>
      <c r="C65" s="107">
        <v>35</v>
      </c>
      <c r="D65" s="150"/>
      <c r="E65" s="150"/>
      <c r="F65" s="100">
        <v>817</v>
      </c>
      <c r="G65" s="7">
        <f t="shared" si="16"/>
        <v>4085</v>
      </c>
      <c r="H65" s="100"/>
      <c r="I65" s="7">
        <f t="shared" si="17"/>
        <v>0</v>
      </c>
      <c r="J65" s="100"/>
      <c r="K65" s="7">
        <f t="shared" si="11"/>
        <v>0</v>
      </c>
      <c r="L65" s="100">
        <v>36</v>
      </c>
      <c r="M65" s="7">
        <f t="shared" si="12"/>
        <v>180</v>
      </c>
      <c r="N65" s="100"/>
      <c r="O65" s="7">
        <f t="shared" si="13"/>
        <v>0</v>
      </c>
      <c r="P65" s="100">
        <v>7</v>
      </c>
      <c r="Q65" s="7">
        <f t="shared" si="14"/>
        <v>94.5</v>
      </c>
      <c r="R65" s="8">
        <f t="shared" si="18"/>
        <v>0.25088235294117645</v>
      </c>
      <c r="S65" s="8">
        <f t="shared" si="8"/>
        <v>124.55714285714286</v>
      </c>
      <c r="T65" s="152"/>
      <c r="U65" s="180"/>
      <c r="V65" s="180"/>
      <c r="W65" s="152"/>
      <c r="X65" s="100"/>
      <c r="Y65" s="7">
        <f t="shared" si="19"/>
        <v>0</v>
      </c>
      <c r="Z65" s="100"/>
      <c r="AA65" s="7">
        <f t="shared" si="20"/>
        <v>0</v>
      </c>
      <c r="AB65" s="2"/>
      <c r="AC65" s="2"/>
      <c r="AD65" s="2"/>
      <c r="AE65" s="2"/>
      <c r="AF65" s="2"/>
      <c r="AG65" s="1"/>
      <c r="AH65" s="1"/>
      <c r="AI65" s="1"/>
      <c r="AJ65" s="1"/>
      <c r="AK65" s="1"/>
      <c r="AL65" s="1"/>
      <c r="AM65" s="1"/>
      <c r="AN65" s="1"/>
      <c r="AO65" s="1"/>
      <c r="AP65" s="1"/>
      <c r="AQ65" s="1"/>
    </row>
    <row r="66" spans="1:43" ht="17.25" thickBot="1" x14ac:dyDescent="0.35">
      <c r="A66" s="147"/>
      <c r="B66" s="97">
        <v>43621</v>
      </c>
      <c r="C66" s="107">
        <v>30</v>
      </c>
      <c r="D66" s="150"/>
      <c r="E66" s="150"/>
      <c r="F66" s="100">
        <v>697</v>
      </c>
      <c r="G66" s="7">
        <f t="shared" si="16"/>
        <v>3485</v>
      </c>
      <c r="H66" s="100"/>
      <c r="I66" s="7">
        <f t="shared" si="17"/>
        <v>0</v>
      </c>
      <c r="J66" s="100"/>
      <c r="K66" s="7">
        <f t="shared" si="11"/>
        <v>0</v>
      </c>
      <c r="L66" s="100">
        <v>26</v>
      </c>
      <c r="M66" s="7">
        <f t="shared" si="12"/>
        <v>130</v>
      </c>
      <c r="N66" s="100"/>
      <c r="O66" s="7">
        <f t="shared" si="13"/>
        <v>0</v>
      </c>
      <c r="P66" s="100">
        <v>8</v>
      </c>
      <c r="Q66" s="7">
        <f t="shared" si="14"/>
        <v>108</v>
      </c>
      <c r="R66" s="8">
        <f t="shared" si="18"/>
        <v>0.21264705882352941</v>
      </c>
      <c r="S66" s="8">
        <f t="shared" si="8"/>
        <v>124.1</v>
      </c>
      <c r="T66" s="152"/>
      <c r="U66" s="180"/>
      <c r="V66" s="180"/>
      <c r="W66" s="152"/>
      <c r="X66" s="100"/>
      <c r="Y66" s="7">
        <f t="shared" si="19"/>
        <v>0</v>
      </c>
      <c r="Z66" s="100"/>
      <c r="AA66" s="7">
        <f t="shared" si="20"/>
        <v>0</v>
      </c>
      <c r="AB66" s="2"/>
      <c r="AC66" s="2"/>
      <c r="AD66" s="2"/>
      <c r="AE66" s="2"/>
      <c r="AF66" s="2"/>
      <c r="AG66" s="1"/>
      <c r="AH66" s="1"/>
      <c r="AI66" s="1"/>
      <c r="AJ66" s="1"/>
      <c r="AK66" s="1"/>
      <c r="AL66" s="1"/>
      <c r="AM66" s="1"/>
      <c r="AN66" s="1"/>
      <c r="AO66" s="1"/>
      <c r="AP66" s="1"/>
      <c r="AQ66" s="1"/>
    </row>
    <row r="67" spans="1:43" ht="17.25" thickBot="1" x14ac:dyDescent="0.35">
      <c r="A67" s="147"/>
      <c r="B67" s="97">
        <v>43622</v>
      </c>
      <c r="C67" s="107">
        <v>30</v>
      </c>
      <c r="D67" s="150"/>
      <c r="E67" s="150"/>
      <c r="F67" s="100">
        <v>886</v>
      </c>
      <c r="G67" s="7">
        <f t="shared" si="16"/>
        <v>4430</v>
      </c>
      <c r="H67" s="100"/>
      <c r="I67" s="7">
        <f t="shared" si="17"/>
        <v>0</v>
      </c>
      <c r="J67" s="100"/>
      <c r="K67" s="7">
        <f t="shared" si="11"/>
        <v>0</v>
      </c>
      <c r="L67" s="100">
        <v>30</v>
      </c>
      <c r="M67" s="7">
        <f t="shared" si="12"/>
        <v>150</v>
      </c>
      <c r="N67" s="100"/>
      <c r="O67" s="7">
        <f t="shared" si="13"/>
        <v>0</v>
      </c>
      <c r="P67" s="100">
        <v>9</v>
      </c>
      <c r="Q67" s="7">
        <f t="shared" si="14"/>
        <v>121.5</v>
      </c>
      <c r="R67" s="8">
        <f t="shared" si="18"/>
        <v>0.26941176470588235</v>
      </c>
      <c r="S67" s="8">
        <f t="shared" si="8"/>
        <v>156.71666666666667</v>
      </c>
      <c r="T67" s="152"/>
      <c r="U67" s="180"/>
      <c r="V67" s="180"/>
      <c r="W67" s="152"/>
      <c r="X67" s="100">
        <v>3.5</v>
      </c>
      <c r="Y67" s="7">
        <f t="shared" si="19"/>
        <v>17.5</v>
      </c>
      <c r="Z67" s="100">
        <v>2</v>
      </c>
      <c r="AA67" s="7">
        <f t="shared" si="20"/>
        <v>10</v>
      </c>
      <c r="AB67" s="2"/>
      <c r="AC67" s="2"/>
      <c r="AD67" s="2"/>
      <c r="AE67" s="2"/>
      <c r="AF67" s="2"/>
      <c r="AG67" s="1"/>
      <c r="AH67" s="1"/>
      <c r="AI67" s="1"/>
      <c r="AJ67" s="1"/>
      <c r="AK67" s="1"/>
      <c r="AL67" s="1"/>
      <c r="AM67" s="1"/>
      <c r="AN67" s="1"/>
      <c r="AO67" s="1"/>
      <c r="AP67" s="1"/>
      <c r="AQ67" s="1"/>
    </row>
    <row r="68" spans="1:43" ht="17.25" thickBot="1" x14ac:dyDescent="0.35">
      <c r="A68" s="147"/>
      <c r="B68" s="97">
        <v>43623</v>
      </c>
      <c r="C68" s="107">
        <v>45</v>
      </c>
      <c r="D68" s="150"/>
      <c r="E68" s="150"/>
      <c r="F68" s="100">
        <v>993</v>
      </c>
      <c r="G68" s="7">
        <f t="shared" si="16"/>
        <v>4965</v>
      </c>
      <c r="H68" s="100"/>
      <c r="I68" s="7">
        <f t="shared" si="17"/>
        <v>0</v>
      </c>
      <c r="J68" s="100"/>
      <c r="K68" s="7">
        <f t="shared" si="11"/>
        <v>0</v>
      </c>
      <c r="L68" s="100">
        <v>45</v>
      </c>
      <c r="M68" s="7">
        <f t="shared" si="12"/>
        <v>225</v>
      </c>
      <c r="N68" s="100"/>
      <c r="O68" s="7">
        <f t="shared" si="13"/>
        <v>0</v>
      </c>
      <c r="P68" s="100">
        <v>12</v>
      </c>
      <c r="Q68" s="7">
        <f t="shared" si="14"/>
        <v>162</v>
      </c>
      <c r="R68" s="8">
        <f t="shared" si="18"/>
        <v>0.30529411764705883</v>
      </c>
      <c r="S68" s="8">
        <f t="shared" si="8"/>
        <v>118.93333333333334</v>
      </c>
      <c r="T68" s="152"/>
      <c r="U68" s="180"/>
      <c r="V68" s="180"/>
      <c r="W68" s="152"/>
      <c r="X68" s="100"/>
      <c r="Y68" s="7">
        <f t="shared" si="19"/>
        <v>0</v>
      </c>
      <c r="Z68" s="100"/>
      <c r="AA68" s="7">
        <f t="shared" si="20"/>
        <v>0</v>
      </c>
      <c r="AB68" s="2"/>
      <c r="AC68" s="2"/>
      <c r="AD68" s="2"/>
      <c r="AE68" s="2"/>
      <c r="AF68" s="2"/>
      <c r="AG68" s="1"/>
      <c r="AH68" s="1"/>
      <c r="AI68" s="1"/>
      <c r="AJ68" s="1"/>
      <c r="AK68" s="1"/>
      <c r="AL68" s="1"/>
      <c r="AM68" s="1"/>
      <c r="AN68" s="1"/>
      <c r="AO68" s="1"/>
      <c r="AP68" s="1"/>
      <c r="AQ68" s="1"/>
    </row>
    <row r="69" spans="1:43" ht="17.25" thickBot="1" x14ac:dyDescent="0.35">
      <c r="A69" s="148"/>
      <c r="B69" s="98"/>
      <c r="C69" s="108"/>
      <c r="D69" s="151"/>
      <c r="E69" s="151"/>
      <c r="F69" s="101"/>
      <c r="G69" s="39">
        <f t="shared" si="16"/>
        <v>0</v>
      </c>
      <c r="H69" s="101"/>
      <c r="I69" s="39">
        <f t="shared" si="17"/>
        <v>0</v>
      </c>
      <c r="J69" s="101"/>
      <c r="K69" s="39">
        <f t="shared" si="11"/>
        <v>0</v>
      </c>
      <c r="L69" s="101"/>
      <c r="M69" s="39">
        <f t="shared" si="12"/>
        <v>0</v>
      </c>
      <c r="N69" s="101"/>
      <c r="O69" s="39">
        <f t="shared" si="13"/>
        <v>0</v>
      </c>
      <c r="P69" s="101"/>
      <c r="Q69" s="39">
        <f t="shared" si="14"/>
        <v>0</v>
      </c>
      <c r="R69" s="36">
        <f t="shared" si="18"/>
        <v>0</v>
      </c>
      <c r="S69" s="36" t="str">
        <f t="shared" ref="S69:S132" si="59">IF(C69=0,"",(G69+I69+M69+O69+Q69+K69)/C69)</f>
        <v/>
      </c>
      <c r="T69" s="152"/>
      <c r="U69" s="181"/>
      <c r="V69" s="181"/>
      <c r="W69" s="152"/>
      <c r="X69" s="101"/>
      <c r="Y69" s="39">
        <f t="shared" si="19"/>
        <v>0</v>
      </c>
      <c r="Z69" s="101"/>
      <c r="AA69" s="39">
        <f t="shared" si="20"/>
        <v>0</v>
      </c>
      <c r="AB69" s="2"/>
      <c r="AC69" s="2"/>
      <c r="AD69" s="2"/>
      <c r="AE69" s="2"/>
      <c r="AF69" s="2"/>
      <c r="AG69" s="1"/>
      <c r="AH69" s="1"/>
      <c r="AI69" s="1"/>
      <c r="AJ69" s="1"/>
      <c r="AK69" s="1"/>
      <c r="AL69" s="1"/>
      <c r="AM69" s="1"/>
      <c r="AN69" s="1"/>
      <c r="AO69" s="1"/>
      <c r="AP69" s="1"/>
      <c r="AQ69" s="1"/>
    </row>
    <row r="70" spans="1:43" ht="17.25" thickBot="1" x14ac:dyDescent="0.35">
      <c r="A70" s="147">
        <v>24</v>
      </c>
      <c r="B70" s="105">
        <v>43626</v>
      </c>
      <c r="C70" s="106">
        <v>35</v>
      </c>
      <c r="D70" s="149">
        <f t="shared" ref="D70" si="60">SUM(G70:G75,I70:I75,K70:K75)</f>
        <v>21110</v>
      </c>
      <c r="E70" s="149">
        <f t="shared" ref="E70" si="61">SUM(G70:G75,I70:I75,M70:M75,O70:O75,Q70:Q75,K70:K75)</f>
        <v>22784</v>
      </c>
      <c r="F70" s="99">
        <v>790</v>
      </c>
      <c r="G70" s="7">
        <f t="shared" si="16"/>
        <v>3950</v>
      </c>
      <c r="H70" s="99"/>
      <c r="I70" s="7">
        <f t="shared" si="17"/>
        <v>0</v>
      </c>
      <c r="J70" s="99"/>
      <c r="K70" s="7">
        <f t="shared" si="11"/>
        <v>0</v>
      </c>
      <c r="L70" s="99">
        <v>47</v>
      </c>
      <c r="M70" s="7">
        <f t="shared" si="12"/>
        <v>235</v>
      </c>
      <c r="N70" s="99"/>
      <c r="O70" s="7">
        <f t="shared" si="13"/>
        <v>0</v>
      </c>
      <c r="P70" s="99">
        <v>7</v>
      </c>
      <c r="Q70" s="7">
        <f t="shared" si="14"/>
        <v>94.5</v>
      </c>
      <c r="R70" s="8">
        <f t="shared" si="18"/>
        <v>0.2461764705882353</v>
      </c>
      <c r="S70" s="8">
        <f t="shared" si="59"/>
        <v>122.27142857142857</v>
      </c>
      <c r="T70" s="152">
        <f t="shared" ref="T70" si="62">AVERAGE(S70:S75)</f>
        <v>124.30597126902005</v>
      </c>
      <c r="U70" s="179">
        <f t="shared" ref="U70" si="63">(SUM(G70:G75)+SUM(I70:I75))/$F$1</f>
        <v>1.2417647058823529</v>
      </c>
      <c r="V70" s="179">
        <f t="shared" ref="V70" si="64">SUM(R70:R75)</f>
        <v>1.2973529411764706</v>
      </c>
      <c r="W70" s="152">
        <v>1.3988235294117646</v>
      </c>
      <c r="X70" s="99"/>
      <c r="Y70" s="7">
        <f t="shared" si="19"/>
        <v>0</v>
      </c>
      <c r="Z70" s="99"/>
      <c r="AA70" s="7">
        <f t="shared" si="20"/>
        <v>0</v>
      </c>
      <c r="AB70" s="2"/>
      <c r="AC70" s="2"/>
      <c r="AD70" s="2"/>
      <c r="AE70" s="2"/>
      <c r="AF70" s="2"/>
      <c r="AG70" s="1"/>
      <c r="AH70" s="1"/>
      <c r="AI70" s="1"/>
      <c r="AJ70" s="1"/>
      <c r="AK70" s="1"/>
      <c r="AL70" s="1"/>
      <c r="AM70" s="1"/>
      <c r="AN70" s="1"/>
      <c r="AO70" s="1"/>
      <c r="AP70" s="1"/>
      <c r="AQ70" s="1"/>
    </row>
    <row r="71" spans="1:43" ht="17.25" thickBot="1" x14ac:dyDescent="0.35">
      <c r="A71" s="147"/>
      <c r="B71" s="97">
        <v>43627</v>
      </c>
      <c r="C71" s="107">
        <v>41</v>
      </c>
      <c r="D71" s="150"/>
      <c r="E71" s="150"/>
      <c r="F71" s="100">
        <v>930</v>
      </c>
      <c r="G71" s="7">
        <f t="shared" si="16"/>
        <v>4650</v>
      </c>
      <c r="H71" s="100"/>
      <c r="I71" s="7">
        <f t="shared" si="17"/>
        <v>0</v>
      </c>
      <c r="J71" s="100"/>
      <c r="K71" s="7">
        <f t="shared" si="11"/>
        <v>0</v>
      </c>
      <c r="L71" s="100">
        <v>49</v>
      </c>
      <c r="M71" s="7">
        <f t="shared" si="12"/>
        <v>245</v>
      </c>
      <c r="N71" s="100"/>
      <c r="O71" s="7">
        <f t="shared" si="13"/>
        <v>0</v>
      </c>
      <c r="P71" s="100">
        <v>17</v>
      </c>
      <c r="Q71" s="7">
        <f t="shared" si="14"/>
        <v>229.5</v>
      </c>
      <c r="R71" s="8">
        <f t="shared" si="18"/>
        <v>0.28794117647058826</v>
      </c>
      <c r="S71" s="8">
        <f t="shared" si="59"/>
        <v>124.98780487804878</v>
      </c>
      <c r="T71" s="152"/>
      <c r="U71" s="180"/>
      <c r="V71" s="180"/>
      <c r="W71" s="152"/>
      <c r="X71" s="100"/>
      <c r="Y71" s="7">
        <f t="shared" si="19"/>
        <v>0</v>
      </c>
      <c r="Z71" s="100"/>
      <c r="AA71" s="7">
        <f t="shared" si="20"/>
        <v>0</v>
      </c>
      <c r="AB71" s="2"/>
      <c r="AC71" s="2"/>
      <c r="AD71" s="2"/>
      <c r="AE71" s="2"/>
      <c r="AF71" s="2"/>
      <c r="AG71" s="1"/>
      <c r="AH71" s="1"/>
      <c r="AI71" s="1"/>
      <c r="AJ71" s="1"/>
      <c r="AK71" s="1"/>
      <c r="AL71" s="1"/>
      <c r="AM71" s="1"/>
      <c r="AN71" s="1"/>
      <c r="AO71" s="1"/>
      <c r="AP71" s="1"/>
      <c r="AQ71" s="1"/>
    </row>
    <row r="72" spans="1:43" ht="17.25" thickBot="1" x14ac:dyDescent="0.35">
      <c r="A72" s="147"/>
      <c r="B72" s="97">
        <v>43628</v>
      </c>
      <c r="C72" s="107">
        <v>27</v>
      </c>
      <c r="D72" s="150"/>
      <c r="E72" s="150"/>
      <c r="F72" s="100">
        <v>612</v>
      </c>
      <c r="G72" s="7">
        <f t="shared" si="16"/>
        <v>3060</v>
      </c>
      <c r="H72" s="100"/>
      <c r="I72" s="7">
        <f t="shared" si="17"/>
        <v>0</v>
      </c>
      <c r="J72" s="100"/>
      <c r="K72" s="7">
        <f t="shared" si="11"/>
        <v>0</v>
      </c>
      <c r="L72" s="100">
        <v>26</v>
      </c>
      <c r="M72" s="7">
        <f t="shared" si="12"/>
        <v>130</v>
      </c>
      <c r="N72" s="100"/>
      <c r="O72" s="7">
        <f t="shared" si="13"/>
        <v>0</v>
      </c>
      <c r="P72" s="100">
        <v>9</v>
      </c>
      <c r="Q72" s="7">
        <f t="shared" si="14"/>
        <v>121.5</v>
      </c>
      <c r="R72" s="8">
        <f t="shared" si="18"/>
        <v>0.18764705882352942</v>
      </c>
      <c r="S72" s="8">
        <f t="shared" si="59"/>
        <v>122.64814814814815</v>
      </c>
      <c r="T72" s="152"/>
      <c r="U72" s="180"/>
      <c r="V72" s="180"/>
      <c r="W72" s="152"/>
      <c r="X72" s="100">
        <v>3.5</v>
      </c>
      <c r="Y72" s="7">
        <f t="shared" si="19"/>
        <v>17.5</v>
      </c>
      <c r="Z72" s="100">
        <v>4</v>
      </c>
      <c r="AA72" s="7">
        <f t="shared" si="20"/>
        <v>20</v>
      </c>
      <c r="AB72" s="2"/>
      <c r="AC72" s="2"/>
      <c r="AD72" s="2"/>
      <c r="AE72" s="2"/>
      <c r="AF72" s="2"/>
      <c r="AG72" s="1"/>
      <c r="AH72" s="1"/>
      <c r="AI72" s="1"/>
      <c r="AJ72" s="1"/>
      <c r="AK72" s="1"/>
      <c r="AL72" s="1"/>
      <c r="AM72" s="1"/>
      <c r="AN72" s="1"/>
      <c r="AO72" s="1"/>
      <c r="AP72" s="1"/>
      <c r="AQ72" s="1"/>
    </row>
    <row r="73" spans="1:43" ht="17.25" thickBot="1" x14ac:dyDescent="0.35">
      <c r="A73" s="147"/>
      <c r="B73" s="97">
        <v>43629</v>
      </c>
      <c r="C73" s="107">
        <v>36</v>
      </c>
      <c r="D73" s="150"/>
      <c r="E73" s="150"/>
      <c r="F73" s="100">
        <v>855</v>
      </c>
      <c r="G73" s="7">
        <f t="shared" si="16"/>
        <v>4275</v>
      </c>
      <c r="H73" s="100"/>
      <c r="I73" s="7">
        <f t="shared" si="17"/>
        <v>0</v>
      </c>
      <c r="J73" s="100"/>
      <c r="K73" s="7">
        <f t="shared" si="11"/>
        <v>0</v>
      </c>
      <c r="L73" s="100">
        <v>26</v>
      </c>
      <c r="M73" s="7">
        <f t="shared" si="12"/>
        <v>130</v>
      </c>
      <c r="N73" s="100"/>
      <c r="O73" s="7">
        <f t="shared" si="13"/>
        <v>0</v>
      </c>
      <c r="P73" s="100">
        <v>8</v>
      </c>
      <c r="Q73" s="7">
        <f t="shared" si="14"/>
        <v>108</v>
      </c>
      <c r="R73" s="8">
        <f t="shared" si="18"/>
        <v>0.25911764705882351</v>
      </c>
      <c r="S73" s="8">
        <f t="shared" si="59"/>
        <v>125.36111111111111</v>
      </c>
      <c r="T73" s="152"/>
      <c r="U73" s="180"/>
      <c r="V73" s="180"/>
      <c r="W73" s="152"/>
      <c r="X73" s="100"/>
      <c r="Y73" s="7">
        <f t="shared" si="19"/>
        <v>0</v>
      </c>
      <c r="Z73" s="100"/>
      <c r="AA73" s="7">
        <f t="shared" si="20"/>
        <v>0</v>
      </c>
      <c r="AB73" s="2"/>
      <c r="AC73" s="2"/>
      <c r="AD73" s="2"/>
      <c r="AE73" s="2"/>
      <c r="AF73" s="2"/>
      <c r="AG73" s="1"/>
      <c r="AH73" s="1"/>
      <c r="AI73" s="1"/>
      <c r="AJ73" s="1"/>
      <c r="AK73" s="1"/>
      <c r="AL73" s="1"/>
      <c r="AM73" s="1"/>
      <c r="AN73" s="1"/>
      <c r="AO73" s="1"/>
      <c r="AP73" s="1"/>
      <c r="AQ73" s="1"/>
    </row>
    <row r="74" spans="1:43" ht="17.25" thickBot="1" x14ac:dyDescent="0.35">
      <c r="A74" s="147"/>
      <c r="B74" s="97">
        <v>43630</v>
      </c>
      <c r="C74" s="107">
        <v>44</v>
      </c>
      <c r="D74" s="150"/>
      <c r="E74" s="150"/>
      <c r="F74" s="100">
        <v>1035</v>
      </c>
      <c r="G74" s="7">
        <f t="shared" si="16"/>
        <v>5175</v>
      </c>
      <c r="H74" s="100"/>
      <c r="I74" s="7">
        <f t="shared" si="17"/>
        <v>0</v>
      </c>
      <c r="J74" s="100"/>
      <c r="K74" s="7">
        <f t="shared" ref="K74:K137" si="65">J74*J$3</f>
        <v>0</v>
      </c>
      <c r="L74" s="100">
        <v>41</v>
      </c>
      <c r="M74" s="7">
        <f t="shared" ref="M74:M137" si="66">L74*L$3</f>
        <v>205</v>
      </c>
      <c r="N74" s="100"/>
      <c r="O74" s="7">
        <f t="shared" ref="O74:O137" si="67">N74*N$3</f>
        <v>0</v>
      </c>
      <c r="P74" s="100">
        <v>13</v>
      </c>
      <c r="Q74" s="7">
        <f t="shared" ref="Q74:Q137" si="68">P74*P$3</f>
        <v>175.5</v>
      </c>
      <c r="R74" s="8">
        <f t="shared" si="18"/>
        <v>0.31647058823529411</v>
      </c>
      <c r="S74" s="8">
        <f t="shared" si="59"/>
        <v>126.26136363636364</v>
      </c>
      <c r="T74" s="152"/>
      <c r="U74" s="180"/>
      <c r="V74" s="180"/>
      <c r="W74" s="152"/>
      <c r="X74" s="100"/>
      <c r="Y74" s="7">
        <f t="shared" si="19"/>
        <v>0</v>
      </c>
      <c r="Z74" s="100"/>
      <c r="AA74" s="7">
        <f t="shared" si="20"/>
        <v>0</v>
      </c>
      <c r="AB74" s="2"/>
      <c r="AC74" s="2"/>
      <c r="AD74" s="2"/>
      <c r="AE74" s="2"/>
      <c r="AF74" s="2"/>
      <c r="AG74" s="1"/>
      <c r="AH74" s="1"/>
      <c r="AI74" s="1"/>
      <c r="AJ74" s="1"/>
      <c r="AK74" s="1"/>
      <c r="AL74" s="1"/>
      <c r="AM74" s="1"/>
      <c r="AN74" s="1"/>
      <c r="AO74" s="1"/>
      <c r="AP74" s="1"/>
      <c r="AQ74" s="1"/>
    </row>
    <row r="75" spans="1:43" ht="17.25" thickBot="1" x14ac:dyDescent="0.35">
      <c r="A75" s="147"/>
      <c r="B75" s="98"/>
      <c r="C75" s="108"/>
      <c r="D75" s="151"/>
      <c r="E75" s="151"/>
      <c r="F75" s="101"/>
      <c r="G75" s="7">
        <f t="shared" ref="G75:G138" si="69">F75*F$3</f>
        <v>0</v>
      </c>
      <c r="H75" s="101"/>
      <c r="I75" s="7">
        <f t="shared" ref="I75:I138" si="70">H75*H$3</f>
        <v>0</v>
      </c>
      <c r="J75" s="101"/>
      <c r="K75" s="7">
        <f t="shared" si="65"/>
        <v>0</v>
      </c>
      <c r="L75" s="101"/>
      <c r="M75" s="7">
        <f t="shared" si="66"/>
        <v>0</v>
      </c>
      <c r="N75" s="101"/>
      <c r="O75" s="7">
        <f t="shared" si="67"/>
        <v>0</v>
      </c>
      <c r="P75" s="101"/>
      <c r="Q75" s="7">
        <f t="shared" si="68"/>
        <v>0</v>
      </c>
      <c r="R75" s="8">
        <f t="shared" ref="R75:R138" si="71">(G75+I75+M75+O75+K75)/F$1</f>
        <v>0</v>
      </c>
      <c r="S75" s="8" t="str">
        <f t="shared" si="59"/>
        <v/>
      </c>
      <c r="T75" s="152"/>
      <c r="U75" s="181"/>
      <c r="V75" s="181"/>
      <c r="W75" s="152"/>
      <c r="X75" s="101"/>
      <c r="Y75" s="7">
        <f t="shared" ref="Y75:Y138" si="72">X75*X$3</f>
        <v>0</v>
      </c>
      <c r="Z75" s="101"/>
      <c r="AA75" s="7">
        <f t="shared" ref="AA75:AA138" si="73">Z75*Z$3</f>
        <v>0</v>
      </c>
      <c r="AB75" s="2"/>
      <c r="AC75" s="2"/>
      <c r="AD75" s="2"/>
      <c r="AE75" s="2"/>
      <c r="AF75" s="2"/>
      <c r="AG75" s="1"/>
      <c r="AH75" s="1"/>
      <c r="AI75" s="1"/>
      <c r="AJ75" s="1"/>
      <c r="AK75" s="1"/>
      <c r="AL75" s="1"/>
      <c r="AM75" s="1"/>
      <c r="AN75" s="1"/>
      <c r="AO75" s="1"/>
      <c r="AP75" s="1"/>
      <c r="AQ75" s="1"/>
    </row>
    <row r="76" spans="1:43" ht="17.25" thickBot="1" x14ac:dyDescent="0.35">
      <c r="A76" s="146">
        <v>25</v>
      </c>
      <c r="B76" s="105">
        <v>43633</v>
      </c>
      <c r="C76" s="106">
        <v>40</v>
      </c>
      <c r="D76" s="149">
        <f t="shared" ref="D76" si="74">SUM(G76:G81,I76:I81,K76:K81)</f>
        <v>25460</v>
      </c>
      <c r="E76" s="149">
        <f t="shared" ref="E76" si="75">SUM(G76:G81,I76:I81,M76:M81,O76:O81,Q76:Q81,K76:K81)</f>
        <v>27346.5</v>
      </c>
      <c r="F76" s="99">
        <v>849</v>
      </c>
      <c r="G76" s="40">
        <f t="shared" si="69"/>
        <v>4245</v>
      </c>
      <c r="H76" s="99"/>
      <c r="I76" s="40">
        <f t="shared" si="70"/>
        <v>0</v>
      </c>
      <c r="J76" s="99"/>
      <c r="K76" s="40">
        <f t="shared" si="65"/>
        <v>0</v>
      </c>
      <c r="L76" s="99">
        <v>32</v>
      </c>
      <c r="M76" s="40">
        <f t="shared" si="66"/>
        <v>160</v>
      </c>
      <c r="N76" s="99"/>
      <c r="O76" s="40">
        <f t="shared" si="67"/>
        <v>0</v>
      </c>
      <c r="P76" s="99">
        <v>9</v>
      </c>
      <c r="Q76" s="40">
        <f t="shared" si="68"/>
        <v>121.5</v>
      </c>
      <c r="R76" s="34">
        <f t="shared" si="71"/>
        <v>0.25911764705882351</v>
      </c>
      <c r="S76" s="34">
        <f t="shared" si="59"/>
        <v>113.16249999999999</v>
      </c>
      <c r="T76" s="152">
        <f>AVERAGE(S76:S81)</f>
        <v>118.1881780959114</v>
      </c>
      <c r="U76" s="179">
        <f t="shared" ref="U76" si="76">(SUM(G76:G81)+SUM(I76:I81))/$F$1</f>
        <v>1.4976470588235293</v>
      </c>
      <c r="V76" s="179">
        <f t="shared" ref="V76" si="77">SUM(R76:R81)</f>
        <v>1.5617647058823529</v>
      </c>
      <c r="W76" s="152">
        <v>1.2379411764705881</v>
      </c>
      <c r="X76" s="99"/>
      <c r="Y76" s="40">
        <f t="shared" si="72"/>
        <v>0</v>
      </c>
      <c r="Z76" s="99"/>
      <c r="AA76" s="40">
        <f t="shared" si="73"/>
        <v>0</v>
      </c>
      <c r="AB76" s="2"/>
      <c r="AC76" s="2"/>
      <c r="AD76" s="2"/>
      <c r="AE76" s="2"/>
      <c r="AF76" s="2"/>
      <c r="AG76" s="1"/>
      <c r="AH76" s="1"/>
      <c r="AI76" s="1"/>
      <c r="AJ76" s="1"/>
      <c r="AK76" s="1"/>
      <c r="AL76" s="1"/>
      <c r="AM76" s="1"/>
      <c r="AN76" s="1"/>
      <c r="AO76" s="1"/>
      <c r="AP76" s="1"/>
      <c r="AQ76" s="1"/>
    </row>
    <row r="77" spans="1:43" ht="17.25" thickBot="1" x14ac:dyDescent="0.35">
      <c r="A77" s="147"/>
      <c r="B77" s="97">
        <v>43634</v>
      </c>
      <c r="C77" s="107">
        <v>45</v>
      </c>
      <c r="D77" s="150"/>
      <c r="E77" s="150"/>
      <c r="F77" s="100">
        <v>976</v>
      </c>
      <c r="G77" s="7">
        <f t="shared" si="69"/>
        <v>4880</v>
      </c>
      <c r="H77" s="100"/>
      <c r="I77" s="7">
        <f t="shared" si="70"/>
        <v>0</v>
      </c>
      <c r="J77" s="100"/>
      <c r="K77" s="7">
        <f t="shared" si="65"/>
        <v>0</v>
      </c>
      <c r="L77" s="100">
        <v>43</v>
      </c>
      <c r="M77" s="7">
        <f t="shared" si="66"/>
        <v>215</v>
      </c>
      <c r="N77" s="100"/>
      <c r="O77" s="7">
        <f t="shared" si="67"/>
        <v>0</v>
      </c>
      <c r="P77" s="100">
        <v>12</v>
      </c>
      <c r="Q77" s="7">
        <f t="shared" si="68"/>
        <v>162</v>
      </c>
      <c r="R77" s="8">
        <f t="shared" si="71"/>
        <v>0.29970588235294116</v>
      </c>
      <c r="S77" s="8">
        <f t="shared" si="59"/>
        <v>116.82222222222222</v>
      </c>
      <c r="T77" s="152"/>
      <c r="U77" s="180"/>
      <c r="V77" s="180"/>
      <c r="W77" s="152"/>
      <c r="X77" s="100"/>
      <c r="Y77" s="7">
        <f t="shared" si="72"/>
        <v>0</v>
      </c>
      <c r="Z77" s="100"/>
      <c r="AA77" s="7">
        <f t="shared" si="73"/>
        <v>0</v>
      </c>
      <c r="AB77" s="2"/>
      <c r="AC77" s="2"/>
      <c r="AD77" s="2"/>
      <c r="AE77" s="2"/>
      <c r="AF77" s="2"/>
      <c r="AG77" s="1"/>
      <c r="AH77" s="1"/>
      <c r="AI77" s="1"/>
      <c r="AJ77" s="1"/>
      <c r="AK77" s="1"/>
      <c r="AL77" s="1"/>
      <c r="AM77" s="1"/>
      <c r="AN77" s="1"/>
      <c r="AO77" s="1"/>
      <c r="AP77" s="1"/>
      <c r="AQ77" s="1"/>
    </row>
    <row r="78" spans="1:43" ht="17.25" thickBot="1" x14ac:dyDescent="0.35">
      <c r="A78" s="147"/>
      <c r="B78" s="97">
        <v>43635</v>
      </c>
      <c r="C78" s="107">
        <v>51.75</v>
      </c>
      <c r="D78" s="150"/>
      <c r="E78" s="150"/>
      <c r="F78" s="100">
        <v>1218</v>
      </c>
      <c r="G78" s="7">
        <f t="shared" si="69"/>
        <v>6090</v>
      </c>
      <c r="H78" s="100"/>
      <c r="I78" s="7">
        <f t="shared" si="70"/>
        <v>0</v>
      </c>
      <c r="J78" s="100"/>
      <c r="K78" s="7">
        <f t="shared" si="65"/>
        <v>0</v>
      </c>
      <c r="L78" s="100">
        <v>48</v>
      </c>
      <c r="M78" s="7">
        <f t="shared" si="66"/>
        <v>240</v>
      </c>
      <c r="N78" s="100"/>
      <c r="O78" s="7">
        <f t="shared" si="67"/>
        <v>0</v>
      </c>
      <c r="P78" s="100">
        <v>16</v>
      </c>
      <c r="Q78" s="7">
        <f t="shared" si="68"/>
        <v>216</v>
      </c>
      <c r="R78" s="8">
        <f t="shared" si="71"/>
        <v>0.37235294117647061</v>
      </c>
      <c r="S78" s="8">
        <f t="shared" si="59"/>
        <v>126.49275362318841</v>
      </c>
      <c r="T78" s="152"/>
      <c r="U78" s="180"/>
      <c r="V78" s="180"/>
      <c r="W78" s="152"/>
      <c r="X78" s="100"/>
      <c r="Y78" s="7">
        <f t="shared" si="72"/>
        <v>0</v>
      </c>
      <c r="Z78" s="100"/>
      <c r="AA78" s="7">
        <f t="shared" si="73"/>
        <v>0</v>
      </c>
      <c r="AB78" s="2"/>
      <c r="AC78" s="2"/>
      <c r="AD78" s="2"/>
      <c r="AE78" s="2"/>
      <c r="AF78" s="2"/>
      <c r="AG78" s="1"/>
      <c r="AH78" s="1"/>
      <c r="AI78" s="1"/>
      <c r="AJ78" s="1"/>
      <c r="AK78" s="1"/>
      <c r="AL78" s="1"/>
      <c r="AM78" s="1"/>
      <c r="AN78" s="1"/>
      <c r="AO78" s="1"/>
      <c r="AP78" s="1"/>
      <c r="AQ78" s="1"/>
    </row>
    <row r="79" spans="1:43" ht="17.25" thickBot="1" x14ac:dyDescent="0.35">
      <c r="A79" s="147"/>
      <c r="B79" s="97">
        <v>43636</v>
      </c>
      <c r="C79" s="107">
        <v>54</v>
      </c>
      <c r="D79" s="150"/>
      <c r="E79" s="150"/>
      <c r="F79" s="100">
        <v>1089</v>
      </c>
      <c r="G79" s="7">
        <f t="shared" si="69"/>
        <v>5445</v>
      </c>
      <c r="H79" s="100"/>
      <c r="I79" s="7">
        <f t="shared" si="70"/>
        <v>0</v>
      </c>
      <c r="J79" s="100"/>
      <c r="K79" s="7">
        <f t="shared" si="65"/>
        <v>0</v>
      </c>
      <c r="L79" s="100">
        <v>45</v>
      </c>
      <c r="M79" s="7">
        <f t="shared" si="66"/>
        <v>225</v>
      </c>
      <c r="N79" s="100"/>
      <c r="O79" s="7">
        <f t="shared" si="67"/>
        <v>0</v>
      </c>
      <c r="P79" s="100">
        <v>12</v>
      </c>
      <c r="Q79" s="7">
        <f t="shared" si="68"/>
        <v>162</v>
      </c>
      <c r="R79" s="8">
        <f t="shared" si="71"/>
        <v>0.33352941176470591</v>
      </c>
      <c r="S79" s="8">
        <f t="shared" si="59"/>
        <v>108</v>
      </c>
      <c r="T79" s="152"/>
      <c r="U79" s="180"/>
      <c r="V79" s="180"/>
      <c r="W79" s="152"/>
      <c r="X79" s="100">
        <v>3.5</v>
      </c>
      <c r="Y79" s="7">
        <f t="shared" si="72"/>
        <v>17.5</v>
      </c>
      <c r="Z79" s="100">
        <v>3.5</v>
      </c>
      <c r="AA79" s="7">
        <f t="shared" si="73"/>
        <v>17.5</v>
      </c>
      <c r="AB79" s="2"/>
      <c r="AC79" s="2"/>
      <c r="AD79" s="2"/>
      <c r="AE79" s="2"/>
      <c r="AF79" s="2"/>
      <c r="AG79" s="1"/>
      <c r="AH79" s="1"/>
      <c r="AI79" s="1"/>
      <c r="AJ79" s="1"/>
      <c r="AK79" s="1"/>
      <c r="AL79" s="1"/>
      <c r="AM79" s="1"/>
      <c r="AN79" s="1"/>
      <c r="AO79" s="1"/>
      <c r="AP79" s="1"/>
      <c r="AQ79" s="1"/>
    </row>
    <row r="80" spans="1:43" ht="17.25" thickBot="1" x14ac:dyDescent="0.35">
      <c r="A80" s="147"/>
      <c r="B80" s="97">
        <v>43637</v>
      </c>
      <c r="C80" s="107">
        <v>41</v>
      </c>
      <c r="D80" s="150"/>
      <c r="E80" s="150"/>
      <c r="F80" s="100">
        <v>960</v>
      </c>
      <c r="G80" s="7">
        <f t="shared" si="69"/>
        <v>4800</v>
      </c>
      <c r="H80" s="100"/>
      <c r="I80" s="7">
        <f t="shared" si="70"/>
        <v>0</v>
      </c>
      <c r="J80" s="100"/>
      <c r="K80" s="7">
        <f t="shared" si="65"/>
        <v>0</v>
      </c>
      <c r="L80" s="100">
        <v>50</v>
      </c>
      <c r="M80" s="7">
        <f t="shared" si="66"/>
        <v>250</v>
      </c>
      <c r="N80" s="100"/>
      <c r="O80" s="7">
        <f t="shared" si="67"/>
        <v>0</v>
      </c>
      <c r="P80" s="100">
        <v>10</v>
      </c>
      <c r="Q80" s="7">
        <f t="shared" si="68"/>
        <v>135</v>
      </c>
      <c r="R80" s="8">
        <f t="shared" si="71"/>
        <v>0.29705882352941176</v>
      </c>
      <c r="S80" s="8">
        <f t="shared" si="59"/>
        <v>126.46341463414635</v>
      </c>
      <c r="T80" s="152"/>
      <c r="U80" s="180"/>
      <c r="V80" s="180"/>
      <c r="W80" s="152"/>
      <c r="X80" s="100"/>
      <c r="Y80" s="7">
        <f t="shared" si="72"/>
        <v>0</v>
      </c>
      <c r="Z80" s="100"/>
      <c r="AA80" s="7">
        <f t="shared" si="73"/>
        <v>0</v>
      </c>
      <c r="AB80" s="2"/>
      <c r="AC80" s="2"/>
      <c r="AD80" s="2"/>
      <c r="AE80" s="2"/>
      <c r="AF80" s="2"/>
      <c r="AG80" s="1"/>
      <c r="AH80" s="1"/>
      <c r="AI80" s="1"/>
      <c r="AJ80" s="1"/>
      <c r="AK80" s="1"/>
      <c r="AL80" s="1"/>
      <c r="AM80" s="1"/>
      <c r="AN80" s="1"/>
      <c r="AO80" s="1"/>
      <c r="AP80" s="1"/>
      <c r="AQ80" s="1"/>
    </row>
    <row r="81" spans="1:43" ht="17.25" thickBot="1" x14ac:dyDescent="0.35">
      <c r="A81" s="148"/>
      <c r="B81" s="98"/>
      <c r="C81" s="108"/>
      <c r="D81" s="151"/>
      <c r="E81" s="151"/>
      <c r="F81" s="101"/>
      <c r="G81" s="39">
        <f t="shared" si="69"/>
        <v>0</v>
      </c>
      <c r="H81" s="101"/>
      <c r="I81" s="39">
        <f t="shared" si="70"/>
        <v>0</v>
      </c>
      <c r="J81" s="101"/>
      <c r="K81" s="39">
        <f t="shared" si="65"/>
        <v>0</v>
      </c>
      <c r="L81" s="101"/>
      <c r="M81" s="39">
        <f t="shared" si="66"/>
        <v>0</v>
      </c>
      <c r="N81" s="101"/>
      <c r="O81" s="39">
        <f t="shared" si="67"/>
        <v>0</v>
      </c>
      <c r="P81" s="101"/>
      <c r="Q81" s="39">
        <f t="shared" si="68"/>
        <v>0</v>
      </c>
      <c r="R81" s="36">
        <f t="shared" si="71"/>
        <v>0</v>
      </c>
      <c r="S81" s="36" t="str">
        <f t="shared" si="59"/>
        <v/>
      </c>
      <c r="T81" s="152"/>
      <c r="U81" s="181"/>
      <c r="V81" s="181"/>
      <c r="W81" s="152"/>
      <c r="X81" s="101"/>
      <c r="Y81" s="39">
        <f t="shared" si="72"/>
        <v>0</v>
      </c>
      <c r="Z81" s="101"/>
      <c r="AA81" s="39">
        <f t="shared" si="73"/>
        <v>0</v>
      </c>
      <c r="AB81" s="2"/>
      <c r="AC81" s="2"/>
      <c r="AD81" s="2"/>
      <c r="AE81" s="2"/>
      <c r="AF81" s="2"/>
      <c r="AG81" s="1"/>
      <c r="AH81" s="1"/>
      <c r="AI81" s="1"/>
      <c r="AJ81" s="1"/>
      <c r="AK81" s="1"/>
      <c r="AL81" s="1"/>
      <c r="AM81" s="1"/>
      <c r="AN81" s="1"/>
      <c r="AO81" s="1"/>
      <c r="AP81" s="1"/>
      <c r="AQ81" s="1"/>
    </row>
    <row r="82" spans="1:43" ht="17.25" thickBot="1" x14ac:dyDescent="0.35">
      <c r="A82" s="147">
        <v>26</v>
      </c>
      <c r="B82" s="105">
        <v>43640</v>
      </c>
      <c r="C82" s="106">
        <v>40</v>
      </c>
      <c r="D82" s="149">
        <f t="shared" ref="D82" si="78">SUM(G82:G87,I82:I87,K82:K87)</f>
        <v>29660</v>
      </c>
      <c r="E82" s="149">
        <f t="shared" ref="E82" si="79">SUM(G82:G87,I82:I87,M82:M87,O82:O87,Q82:Q87,K82:K87)</f>
        <v>31539.5</v>
      </c>
      <c r="F82" s="99">
        <v>933</v>
      </c>
      <c r="G82" s="7">
        <f t="shared" si="69"/>
        <v>4665</v>
      </c>
      <c r="H82" s="99"/>
      <c r="I82" s="7">
        <f t="shared" si="70"/>
        <v>0</v>
      </c>
      <c r="J82" s="99"/>
      <c r="K82" s="7">
        <f t="shared" si="65"/>
        <v>0</v>
      </c>
      <c r="L82" s="99">
        <v>39</v>
      </c>
      <c r="M82" s="7">
        <f t="shared" si="66"/>
        <v>195</v>
      </c>
      <c r="N82" s="99"/>
      <c r="O82" s="7">
        <f t="shared" si="67"/>
        <v>0</v>
      </c>
      <c r="P82" s="99">
        <v>10</v>
      </c>
      <c r="Q82" s="7">
        <f t="shared" si="68"/>
        <v>135</v>
      </c>
      <c r="R82" s="8">
        <f t="shared" si="71"/>
        <v>0.28588235294117648</v>
      </c>
      <c r="S82" s="8">
        <f t="shared" si="59"/>
        <v>124.875</v>
      </c>
      <c r="T82" s="152">
        <f t="shared" ref="T82" si="80">AVERAGE(S82:S87)</f>
        <v>126.17140607877695</v>
      </c>
      <c r="U82" s="179">
        <f t="shared" ref="U82" si="81">(SUM(G82:G87)+SUM(I82:I87))/$F$1</f>
        <v>1.7447058823529411</v>
      </c>
      <c r="V82" s="179">
        <f t="shared" ref="V82" si="82">SUM(R82:R87)</f>
        <v>1.81</v>
      </c>
      <c r="W82" s="152">
        <v>1.4514705882352941</v>
      </c>
      <c r="X82" s="99"/>
      <c r="Y82" s="7">
        <f t="shared" si="72"/>
        <v>0</v>
      </c>
      <c r="Z82" s="99"/>
      <c r="AA82" s="7">
        <f t="shared" si="73"/>
        <v>0</v>
      </c>
      <c r="AB82" s="2"/>
      <c r="AC82" s="2"/>
      <c r="AD82" s="2"/>
      <c r="AE82" s="2"/>
      <c r="AF82" s="2"/>
      <c r="AG82" s="1"/>
      <c r="AH82" s="1"/>
      <c r="AI82" s="1"/>
      <c r="AJ82" s="1"/>
      <c r="AK82" s="1"/>
      <c r="AL82" s="1"/>
      <c r="AM82" s="1"/>
      <c r="AN82" s="1"/>
      <c r="AO82" s="1"/>
      <c r="AP82" s="1"/>
      <c r="AQ82" s="1"/>
    </row>
    <row r="83" spans="1:43" ht="17.25" thickBot="1" x14ac:dyDescent="0.35">
      <c r="A83" s="147"/>
      <c r="B83" s="97">
        <v>43641</v>
      </c>
      <c r="C83" s="107">
        <v>41</v>
      </c>
      <c r="D83" s="150"/>
      <c r="E83" s="150"/>
      <c r="F83" s="100">
        <v>974</v>
      </c>
      <c r="G83" s="7">
        <f t="shared" si="69"/>
        <v>4870</v>
      </c>
      <c r="H83" s="100"/>
      <c r="I83" s="7">
        <f t="shared" si="70"/>
        <v>0</v>
      </c>
      <c r="J83" s="100"/>
      <c r="K83" s="7">
        <f t="shared" si="65"/>
        <v>0</v>
      </c>
      <c r="L83" s="100">
        <v>33</v>
      </c>
      <c r="M83" s="7">
        <f t="shared" si="66"/>
        <v>165</v>
      </c>
      <c r="N83" s="100"/>
      <c r="O83" s="7">
        <f t="shared" si="67"/>
        <v>0</v>
      </c>
      <c r="P83" s="100">
        <v>10</v>
      </c>
      <c r="Q83" s="7">
        <f t="shared" si="68"/>
        <v>135</v>
      </c>
      <c r="R83" s="8">
        <f t="shared" si="71"/>
        <v>0.29617647058823532</v>
      </c>
      <c r="S83" s="8">
        <f t="shared" si="59"/>
        <v>126.09756097560975</v>
      </c>
      <c r="T83" s="152"/>
      <c r="U83" s="180"/>
      <c r="V83" s="180"/>
      <c r="W83" s="152"/>
      <c r="X83" s="100"/>
      <c r="Y83" s="7">
        <f t="shared" si="72"/>
        <v>0</v>
      </c>
      <c r="Z83" s="100"/>
      <c r="AA83" s="7">
        <f t="shared" si="73"/>
        <v>0</v>
      </c>
      <c r="AB83" s="2"/>
      <c r="AC83" s="2"/>
      <c r="AD83" s="2"/>
      <c r="AE83" s="2"/>
      <c r="AF83" s="2"/>
      <c r="AG83" s="1"/>
      <c r="AH83" s="1"/>
      <c r="AI83" s="1"/>
      <c r="AJ83" s="1"/>
      <c r="AK83" s="1"/>
      <c r="AL83" s="1"/>
      <c r="AM83" s="1"/>
      <c r="AN83" s="1"/>
      <c r="AO83" s="1"/>
      <c r="AP83" s="1"/>
      <c r="AQ83" s="1"/>
    </row>
    <row r="84" spans="1:43" ht="17.25" thickBot="1" x14ac:dyDescent="0.35">
      <c r="A84" s="147"/>
      <c r="B84" s="97">
        <v>43642</v>
      </c>
      <c r="C84" s="107">
        <v>38.5</v>
      </c>
      <c r="D84" s="150"/>
      <c r="E84" s="150"/>
      <c r="F84" s="100">
        <v>924</v>
      </c>
      <c r="G84" s="7">
        <f t="shared" si="69"/>
        <v>4620</v>
      </c>
      <c r="H84" s="100"/>
      <c r="I84" s="7">
        <f t="shared" si="70"/>
        <v>0</v>
      </c>
      <c r="J84" s="100"/>
      <c r="K84" s="7">
        <f t="shared" si="65"/>
        <v>0</v>
      </c>
      <c r="L84" s="100">
        <v>36</v>
      </c>
      <c r="M84" s="7">
        <f t="shared" si="66"/>
        <v>180</v>
      </c>
      <c r="N84" s="100"/>
      <c r="O84" s="7">
        <f t="shared" si="67"/>
        <v>0</v>
      </c>
      <c r="P84" s="100">
        <v>10</v>
      </c>
      <c r="Q84" s="7">
        <f t="shared" si="68"/>
        <v>135</v>
      </c>
      <c r="R84" s="8">
        <f t="shared" si="71"/>
        <v>0.28235294117647058</v>
      </c>
      <c r="S84" s="8">
        <f t="shared" si="59"/>
        <v>128.18181818181819</v>
      </c>
      <c r="T84" s="152"/>
      <c r="U84" s="180"/>
      <c r="V84" s="180"/>
      <c r="W84" s="152"/>
      <c r="X84" s="100"/>
      <c r="Y84" s="7">
        <f t="shared" si="72"/>
        <v>0</v>
      </c>
      <c r="Z84" s="100"/>
      <c r="AA84" s="7">
        <f t="shared" si="73"/>
        <v>0</v>
      </c>
      <c r="AB84" s="2"/>
      <c r="AC84" s="2"/>
      <c r="AD84" s="2"/>
      <c r="AE84" s="2"/>
      <c r="AF84" s="2"/>
      <c r="AG84" s="1"/>
      <c r="AH84" s="1"/>
      <c r="AI84" s="1"/>
      <c r="AJ84" s="1"/>
      <c r="AK84" s="1"/>
      <c r="AL84" s="1"/>
      <c r="AM84" s="1"/>
      <c r="AN84" s="1"/>
      <c r="AO84" s="1"/>
      <c r="AP84" s="1"/>
      <c r="AQ84" s="1"/>
    </row>
    <row r="85" spans="1:43" ht="17.25" thickBot="1" x14ac:dyDescent="0.35">
      <c r="A85" s="147"/>
      <c r="B85" s="97">
        <v>43643</v>
      </c>
      <c r="C85" s="107">
        <v>54</v>
      </c>
      <c r="D85" s="150"/>
      <c r="E85" s="150"/>
      <c r="F85" s="100">
        <v>1266</v>
      </c>
      <c r="G85" s="7">
        <f t="shared" si="69"/>
        <v>6330</v>
      </c>
      <c r="H85" s="100"/>
      <c r="I85" s="7">
        <f t="shared" si="70"/>
        <v>0</v>
      </c>
      <c r="J85" s="100"/>
      <c r="K85" s="7">
        <f t="shared" si="65"/>
        <v>0</v>
      </c>
      <c r="L85" s="100">
        <v>39</v>
      </c>
      <c r="M85" s="7">
        <f t="shared" si="66"/>
        <v>195</v>
      </c>
      <c r="N85" s="100"/>
      <c r="O85" s="7">
        <f t="shared" si="67"/>
        <v>0</v>
      </c>
      <c r="P85" s="100">
        <v>13</v>
      </c>
      <c r="Q85" s="7">
        <f t="shared" si="68"/>
        <v>175.5</v>
      </c>
      <c r="R85" s="8">
        <f t="shared" si="71"/>
        <v>0.38382352941176473</v>
      </c>
      <c r="S85" s="8">
        <f t="shared" si="59"/>
        <v>124.08333333333333</v>
      </c>
      <c r="T85" s="152"/>
      <c r="U85" s="180"/>
      <c r="V85" s="180"/>
      <c r="W85" s="152"/>
      <c r="X85" s="100">
        <v>3</v>
      </c>
      <c r="Y85" s="7">
        <f t="shared" si="72"/>
        <v>15</v>
      </c>
      <c r="Z85" s="100">
        <v>4</v>
      </c>
      <c r="AA85" s="7">
        <f t="shared" si="73"/>
        <v>20</v>
      </c>
      <c r="AB85" s="2"/>
      <c r="AC85" s="2"/>
      <c r="AD85" s="2"/>
      <c r="AE85" s="2"/>
      <c r="AF85" s="2"/>
      <c r="AG85" s="1"/>
      <c r="AH85" s="1"/>
      <c r="AI85" s="1"/>
      <c r="AJ85" s="1"/>
      <c r="AK85" s="1"/>
      <c r="AL85" s="1"/>
      <c r="AM85" s="1"/>
      <c r="AN85" s="1"/>
      <c r="AO85" s="1"/>
      <c r="AP85" s="1"/>
      <c r="AQ85" s="1"/>
    </row>
    <row r="86" spans="1:43" ht="17.25" thickBot="1" x14ac:dyDescent="0.35">
      <c r="A86" s="147"/>
      <c r="B86" s="97">
        <v>43644</v>
      </c>
      <c r="C86" s="107">
        <v>51</v>
      </c>
      <c r="D86" s="150"/>
      <c r="E86" s="150"/>
      <c r="F86" s="100">
        <v>1211</v>
      </c>
      <c r="G86" s="7">
        <f t="shared" si="69"/>
        <v>6055</v>
      </c>
      <c r="H86" s="100"/>
      <c r="I86" s="7">
        <f t="shared" si="70"/>
        <v>0</v>
      </c>
      <c r="J86" s="100"/>
      <c r="K86" s="7">
        <f t="shared" si="65"/>
        <v>0</v>
      </c>
      <c r="L86" s="100">
        <v>46</v>
      </c>
      <c r="M86" s="7">
        <f t="shared" si="66"/>
        <v>230</v>
      </c>
      <c r="N86" s="100"/>
      <c r="O86" s="7">
        <f t="shared" si="67"/>
        <v>0</v>
      </c>
      <c r="P86" s="100">
        <v>9</v>
      </c>
      <c r="Q86" s="7">
        <f t="shared" si="68"/>
        <v>121.5</v>
      </c>
      <c r="R86" s="8">
        <f t="shared" si="71"/>
        <v>0.36970588235294116</v>
      </c>
      <c r="S86" s="8">
        <f t="shared" si="59"/>
        <v>125.61764705882354</v>
      </c>
      <c r="T86" s="152"/>
      <c r="U86" s="180"/>
      <c r="V86" s="180"/>
      <c r="W86" s="152"/>
      <c r="X86" s="100"/>
      <c r="Y86" s="7">
        <f t="shared" si="72"/>
        <v>0</v>
      </c>
      <c r="Z86" s="100"/>
      <c r="AA86" s="7">
        <f t="shared" si="73"/>
        <v>0</v>
      </c>
      <c r="AB86" s="2"/>
      <c r="AC86" s="2"/>
      <c r="AD86" s="2"/>
      <c r="AE86" s="2"/>
      <c r="AF86" s="2"/>
      <c r="AG86" s="1"/>
      <c r="AH86" s="1"/>
      <c r="AI86" s="1"/>
      <c r="AJ86" s="1"/>
      <c r="AK86" s="1"/>
      <c r="AL86" s="1"/>
      <c r="AM86" s="1"/>
      <c r="AN86" s="1"/>
      <c r="AO86" s="1"/>
      <c r="AP86" s="1"/>
      <c r="AQ86" s="1"/>
    </row>
    <row r="87" spans="1:43" ht="17.25" thickBot="1" x14ac:dyDescent="0.35">
      <c r="A87" s="147"/>
      <c r="B87" s="98">
        <v>43645</v>
      </c>
      <c r="C87" s="108">
        <v>26</v>
      </c>
      <c r="D87" s="151"/>
      <c r="E87" s="151"/>
      <c r="F87" s="101">
        <v>624</v>
      </c>
      <c r="G87" s="7">
        <f t="shared" si="69"/>
        <v>3120</v>
      </c>
      <c r="H87" s="101"/>
      <c r="I87" s="7">
        <f t="shared" si="70"/>
        <v>0</v>
      </c>
      <c r="J87" s="101"/>
      <c r="K87" s="7">
        <f t="shared" si="65"/>
        <v>0</v>
      </c>
      <c r="L87" s="101">
        <v>29</v>
      </c>
      <c r="M87" s="7">
        <f t="shared" si="66"/>
        <v>145</v>
      </c>
      <c r="N87" s="101"/>
      <c r="O87" s="7">
        <f t="shared" si="67"/>
        <v>0</v>
      </c>
      <c r="P87" s="101">
        <v>5</v>
      </c>
      <c r="Q87" s="7">
        <f t="shared" si="68"/>
        <v>67.5</v>
      </c>
      <c r="R87" s="8">
        <f t="shared" si="71"/>
        <v>0.19205882352941175</v>
      </c>
      <c r="S87" s="8">
        <f t="shared" si="59"/>
        <v>128.17307692307693</v>
      </c>
      <c r="T87" s="152"/>
      <c r="U87" s="181"/>
      <c r="V87" s="181"/>
      <c r="W87" s="152"/>
      <c r="X87" s="101"/>
      <c r="Y87" s="7">
        <f t="shared" si="72"/>
        <v>0</v>
      </c>
      <c r="Z87" s="101"/>
      <c r="AA87" s="7">
        <f t="shared" si="73"/>
        <v>0</v>
      </c>
      <c r="AB87" s="2"/>
      <c r="AC87" s="2"/>
      <c r="AD87" s="2"/>
      <c r="AE87" s="2"/>
      <c r="AF87" s="2"/>
      <c r="AG87" s="1"/>
      <c r="AH87" s="1"/>
      <c r="AI87" s="1"/>
      <c r="AJ87" s="1"/>
      <c r="AK87" s="1"/>
      <c r="AL87" s="1"/>
      <c r="AM87" s="1"/>
      <c r="AN87" s="1"/>
      <c r="AO87" s="1"/>
      <c r="AP87" s="1"/>
      <c r="AQ87" s="1"/>
    </row>
    <row r="88" spans="1:43" ht="17.25" thickBot="1" x14ac:dyDescent="0.35">
      <c r="A88" s="146">
        <v>27</v>
      </c>
      <c r="B88" s="105">
        <v>43647</v>
      </c>
      <c r="C88" s="106">
        <v>38.5</v>
      </c>
      <c r="D88" s="149">
        <f t="shared" ref="D88" si="83">SUM(G88:G93,I88:I93,K88:K93)</f>
        <v>25250</v>
      </c>
      <c r="E88" s="149">
        <f t="shared" ref="E88" si="84">SUM(G88:G93,I88:I93,M88:M93,O88:O93,Q88:Q93,K88:K93)</f>
        <v>26906.5</v>
      </c>
      <c r="F88" s="99">
        <v>924</v>
      </c>
      <c r="G88" s="40">
        <f t="shared" si="69"/>
        <v>4620</v>
      </c>
      <c r="H88" s="99"/>
      <c r="I88" s="40">
        <f t="shared" si="70"/>
        <v>0</v>
      </c>
      <c r="J88" s="99"/>
      <c r="K88" s="40">
        <f t="shared" si="65"/>
        <v>0</v>
      </c>
      <c r="L88" s="99">
        <v>40</v>
      </c>
      <c r="M88" s="40">
        <f t="shared" si="66"/>
        <v>200</v>
      </c>
      <c r="N88" s="99"/>
      <c r="O88" s="40">
        <f t="shared" si="67"/>
        <v>0</v>
      </c>
      <c r="P88" s="99">
        <v>7</v>
      </c>
      <c r="Q88" s="40">
        <f t="shared" si="68"/>
        <v>94.5</v>
      </c>
      <c r="R88" s="34">
        <f t="shared" si="71"/>
        <v>0.28352941176470586</v>
      </c>
      <c r="S88" s="34">
        <f t="shared" si="59"/>
        <v>127.64935064935065</v>
      </c>
      <c r="T88" s="152">
        <f>AVERAGE(S88:S93)</f>
        <v>126.2913596193395</v>
      </c>
      <c r="U88" s="179">
        <f t="shared" ref="U88" si="85">(SUM(G88:G93)+SUM(I88:I93))/$F$1</f>
        <v>1.4852941176470589</v>
      </c>
      <c r="V88" s="179">
        <f t="shared" ref="V88" si="86">SUM(R88:R93)</f>
        <v>1.5517647058823529</v>
      </c>
      <c r="W88" s="152">
        <v>1.1658823529411764</v>
      </c>
      <c r="X88" s="99"/>
      <c r="Y88" s="40">
        <f t="shared" si="72"/>
        <v>0</v>
      </c>
      <c r="Z88" s="99"/>
      <c r="AA88" s="40">
        <f t="shared" si="73"/>
        <v>0</v>
      </c>
      <c r="AB88" s="2"/>
      <c r="AC88" s="2"/>
      <c r="AD88" s="2"/>
      <c r="AE88" s="2"/>
      <c r="AF88" s="2"/>
      <c r="AG88" s="1"/>
      <c r="AH88" s="1"/>
      <c r="AI88" s="1"/>
      <c r="AJ88" s="1"/>
      <c r="AK88" s="1"/>
      <c r="AL88" s="1"/>
      <c r="AM88" s="1"/>
      <c r="AN88" s="1"/>
      <c r="AO88" s="1"/>
      <c r="AP88" s="1"/>
      <c r="AQ88" s="1"/>
    </row>
    <row r="89" spans="1:43" ht="17.25" thickBot="1" x14ac:dyDescent="0.35">
      <c r="A89" s="147"/>
      <c r="B89" s="97">
        <v>43648</v>
      </c>
      <c r="C89" s="107">
        <v>33.25</v>
      </c>
      <c r="D89" s="150"/>
      <c r="E89" s="150"/>
      <c r="F89" s="100">
        <v>775</v>
      </c>
      <c r="G89" s="7">
        <f t="shared" si="69"/>
        <v>3875</v>
      </c>
      <c r="H89" s="100"/>
      <c r="I89" s="7">
        <f t="shared" si="70"/>
        <v>0</v>
      </c>
      <c r="J89" s="100"/>
      <c r="K89" s="7">
        <f t="shared" si="65"/>
        <v>0</v>
      </c>
      <c r="L89" s="100">
        <v>43</v>
      </c>
      <c r="M89" s="7">
        <f t="shared" si="66"/>
        <v>215</v>
      </c>
      <c r="N89" s="100"/>
      <c r="O89" s="7">
        <f t="shared" si="67"/>
        <v>0</v>
      </c>
      <c r="P89" s="100">
        <v>7</v>
      </c>
      <c r="Q89" s="7">
        <f t="shared" si="68"/>
        <v>94.5</v>
      </c>
      <c r="R89" s="8">
        <f t="shared" si="71"/>
        <v>0.24058823529411766</v>
      </c>
      <c r="S89" s="8">
        <f t="shared" si="59"/>
        <v>125.84962406015038</v>
      </c>
      <c r="T89" s="152"/>
      <c r="U89" s="180"/>
      <c r="V89" s="180"/>
      <c r="W89" s="152"/>
      <c r="X89" s="100"/>
      <c r="Y89" s="7">
        <f t="shared" si="72"/>
        <v>0</v>
      </c>
      <c r="Z89" s="100"/>
      <c r="AA89" s="7">
        <f t="shared" si="73"/>
        <v>0</v>
      </c>
      <c r="AB89" s="2"/>
      <c r="AC89" s="2"/>
      <c r="AD89" s="2"/>
      <c r="AE89" s="2"/>
      <c r="AF89" s="2"/>
      <c r="AG89" s="1"/>
      <c r="AH89" s="1"/>
      <c r="AI89" s="1"/>
      <c r="AJ89" s="1"/>
      <c r="AK89" s="1"/>
      <c r="AL89" s="1"/>
      <c r="AM89" s="1"/>
      <c r="AN89" s="1"/>
      <c r="AO89" s="1"/>
      <c r="AP89" s="1"/>
      <c r="AQ89" s="1"/>
    </row>
    <row r="90" spans="1:43" ht="17.25" thickBot="1" x14ac:dyDescent="0.35">
      <c r="A90" s="147"/>
      <c r="B90" s="97">
        <v>43649</v>
      </c>
      <c r="C90" s="107">
        <v>47.25</v>
      </c>
      <c r="D90" s="150"/>
      <c r="E90" s="150"/>
      <c r="F90" s="100">
        <v>1130</v>
      </c>
      <c r="G90" s="7">
        <f t="shared" si="69"/>
        <v>5650</v>
      </c>
      <c r="H90" s="100"/>
      <c r="I90" s="7">
        <f t="shared" si="70"/>
        <v>0</v>
      </c>
      <c r="J90" s="100"/>
      <c r="K90" s="7">
        <f t="shared" si="65"/>
        <v>0</v>
      </c>
      <c r="L90" s="100">
        <v>49</v>
      </c>
      <c r="M90" s="7">
        <f t="shared" si="66"/>
        <v>245</v>
      </c>
      <c r="N90" s="100"/>
      <c r="O90" s="7">
        <f t="shared" si="67"/>
        <v>0</v>
      </c>
      <c r="P90" s="100">
        <v>9</v>
      </c>
      <c r="Q90" s="7">
        <f t="shared" si="68"/>
        <v>121.5</v>
      </c>
      <c r="R90" s="8">
        <f t="shared" si="71"/>
        <v>0.34676470588235292</v>
      </c>
      <c r="S90" s="8">
        <f t="shared" si="59"/>
        <v>127.33333333333333</v>
      </c>
      <c r="T90" s="152"/>
      <c r="U90" s="180"/>
      <c r="V90" s="180"/>
      <c r="W90" s="152"/>
      <c r="X90" s="100">
        <v>3</v>
      </c>
      <c r="Y90" s="7">
        <f t="shared" si="72"/>
        <v>15</v>
      </c>
      <c r="Z90" s="100">
        <v>3.5</v>
      </c>
      <c r="AA90" s="7">
        <f t="shared" si="73"/>
        <v>17.5</v>
      </c>
      <c r="AB90" s="2"/>
      <c r="AC90" s="2"/>
      <c r="AD90" s="2"/>
      <c r="AE90" s="2"/>
      <c r="AF90" s="2"/>
      <c r="AG90" s="1"/>
      <c r="AH90" s="1"/>
      <c r="AI90" s="1"/>
      <c r="AJ90" s="1"/>
      <c r="AK90" s="1"/>
      <c r="AL90" s="1"/>
      <c r="AM90" s="1"/>
      <c r="AN90" s="1"/>
      <c r="AO90" s="1"/>
      <c r="AP90" s="1"/>
      <c r="AQ90" s="1"/>
    </row>
    <row r="91" spans="1:43" ht="17.25" thickBot="1" x14ac:dyDescent="0.35">
      <c r="A91" s="147"/>
      <c r="B91" s="97">
        <v>43650</v>
      </c>
      <c r="C91" s="107">
        <v>36</v>
      </c>
      <c r="D91" s="150"/>
      <c r="E91" s="150"/>
      <c r="F91" s="100">
        <v>841</v>
      </c>
      <c r="G91" s="7">
        <f t="shared" si="69"/>
        <v>4205</v>
      </c>
      <c r="H91" s="100"/>
      <c r="I91" s="7">
        <f t="shared" si="70"/>
        <v>0</v>
      </c>
      <c r="J91" s="100"/>
      <c r="K91" s="7">
        <f t="shared" si="65"/>
        <v>0</v>
      </c>
      <c r="L91" s="100">
        <v>39</v>
      </c>
      <c r="M91" s="7">
        <f t="shared" si="66"/>
        <v>195</v>
      </c>
      <c r="N91" s="100"/>
      <c r="O91" s="7">
        <f t="shared" si="67"/>
        <v>0</v>
      </c>
      <c r="P91" s="100">
        <v>8</v>
      </c>
      <c r="Q91" s="7">
        <f t="shared" si="68"/>
        <v>108</v>
      </c>
      <c r="R91" s="8">
        <f t="shared" si="71"/>
        <v>0.25882352941176473</v>
      </c>
      <c r="S91" s="8">
        <f t="shared" si="59"/>
        <v>125.22222222222223</v>
      </c>
      <c r="T91" s="152"/>
      <c r="U91" s="180"/>
      <c r="V91" s="180"/>
      <c r="W91" s="152"/>
      <c r="X91" s="100"/>
      <c r="Y91" s="7">
        <f t="shared" si="72"/>
        <v>0</v>
      </c>
      <c r="Z91" s="100"/>
      <c r="AA91" s="7">
        <f t="shared" si="73"/>
        <v>0</v>
      </c>
      <c r="AB91" s="2"/>
      <c r="AC91" s="2"/>
      <c r="AD91" s="2"/>
      <c r="AE91" s="2"/>
      <c r="AF91" s="2"/>
      <c r="AG91" s="1"/>
      <c r="AH91" s="1"/>
      <c r="AI91" s="1"/>
      <c r="AJ91" s="1"/>
      <c r="AK91" s="1"/>
      <c r="AL91" s="1"/>
      <c r="AM91" s="1"/>
      <c r="AN91" s="1"/>
      <c r="AO91" s="1"/>
      <c r="AP91" s="1"/>
      <c r="AQ91" s="1"/>
    </row>
    <row r="92" spans="1:43" ht="17.25" thickBot="1" x14ac:dyDescent="0.35">
      <c r="A92" s="147"/>
      <c r="B92" s="97">
        <v>43651</v>
      </c>
      <c r="C92" s="107">
        <v>34</v>
      </c>
      <c r="D92" s="150"/>
      <c r="E92" s="150"/>
      <c r="F92" s="100">
        <v>801</v>
      </c>
      <c r="G92" s="7">
        <f t="shared" si="69"/>
        <v>4005</v>
      </c>
      <c r="H92" s="100"/>
      <c r="I92" s="7">
        <f t="shared" si="70"/>
        <v>0</v>
      </c>
      <c r="J92" s="100"/>
      <c r="K92" s="7">
        <f t="shared" si="65"/>
        <v>0</v>
      </c>
      <c r="L92" s="100">
        <v>33</v>
      </c>
      <c r="M92" s="7">
        <f t="shared" si="66"/>
        <v>165</v>
      </c>
      <c r="N92" s="100"/>
      <c r="O92" s="7">
        <f t="shared" si="67"/>
        <v>0</v>
      </c>
      <c r="P92" s="100">
        <v>4</v>
      </c>
      <c r="Q92" s="7">
        <f t="shared" si="68"/>
        <v>54</v>
      </c>
      <c r="R92" s="8">
        <f t="shared" si="71"/>
        <v>0.24529411764705883</v>
      </c>
      <c r="S92" s="8">
        <f t="shared" si="59"/>
        <v>124.23529411764706</v>
      </c>
      <c r="T92" s="152"/>
      <c r="U92" s="180"/>
      <c r="V92" s="180"/>
      <c r="W92" s="152"/>
      <c r="X92" s="100"/>
      <c r="Y92" s="7">
        <f t="shared" si="72"/>
        <v>0</v>
      </c>
      <c r="Z92" s="100"/>
      <c r="AA92" s="7">
        <f t="shared" si="73"/>
        <v>0</v>
      </c>
      <c r="AB92" s="2"/>
      <c r="AC92" s="2"/>
      <c r="AD92" s="2"/>
      <c r="AE92" s="2"/>
      <c r="AF92" s="2"/>
      <c r="AG92" s="1"/>
      <c r="AH92" s="1"/>
      <c r="AI92" s="1"/>
      <c r="AJ92" s="1"/>
      <c r="AK92" s="1"/>
      <c r="AL92" s="1"/>
      <c r="AM92" s="1"/>
      <c r="AN92" s="1"/>
      <c r="AO92" s="1"/>
      <c r="AP92" s="1"/>
      <c r="AQ92" s="1"/>
    </row>
    <row r="93" spans="1:43" ht="17.25" thickBot="1" x14ac:dyDescent="0.35">
      <c r="A93" s="148"/>
      <c r="B93" s="98">
        <v>43652</v>
      </c>
      <c r="C93" s="108">
        <v>24</v>
      </c>
      <c r="D93" s="151"/>
      <c r="E93" s="151"/>
      <c r="F93" s="101">
        <v>579</v>
      </c>
      <c r="G93" s="39">
        <f t="shared" si="69"/>
        <v>2895</v>
      </c>
      <c r="H93" s="101"/>
      <c r="I93" s="39">
        <f t="shared" si="70"/>
        <v>0</v>
      </c>
      <c r="J93" s="101"/>
      <c r="K93" s="39">
        <f t="shared" si="65"/>
        <v>0</v>
      </c>
      <c r="L93" s="101">
        <v>22</v>
      </c>
      <c r="M93" s="39">
        <f t="shared" si="66"/>
        <v>110</v>
      </c>
      <c r="N93" s="101"/>
      <c r="O93" s="39">
        <f t="shared" si="67"/>
        <v>0</v>
      </c>
      <c r="P93" s="101">
        <v>4</v>
      </c>
      <c r="Q93" s="39">
        <f t="shared" si="68"/>
        <v>54</v>
      </c>
      <c r="R93" s="36">
        <f t="shared" si="71"/>
        <v>0.17676470588235293</v>
      </c>
      <c r="S93" s="36">
        <f t="shared" si="59"/>
        <v>127.45833333333333</v>
      </c>
      <c r="T93" s="152"/>
      <c r="U93" s="181"/>
      <c r="V93" s="181"/>
      <c r="W93" s="152"/>
      <c r="X93" s="101"/>
      <c r="Y93" s="39">
        <f t="shared" si="72"/>
        <v>0</v>
      </c>
      <c r="Z93" s="101"/>
      <c r="AA93" s="39">
        <f t="shared" si="73"/>
        <v>0</v>
      </c>
      <c r="AB93" s="2"/>
      <c r="AC93" s="2"/>
      <c r="AD93" s="2"/>
      <c r="AE93" s="2"/>
      <c r="AF93" s="2"/>
      <c r="AG93" s="1"/>
      <c r="AH93" s="1"/>
      <c r="AI93" s="1"/>
      <c r="AJ93" s="1"/>
      <c r="AK93" s="1"/>
      <c r="AL93" s="1"/>
      <c r="AM93" s="1"/>
      <c r="AN93" s="1"/>
      <c r="AO93" s="1"/>
      <c r="AP93" s="1"/>
      <c r="AQ93" s="1"/>
    </row>
    <row r="94" spans="1:43" ht="17.25" thickBot="1" x14ac:dyDescent="0.35">
      <c r="A94" s="147">
        <v>28</v>
      </c>
      <c r="B94" s="105">
        <v>43654</v>
      </c>
      <c r="C94" s="106">
        <v>45</v>
      </c>
      <c r="D94" s="149">
        <f t="shared" ref="D94" si="87">SUM(G94:G99,I94:I99,K94:K99)</f>
        <v>34150</v>
      </c>
      <c r="E94" s="149">
        <f t="shared" ref="E94" si="88">SUM(G94:G99,I94:I99,M94:M99,O94:O99,Q94:Q99,K94:K99)</f>
        <v>36685.5</v>
      </c>
      <c r="F94" s="99">
        <v>1124</v>
      </c>
      <c r="G94" s="7">
        <f t="shared" si="69"/>
        <v>5620</v>
      </c>
      <c r="H94" s="99"/>
      <c r="I94" s="7">
        <f t="shared" si="70"/>
        <v>0</v>
      </c>
      <c r="J94" s="99"/>
      <c r="K94" s="7">
        <f t="shared" si="65"/>
        <v>0</v>
      </c>
      <c r="L94" s="99">
        <v>40</v>
      </c>
      <c r="M94" s="7">
        <f t="shared" si="66"/>
        <v>200</v>
      </c>
      <c r="N94" s="99"/>
      <c r="O94" s="7">
        <f t="shared" si="67"/>
        <v>0</v>
      </c>
      <c r="P94" s="99">
        <v>7</v>
      </c>
      <c r="Q94" s="7">
        <f t="shared" si="68"/>
        <v>94.5</v>
      </c>
      <c r="R94" s="8">
        <f t="shared" si="71"/>
        <v>0.34235294117647058</v>
      </c>
      <c r="S94" s="8">
        <f t="shared" si="59"/>
        <v>131.43333333333334</v>
      </c>
      <c r="T94" s="152">
        <f t="shared" ref="T94" si="89">AVERAGE(S94:S99)</f>
        <v>131.62271028037384</v>
      </c>
      <c r="U94" s="179">
        <f t="shared" ref="U94" si="90">(SUM(G94:G99)+SUM(I94:I99))/$F$1</f>
        <v>2.0088235294117647</v>
      </c>
      <c r="V94" s="179">
        <f t="shared" ref="V94" si="91">SUM(R94:R99)</f>
        <v>2.092058823529412</v>
      </c>
      <c r="W94" s="152">
        <v>1.9552941176470586</v>
      </c>
      <c r="X94" s="99"/>
      <c r="Y94" s="7">
        <f t="shared" si="72"/>
        <v>0</v>
      </c>
      <c r="Z94" s="99"/>
      <c r="AA94" s="7">
        <f t="shared" si="73"/>
        <v>0</v>
      </c>
      <c r="AB94" s="2"/>
      <c r="AC94" s="2"/>
      <c r="AD94" s="2"/>
      <c r="AE94" s="2"/>
      <c r="AF94" s="2"/>
      <c r="AG94" s="1"/>
      <c r="AH94" s="1"/>
      <c r="AI94" s="1"/>
      <c r="AJ94" s="1"/>
      <c r="AK94" s="1"/>
      <c r="AL94" s="1"/>
      <c r="AM94" s="1"/>
      <c r="AN94" s="1"/>
      <c r="AO94" s="1"/>
      <c r="AP94" s="1"/>
      <c r="AQ94" s="1"/>
    </row>
    <row r="95" spans="1:43" ht="17.25" thickBot="1" x14ac:dyDescent="0.35">
      <c r="A95" s="147"/>
      <c r="B95" s="97">
        <v>43655</v>
      </c>
      <c r="C95" s="107">
        <v>60</v>
      </c>
      <c r="D95" s="150"/>
      <c r="E95" s="150"/>
      <c r="F95" s="100">
        <v>1499</v>
      </c>
      <c r="G95" s="7">
        <f t="shared" si="69"/>
        <v>7495</v>
      </c>
      <c r="H95" s="100"/>
      <c r="I95" s="7">
        <f t="shared" si="70"/>
        <v>0</v>
      </c>
      <c r="J95" s="100"/>
      <c r="K95" s="7">
        <f t="shared" si="65"/>
        <v>0</v>
      </c>
      <c r="L95" s="100">
        <v>53</v>
      </c>
      <c r="M95" s="7">
        <f t="shared" si="66"/>
        <v>265</v>
      </c>
      <c r="N95" s="100"/>
      <c r="O95" s="7">
        <f t="shared" si="67"/>
        <v>0</v>
      </c>
      <c r="P95" s="100">
        <v>16</v>
      </c>
      <c r="Q95" s="7">
        <f t="shared" si="68"/>
        <v>216</v>
      </c>
      <c r="R95" s="8">
        <f t="shared" si="71"/>
        <v>0.45647058823529413</v>
      </c>
      <c r="S95" s="8">
        <f t="shared" si="59"/>
        <v>132.93333333333334</v>
      </c>
      <c r="T95" s="152"/>
      <c r="U95" s="180"/>
      <c r="V95" s="180"/>
      <c r="W95" s="152"/>
      <c r="X95" s="100"/>
      <c r="Y95" s="7">
        <f t="shared" si="72"/>
        <v>0</v>
      </c>
      <c r="Z95" s="100"/>
      <c r="AA95" s="7">
        <f t="shared" si="73"/>
        <v>0</v>
      </c>
      <c r="AB95" s="2"/>
      <c r="AC95" s="2"/>
      <c r="AD95" s="2"/>
      <c r="AE95" s="2"/>
      <c r="AF95" s="2"/>
      <c r="AG95" s="1"/>
      <c r="AH95" s="1"/>
      <c r="AI95" s="1"/>
      <c r="AJ95" s="1"/>
      <c r="AK95" s="1"/>
      <c r="AL95" s="1"/>
      <c r="AM95" s="1"/>
      <c r="AN95" s="1"/>
      <c r="AO95" s="1"/>
      <c r="AP95" s="1"/>
      <c r="AQ95" s="1"/>
    </row>
    <row r="96" spans="1:43" ht="17.25" thickBot="1" x14ac:dyDescent="0.35">
      <c r="A96" s="147"/>
      <c r="B96" s="97">
        <v>43656</v>
      </c>
      <c r="C96" s="107">
        <v>60</v>
      </c>
      <c r="D96" s="150"/>
      <c r="E96" s="150"/>
      <c r="F96" s="100">
        <v>1479</v>
      </c>
      <c r="G96" s="7">
        <f t="shared" si="69"/>
        <v>7395</v>
      </c>
      <c r="H96" s="100"/>
      <c r="I96" s="7">
        <f t="shared" si="70"/>
        <v>0</v>
      </c>
      <c r="J96" s="100"/>
      <c r="K96" s="7">
        <f t="shared" si="65"/>
        <v>0</v>
      </c>
      <c r="L96" s="100">
        <v>58</v>
      </c>
      <c r="M96" s="7">
        <f t="shared" si="66"/>
        <v>290</v>
      </c>
      <c r="N96" s="100"/>
      <c r="O96" s="7">
        <f t="shared" si="67"/>
        <v>0</v>
      </c>
      <c r="P96" s="100">
        <v>13</v>
      </c>
      <c r="Q96" s="7">
        <f t="shared" si="68"/>
        <v>175.5</v>
      </c>
      <c r="R96" s="8">
        <f t="shared" si="71"/>
        <v>0.45205882352941179</v>
      </c>
      <c r="S96" s="8">
        <f t="shared" si="59"/>
        <v>131.00833333333333</v>
      </c>
      <c r="T96" s="152"/>
      <c r="U96" s="180"/>
      <c r="V96" s="180"/>
      <c r="W96" s="152"/>
      <c r="X96" s="100">
        <v>3</v>
      </c>
      <c r="Y96" s="7">
        <f t="shared" si="72"/>
        <v>15</v>
      </c>
      <c r="Z96" s="100">
        <v>3</v>
      </c>
      <c r="AA96" s="7">
        <f t="shared" si="73"/>
        <v>15</v>
      </c>
      <c r="AB96" s="2"/>
      <c r="AC96" s="2"/>
      <c r="AD96" s="2"/>
      <c r="AE96" s="2"/>
      <c r="AF96" s="2"/>
      <c r="AG96" s="1"/>
      <c r="AH96" s="1"/>
      <c r="AI96" s="1"/>
      <c r="AJ96" s="1"/>
      <c r="AK96" s="1"/>
      <c r="AL96" s="1"/>
      <c r="AM96" s="1"/>
      <c r="AN96" s="1"/>
      <c r="AO96" s="1"/>
      <c r="AP96" s="1"/>
      <c r="AQ96" s="1"/>
    </row>
    <row r="97" spans="1:43" ht="17.25" thickBot="1" x14ac:dyDescent="0.35">
      <c r="A97" s="147"/>
      <c r="B97" s="97">
        <v>43657</v>
      </c>
      <c r="C97" s="107">
        <v>60</v>
      </c>
      <c r="D97" s="150"/>
      <c r="E97" s="150"/>
      <c r="F97" s="100">
        <v>1502</v>
      </c>
      <c r="G97" s="7">
        <f t="shared" si="69"/>
        <v>7510</v>
      </c>
      <c r="H97" s="100"/>
      <c r="I97" s="7">
        <f t="shared" si="70"/>
        <v>0</v>
      </c>
      <c r="J97" s="100"/>
      <c r="K97" s="7">
        <f t="shared" si="65"/>
        <v>0</v>
      </c>
      <c r="L97" s="100">
        <v>73</v>
      </c>
      <c r="M97" s="7">
        <f t="shared" si="66"/>
        <v>365</v>
      </c>
      <c r="N97" s="100"/>
      <c r="O97" s="7">
        <f t="shared" si="67"/>
        <v>0</v>
      </c>
      <c r="P97" s="100">
        <v>17</v>
      </c>
      <c r="Q97" s="7">
        <f t="shared" si="68"/>
        <v>229.5</v>
      </c>
      <c r="R97" s="8">
        <f t="shared" si="71"/>
        <v>0.46323529411764708</v>
      </c>
      <c r="S97" s="8">
        <f t="shared" si="59"/>
        <v>135.07499999999999</v>
      </c>
      <c r="T97" s="152"/>
      <c r="U97" s="180"/>
      <c r="V97" s="180"/>
      <c r="W97" s="152"/>
      <c r="X97" s="100"/>
      <c r="Y97" s="7">
        <f t="shared" si="72"/>
        <v>0</v>
      </c>
      <c r="Z97" s="100"/>
      <c r="AA97" s="7">
        <f t="shared" si="73"/>
        <v>0</v>
      </c>
      <c r="AB97" s="2"/>
      <c r="AC97" s="2"/>
      <c r="AD97" s="2"/>
      <c r="AE97" s="2"/>
      <c r="AF97" s="2"/>
      <c r="AG97" s="1"/>
      <c r="AH97" s="1"/>
      <c r="AI97" s="1"/>
      <c r="AJ97" s="1"/>
      <c r="AK97" s="1"/>
      <c r="AL97" s="1"/>
      <c r="AM97" s="1"/>
      <c r="AN97" s="1"/>
      <c r="AO97" s="1"/>
      <c r="AP97" s="1"/>
      <c r="AQ97" s="1"/>
    </row>
    <row r="98" spans="1:43" ht="17.25" thickBot="1" x14ac:dyDescent="0.35">
      <c r="A98" s="147"/>
      <c r="B98" s="97">
        <v>43658</v>
      </c>
      <c r="C98" s="107">
        <v>53.5</v>
      </c>
      <c r="D98" s="150"/>
      <c r="E98" s="150"/>
      <c r="F98" s="100">
        <v>1226</v>
      </c>
      <c r="G98" s="7">
        <f t="shared" si="69"/>
        <v>6130</v>
      </c>
      <c r="H98" s="100"/>
      <c r="I98" s="7">
        <f t="shared" si="70"/>
        <v>0</v>
      </c>
      <c r="J98" s="100"/>
      <c r="K98" s="7">
        <f t="shared" si="65"/>
        <v>0</v>
      </c>
      <c r="L98" s="100">
        <v>59</v>
      </c>
      <c r="M98" s="7">
        <f t="shared" si="66"/>
        <v>295</v>
      </c>
      <c r="N98" s="100"/>
      <c r="O98" s="7">
        <f t="shared" si="67"/>
        <v>0</v>
      </c>
      <c r="P98" s="100">
        <v>30</v>
      </c>
      <c r="Q98" s="7">
        <f t="shared" si="68"/>
        <v>405</v>
      </c>
      <c r="R98" s="8">
        <f t="shared" si="71"/>
        <v>0.37794117647058822</v>
      </c>
      <c r="S98" s="8">
        <f t="shared" si="59"/>
        <v>127.66355140186916</v>
      </c>
      <c r="T98" s="152"/>
      <c r="U98" s="180"/>
      <c r="V98" s="180"/>
      <c r="W98" s="152"/>
      <c r="X98" s="100"/>
      <c r="Y98" s="7">
        <f t="shared" si="72"/>
        <v>0</v>
      </c>
      <c r="Z98" s="100"/>
      <c r="AA98" s="7">
        <f t="shared" si="73"/>
        <v>0</v>
      </c>
      <c r="AB98" s="2"/>
      <c r="AC98" s="2"/>
      <c r="AD98" s="2"/>
      <c r="AE98" s="2"/>
      <c r="AF98" s="2"/>
      <c r="AG98" s="1"/>
      <c r="AH98" s="1"/>
      <c r="AI98" s="1"/>
      <c r="AJ98" s="1"/>
      <c r="AK98" s="1"/>
      <c r="AL98" s="1"/>
      <c r="AM98" s="1"/>
      <c r="AN98" s="1"/>
      <c r="AO98" s="1"/>
      <c r="AP98" s="1"/>
      <c r="AQ98" s="1"/>
    </row>
    <row r="99" spans="1:43" ht="17.25" thickBot="1" x14ac:dyDescent="0.35">
      <c r="A99" s="147"/>
      <c r="B99" s="97"/>
      <c r="C99" s="108"/>
      <c r="D99" s="151"/>
      <c r="E99" s="151"/>
      <c r="F99" s="101"/>
      <c r="G99" s="7">
        <f t="shared" si="69"/>
        <v>0</v>
      </c>
      <c r="H99" s="101"/>
      <c r="I99" s="7">
        <f t="shared" si="70"/>
        <v>0</v>
      </c>
      <c r="J99" s="101"/>
      <c r="K99" s="7">
        <f t="shared" si="65"/>
        <v>0</v>
      </c>
      <c r="L99" s="101"/>
      <c r="M99" s="7">
        <f t="shared" si="66"/>
        <v>0</v>
      </c>
      <c r="N99" s="101"/>
      <c r="O99" s="7">
        <f t="shared" si="67"/>
        <v>0</v>
      </c>
      <c r="P99" s="101"/>
      <c r="Q99" s="7">
        <f t="shared" si="68"/>
        <v>0</v>
      </c>
      <c r="R99" s="8">
        <f t="shared" si="71"/>
        <v>0</v>
      </c>
      <c r="S99" s="8" t="str">
        <f t="shared" si="59"/>
        <v/>
      </c>
      <c r="T99" s="152"/>
      <c r="U99" s="181"/>
      <c r="V99" s="181"/>
      <c r="W99" s="152"/>
      <c r="X99" s="101"/>
      <c r="Y99" s="7">
        <f t="shared" si="72"/>
        <v>0</v>
      </c>
      <c r="Z99" s="101"/>
      <c r="AA99" s="7">
        <f t="shared" si="73"/>
        <v>0</v>
      </c>
      <c r="AB99" s="2"/>
      <c r="AC99" s="2"/>
      <c r="AD99" s="2"/>
      <c r="AE99" s="2"/>
      <c r="AF99" s="2"/>
      <c r="AG99" s="1"/>
      <c r="AH99" s="1"/>
      <c r="AI99" s="1"/>
      <c r="AJ99" s="1"/>
      <c r="AK99" s="1"/>
      <c r="AL99" s="1"/>
      <c r="AM99" s="1"/>
      <c r="AN99" s="1"/>
      <c r="AO99" s="1"/>
      <c r="AP99" s="1"/>
      <c r="AQ99" s="1"/>
    </row>
    <row r="100" spans="1:43" ht="17.25" thickBot="1" x14ac:dyDescent="0.35">
      <c r="A100" s="146">
        <v>29</v>
      </c>
      <c r="B100" s="105">
        <v>43661</v>
      </c>
      <c r="C100" s="106">
        <v>54</v>
      </c>
      <c r="D100" s="149">
        <f t="shared" ref="D100" si="92">SUM(G100:G105,I100:I105,K100:K105)</f>
        <v>23100</v>
      </c>
      <c r="E100" s="149">
        <f t="shared" ref="E100" si="93">SUM(G100:G105,I100:I105,M100:M105,O100:O105,Q100:Q105,K100:K105)</f>
        <v>25539.5</v>
      </c>
      <c r="F100" s="99">
        <v>1307</v>
      </c>
      <c r="G100" s="40">
        <f t="shared" si="69"/>
        <v>6535</v>
      </c>
      <c r="H100" s="99"/>
      <c r="I100" s="40">
        <f t="shared" si="70"/>
        <v>0</v>
      </c>
      <c r="J100" s="99"/>
      <c r="K100" s="40">
        <f t="shared" si="65"/>
        <v>0</v>
      </c>
      <c r="L100" s="99">
        <v>64</v>
      </c>
      <c r="M100" s="40">
        <f t="shared" si="66"/>
        <v>320</v>
      </c>
      <c r="N100" s="99"/>
      <c r="O100" s="40">
        <f t="shared" si="67"/>
        <v>0</v>
      </c>
      <c r="P100" s="99">
        <v>20</v>
      </c>
      <c r="Q100" s="40">
        <f t="shared" si="68"/>
        <v>270</v>
      </c>
      <c r="R100" s="34">
        <f t="shared" si="71"/>
        <v>0.40323529411764708</v>
      </c>
      <c r="S100" s="34">
        <f t="shared" si="59"/>
        <v>131.94444444444446</v>
      </c>
      <c r="T100" s="152">
        <f>AVERAGE(S100:S105)</f>
        <v>133.26388888888889</v>
      </c>
      <c r="U100" s="179">
        <f t="shared" ref="U100" si="94">(SUM(G100:G105)+SUM(I100:I105))/$F$1</f>
        <v>1.3588235294117648</v>
      </c>
      <c r="V100" s="179">
        <f t="shared" ref="V100" si="95">SUM(R100:R105)</f>
        <v>1.4252941176470588</v>
      </c>
      <c r="W100" s="152">
        <v>1.5649999999999999</v>
      </c>
      <c r="X100" s="99"/>
      <c r="Y100" s="40">
        <f t="shared" si="72"/>
        <v>0</v>
      </c>
      <c r="Z100" s="99"/>
      <c r="AA100" s="40">
        <f t="shared" si="73"/>
        <v>0</v>
      </c>
      <c r="AB100" s="2"/>
      <c r="AC100" s="2"/>
      <c r="AD100" s="2"/>
      <c r="AE100" s="2"/>
      <c r="AF100" s="2"/>
      <c r="AG100" s="1"/>
      <c r="AH100" s="1"/>
      <c r="AI100" s="1"/>
      <c r="AJ100" s="1"/>
      <c r="AK100" s="1"/>
      <c r="AL100" s="1"/>
      <c r="AM100" s="1"/>
      <c r="AN100" s="1"/>
      <c r="AO100" s="1"/>
      <c r="AP100" s="1"/>
      <c r="AQ100" s="1"/>
    </row>
    <row r="101" spans="1:43" ht="17.25" thickBot="1" x14ac:dyDescent="0.35">
      <c r="A101" s="147"/>
      <c r="B101" s="97">
        <v>43662</v>
      </c>
      <c r="C101" s="107">
        <v>46</v>
      </c>
      <c r="D101" s="150"/>
      <c r="E101" s="150"/>
      <c r="F101" s="100">
        <v>1098</v>
      </c>
      <c r="G101" s="7">
        <f t="shared" si="69"/>
        <v>5490</v>
      </c>
      <c r="H101" s="100"/>
      <c r="I101" s="7">
        <f t="shared" si="70"/>
        <v>0</v>
      </c>
      <c r="J101" s="100"/>
      <c r="K101" s="7">
        <f t="shared" si="65"/>
        <v>0</v>
      </c>
      <c r="L101" s="100">
        <v>47</v>
      </c>
      <c r="M101" s="7">
        <f t="shared" si="66"/>
        <v>235</v>
      </c>
      <c r="N101" s="100"/>
      <c r="O101" s="7">
        <f t="shared" si="67"/>
        <v>0</v>
      </c>
      <c r="P101" s="100">
        <v>24</v>
      </c>
      <c r="Q101" s="7">
        <f t="shared" si="68"/>
        <v>324</v>
      </c>
      <c r="R101" s="8">
        <f t="shared" si="71"/>
        <v>0.33676470588235297</v>
      </c>
      <c r="S101" s="8">
        <f t="shared" si="59"/>
        <v>131.5</v>
      </c>
      <c r="T101" s="152"/>
      <c r="U101" s="180"/>
      <c r="V101" s="180"/>
      <c r="W101" s="152"/>
      <c r="X101" s="100"/>
      <c r="Y101" s="7">
        <f t="shared" si="72"/>
        <v>0</v>
      </c>
      <c r="Z101" s="100"/>
      <c r="AA101" s="7">
        <f t="shared" si="73"/>
        <v>0</v>
      </c>
      <c r="AB101" s="2"/>
      <c r="AC101" s="2"/>
      <c r="AD101" s="2"/>
      <c r="AE101" s="2"/>
      <c r="AF101" s="2"/>
      <c r="AG101" s="1"/>
      <c r="AH101" s="1"/>
      <c r="AI101" s="1"/>
      <c r="AJ101" s="1"/>
      <c r="AK101" s="1"/>
      <c r="AL101" s="1"/>
      <c r="AM101" s="1"/>
      <c r="AN101" s="1"/>
      <c r="AO101" s="1"/>
      <c r="AP101" s="1"/>
      <c r="AQ101" s="1"/>
    </row>
    <row r="102" spans="1:43" ht="17.25" thickBot="1" x14ac:dyDescent="0.35">
      <c r="A102" s="147"/>
      <c r="B102" s="97">
        <v>43663</v>
      </c>
      <c r="C102" s="107">
        <v>28</v>
      </c>
      <c r="D102" s="150"/>
      <c r="E102" s="150"/>
      <c r="F102" s="100">
        <v>674</v>
      </c>
      <c r="G102" s="7">
        <f t="shared" si="69"/>
        <v>3370</v>
      </c>
      <c r="H102" s="100"/>
      <c r="I102" s="7">
        <f t="shared" si="70"/>
        <v>0</v>
      </c>
      <c r="J102" s="100"/>
      <c r="K102" s="7">
        <f t="shared" si="65"/>
        <v>0</v>
      </c>
      <c r="L102" s="100">
        <v>30</v>
      </c>
      <c r="M102" s="7">
        <f t="shared" si="66"/>
        <v>150</v>
      </c>
      <c r="N102" s="100"/>
      <c r="O102" s="7">
        <f t="shared" si="67"/>
        <v>0</v>
      </c>
      <c r="P102" s="100">
        <v>13</v>
      </c>
      <c r="Q102" s="7">
        <f t="shared" si="68"/>
        <v>175.5</v>
      </c>
      <c r="R102" s="8">
        <f t="shared" si="71"/>
        <v>0.20705882352941177</v>
      </c>
      <c r="S102" s="8">
        <f t="shared" si="59"/>
        <v>131.98214285714286</v>
      </c>
      <c r="T102" s="152"/>
      <c r="U102" s="180"/>
      <c r="V102" s="180"/>
      <c r="W102" s="152"/>
      <c r="X102" s="100"/>
      <c r="Y102" s="7">
        <f t="shared" si="72"/>
        <v>0</v>
      </c>
      <c r="Z102" s="100"/>
      <c r="AA102" s="7">
        <f t="shared" si="73"/>
        <v>0</v>
      </c>
      <c r="AB102" s="2"/>
      <c r="AC102" s="2"/>
      <c r="AD102" s="2"/>
      <c r="AE102" s="2"/>
      <c r="AF102" s="2"/>
      <c r="AG102" s="1"/>
      <c r="AH102" s="1"/>
      <c r="AI102" s="1"/>
      <c r="AJ102" s="1"/>
      <c r="AK102" s="1"/>
      <c r="AL102" s="1"/>
      <c r="AM102" s="1"/>
      <c r="AN102" s="1"/>
      <c r="AO102" s="1"/>
      <c r="AP102" s="1"/>
      <c r="AQ102" s="1"/>
    </row>
    <row r="103" spans="1:43" ht="17.25" thickBot="1" x14ac:dyDescent="0.35">
      <c r="A103" s="147"/>
      <c r="B103" s="97">
        <v>43664</v>
      </c>
      <c r="C103" s="107">
        <v>36</v>
      </c>
      <c r="D103" s="150"/>
      <c r="E103" s="150"/>
      <c r="F103" s="100">
        <v>863</v>
      </c>
      <c r="G103" s="7">
        <f t="shared" si="69"/>
        <v>4315</v>
      </c>
      <c r="H103" s="100"/>
      <c r="I103" s="7">
        <f t="shared" si="70"/>
        <v>0</v>
      </c>
      <c r="J103" s="100"/>
      <c r="K103" s="7">
        <f t="shared" si="65"/>
        <v>0</v>
      </c>
      <c r="L103" s="100">
        <v>46</v>
      </c>
      <c r="M103" s="7">
        <f t="shared" si="66"/>
        <v>230</v>
      </c>
      <c r="N103" s="100"/>
      <c r="O103" s="7">
        <f t="shared" si="67"/>
        <v>0</v>
      </c>
      <c r="P103" s="100">
        <v>25</v>
      </c>
      <c r="Q103" s="7">
        <f t="shared" si="68"/>
        <v>337.5</v>
      </c>
      <c r="R103" s="8">
        <f t="shared" si="71"/>
        <v>0.26735294117647057</v>
      </c>
      <c r="S103" s="8">
        <f t="shared" si="59"/>
        <v>135.625</v>
      </c>
      <c r="T103" s="152"/>
      <c r="U103" s="180"/>
      <c r="V103" s="180"/>
      <c r="W103" s="152"/>
      <c r="X103" s="100">
        <v>3</v>
      </c>
      <c r="Y103" s="7">
        <f t="shared" si="72"/>
        <v>15</v>
      </c>
      <c r="Z103" s="100">
        <v>2</v>
      </c>
      <c r="AA103" s="7">
        <f t="shared" si="73"/>
        <v>10</v>
      </c>
      <c r="AB103" s="2"/>
      <c r="AC103" s="2"/>
      <c r="AD103" s="2"/>
      <c r="AE103" s="2"/>
      <c r="AF103" s="2"/>
      <c r="AG103" s="1"/>
      <c r="AH103" s="1"/>
      <c r="AI103" s="1"/>
      <c r="AJ103" s="1"/>
      <c r="AK103" s="1"/>
      <c r="AL103" s="1"/>
      <c r="AM103" s="1"/>
      <c r="AN103" s="1"/>
      <c r="AO103" s="1"/>
      <c r="AP103" s="1"/>
      <c r="AQ103" s="1"/>
    </row>
    <row r="104" spans="1:43" ht="17.25" thickBot="1" x14ac:dyDescent="0.35">
      <c r="A104" s="147"/>
      <c r="B104" s="97">
        <v>43665</v>
      </c>
      <c r="C104" s="107">
        <v>28</v>
      </c>
      <c r="D104" s="150"/>
      <c r="E104" s="150"/>
      <c r="F104" s="100">
        <v>678</v>
      </c>
      <c r="G104" s="7">
        <f t="shared" si="69"/>
        <v>3390</v>
      </c>
      <c r="H104" s="100"/>
      <c r="I104" s="7">
        <f t="shared" si="70"/>
        <v>0</v>
      </c>
      <c r="J104" s="100"/>
      <c r="K104" s="7">
        <f t="shared" si="65"/>
        <v>0</v>
      </c>
      <c r="L104" s="100">
        <v>39</v>
      </c>
      <c r="M104" s="7">
        <f t="shared" si="66"/>
        <v>195</v>
      </c>
      <c r="N104" s="100"/>
      <c r="O104" s="7">
        <f t="shared" si="67"/>
        <v>0</v>
      </c>
      <c r="P104" s="100">
        <v>15</v>
      </c>
      <c r="Q104" s="7">
        <f t="shared" si="68"/>
        <v>202.5</v>
      </c>
      <c r="R104" s="8">
        <f t="shared" si="71"/>
        <v>0.21088235294117647</v>
      </c>
      <c r="S104" s="8">
        <f t="shared" si="59"/>
        <v>135.26785714285714</v>
      </c>
      <c r="T104" s="152"/>
      <c r="U104" s="180"/>
      <c r="V104" s="180"/>
      <c r="W104" s="152"/>
      <c r="X104" s="100"/>
      <c r="Y104" s="7">
        <f t="shared" si="72"/>
        <v>0</v>
      </c>
      <c r="Z104" s="100"/>
      <c r="AA104" s="7">
        <f t="shared" si="73"/>
        <v>0</v>
      </c>
      <c r="AB104" s="2"/>
      <c r="AC104" s="2"/>
      <c r="AD104" s="2"/>
      <c r="AE104" s="2"/>
      <c r="AF104" s="2"/>
      <c r="AG104" s="1"/>
      <c r="AH104" s="1"/>
      <c r="AI104" s="1"/>
      <c r="AJ104" s="1"/>
      <c r="AK104" s="1"/>
      <c r="AL104" s="1"/>
      <c r="AM104" s="1"/>
      <c r="AN104" s="1"/>
      <c r="AO104" s="1"/>
      <c r="AP104" s="1"/>
      <c r="AQ104" s="1"/>
    </row>
    <row r="105" spans="1:43" ht="17.25" thickBot="1" x14ac:dyDescent="0.35">
      <c r="A105" s="148"/>
      <c r="B105" s="98"/>
      <c r="C105" s="108"/>
      <c r="D105" s="151"/>
      <c r="E105" s="151"/>
      <c r="F105" s="101"/>
      <c r="G105" s="39">
        <f t="shared" si="69"/>
        <v>0</v>
      </c>
      <c r="H105" s="101"/>
      <c r="I105" s="39">
        <f t="shared" si="70"/>
        <v>0</v>
      </c>
      <c r="J105" s="101"/>
      <c r="K105" s="39">
        <f t="shared" si="65"/>
        <v>0</v>
      </c>
      <c r="L105" s="101"/>
      <c r="M105" s="39">
        <f t="shared" si="66"/>
        <v>0</v>
      </c>
      <c r="N105" s="101"/>
      <c r="O105" s="39">
        <f t="shared" si="67"/>
        <v>0</v>
      </c>
      <c r="P105" s="101"/>
      <c r="Q105" s="39">
        <f t="shared" si="68"/>
        <v>0</v>
      </c>
      <c r="R105" s="36">
        <f t="shared" si="71"/>
        <v>0</v>
      </c>
      <c r="S105" s="36" t="str">
        <f t="shared" si="59"/>
        <v/>
      </c>
      <c r="T105" s="152"/>
      <c r="U105" s="181"/>
      <c r="V105" s="181"/>
      <c r="W105" s="152"/>
      <c r="X105" s="101"/>
      <c r="Y105" s="39">
        <f t="shared" si="72"/>
        <v>0</v>
      </c>
      <c r="Z105" s="101"/>
      <c r="AA105" s="39">
        <f t="shared" si="73"/>
        <v>0</v>
      </c>
      <c r="AB105" s="2"/>
      <c r="AC105" s="2"/>
      <c r="AD105" s="2"/>
      <c r="AE105" s="2"/>
      <c r="AF105" s="2"/>
      <c r="AG105" s="1"/>
      <c r="AH105" s="1"/>
      <c r="AI105" s="1"/>
      <c r="AJ105" s="1"/>
      <c r="AK105" s="1"/>
      <c r="AL105" s="1"/>
      <c r="AM105" s="1"/>
      <c r="AN105" s="1"/>
      <c r="AO105" s="1"/>
      <c r="AP105" s="1"/>
      <c r="AQ105" s="1"/>
    </row>
    <row r="106" spans="1:43" ht="17.25" thickBot="1" x14ac:dyDescent="0.35">
      <c r="A106" s="147">
        <v>30</v>
      </c>
      <c r="B106" s="105">
        <v>43668</v>
      </c>
      <c r="C106" s="106">
        <v>37.25</v>
      </c>
      <c r="D106" s="149">
        <f t="shared" ref="D106" si="96">SUM(G106:G111,I106:I111,K106:K111)</f>
        <v>19220</v>
      </c>
      <c r="E106" s="149">
        <f t="shared" ref="E106" si="97">SUM(G106:G111,I106:I111,M106:M111,O106:O111,Q106:Q111,K106:K111)</f>
        <v>20978</v>
      </c>
      <c r="F106" s="99">
        <f>100*7+75+13+87</f>
        <v>875</v>
      </c>
      <c r="G106" s="7">
        <f t="shared" si="69"/>
        <v>4375</v>
      </c>
      <c r="H106" s="99"/>
      <c r="I106" s="7">
        <f t="shared" si="70"/>
        <v>0</v>
      </c>
      <c r="J106" s="99"/>
      <c r="K106" s="7">
        <f t="shared" si="65"/>
        <v>0</v>
      </c>
      <c r="L106" s="99">
        <v>37</v>
      </c>
      <c r="M106" s="7">
        <f t="shared" si="66"/>
        <v>185</v>
      </c>
      <c r="N106" s="99"/>
      <c r="O106" s="7">
        <f t="shared" si="67"/>
        <v>0</v>
      </c>
      <c r="P106" s="99">
        <v>18</v>
      </c>
      <c r="Q106" s="7">
        <f t="shared" si="68"/>
        <v>243</v>
      </c>
      <c r="R106" s="8">
        <f t="shared" si="71"/>
        <v>0.26823529411764707</v>
      </c>
      <c r="S106" s="8">
        <f t="shared" si="59"/>
        <v>128.93959731543623</v>
      </c>
      <c r="T106" s="152">
        <f t="shared" ref="T106" si="98">AVERAGE(S106:S111)</f>
        <v>123.75145375512265</v>
      </c>
      <c r="U106" s="179">
        <f t="shared" ref="U106" si="99">(SUM(G106:G111)+SUM(I106:I111))/$F$1</f>
        <v>1.1305882352941177</v>
      </c>
      <c r="V106" s="179">
        <f t="shared" ref="V106" si="100">SUM(R106:R111)</f>
        <v>1.1800000000000002</v>
      </c>
      <c r="W106" s="152">
        <v>1.5885294117647057</v>
      </c>
      <c r="X106" s="99"/>
      <c r="Y106" s="7">
        <f t="shared" si="72"/>
        <v>0</v>
      </c>
      <c r="Z106" s="99"/>
      <c r="AA106" s="7">
        <f t="shared" si="73"/>
        <v>0</v>
      </c>
      <c r="AB106" s="2"/>
      <c r="AC106" s="2"/>
      <c r="AD106" s="2"/>
      <c r="AE106" s="2"/>
      <c r="AF106" s="2"/>
      <c r="AG106" s="1"/>
      <c r="AH106" s="1"/>
      <c r="AI106" s="1"/>
      <c r="AJ106" s="1"/>
      <c r="AK106" s="1"/>
      <c r="AL106" s="1"/>
      <c r="AM106" s="1"/>
      <c r="AN106" s="1"/>
      <c r="AO106" s="1"/>
      <c r="AP106" s="1"/>
      <c r="AQ106" s="1"/>
    </row>
    <row r="107" spans="1:43" ht="17.25" thickBot="1" x14ac:dyDescent="0.35">
      <c r="A107" s="147"/>
      <c r="B107" s="105">
        <v>43669</v>
      </c>
      <c r="C107" s="107">
        <v>32</v>
      </c>
      <c r="D107" s="150"/>
      <c r="E107" s="150"/>
      <c r="F107" s="100">
        <v>741</v>
      </c>
      <c r="G107" s="7">
        <f t="shared" si="69"/>
        <v>3705</v>
      </c>
      <c r="H107" s="100"/>
      <c r="I107" s="7">
        <f t="shared" si="70"/>
        <v>0</v>
      </c>
      <c r="J107" s="100"/>
      <c r="K107" s="7">
        <f t="shared" si="65"/>
        <v>0</v>
      </c>
      <c r="L107" s="100">
        <v>33</v>
      </c>
      <c r="M107" s="7">
        <f t="shared" si="66"/>
        <v>165</v>
      </c>
      <c r="N107" s="100"/>
      <c r="O107" s="7">
        <f t="shared" si="67"/>
        <v>0</v>
      </c>
      <c r="P107" s="100">
        <v>12</v>
      </c>
      <c r="Q107" s="7">
        <f t="shared" si="68"/>
        <v>162</v>
      </c>
      <c r="R107" s="8">
        <f t="shared" si="71"/>
        <v>0.22764705882352942</v>
      </c>
      <c r="S107" s="8">
        <f t="shared" si="59"/>
        <v>126</v>
      </c>
      <c r="T107" s="152"/>
      <c r="U107" s="180"/>
      <c r="V107" s="180"/>
      <c r="W107" s="152"/>
      <c r="X107" s="100"/>
      <c r="Y107" s="7">
        <f t="shared" si="72"/>
        <v>0</v>
      </c>
      <c r="Z107" s="100"/>
      <c r="AA107" s="7">
        <f t="shared" si="73"/>
        <v>0</v>
      </c>
      <c r="AB107" s="2"/>
      <c r="AC107" s="2"/>
      <c r="AD107" s="2"/>
      <c r="AE107" s="2"/>
      <c r="AF107" s="2"/>
      <c r="AG107" s="1"/>
      <c r="AH107" s="1"/>
      <c r="AI107" s="1"/>
      <c r="AJ107" s="1"/>
      <c r="AK107" s="1"/>
      <c r="AL107" s="1"/>
      <c r="AM107" s="1"/>
      <c r="AN107" s="1"/>
      <c r="AO107" s="1"/>
      <c r="AP107" s="1"/>
      <c r="AQ107" s="1"/>
    </row>
    <row r="108" spans="1:43" ht="17.25" thickBot="1" x14ac:dyDescent="0.35">
      <c r="A108" s="147"/>
      <c r="B108" s="105">
        <v>43670</v>
      </c>
      <c r="C108" s="107">
        <v>32</v>
      </c>
      <c r="D108" s="150"/>
      <c r="E108" s="150"/>
      <c r="F108" s="100">
        <v>731</v>
      </c>
      <c r="G108" s="7">
        <f t="shared" si="69"/>
        <v>3655</v>
      </c>
      <c r="H108" s="100"/>
      <c r="I108" s="7">
        <f t="shared" si="70"/>
        <v>0</v>
      </c>
      <c r="J108" s="100"/>
      <c r="K108" s="7">
        <f t="shared" si="65"/>
        <v>0</v>
      </c>
      <c r="L108" s="100">
        <v>33</v>
      </c>
      <c r="M108" s="7">
        <f t="shared" si="66"/>
        <v>165</v>
      </c>
      <c r="N108" s="100"/>
      <c r="O108" s="7">
        <f t="shared" si="67"/>
        <v>0</v>
      </c>
      <c r="P108" s="100">
        <v>13</v>
      </c>
      <c r="Q108" s="7">
        <f t="shared" si="68"/>
        <v>175.5</v>
      </c>
      <c r="R108" s="8">
        <f t="shared" si="71"/>
        <v>0.22470588235294117</v>
      </c>
      <c r="S108" s="8">
        <f t="shared" si="59"/>
        <v>124.859375</v>
      </c>
      <c r="T108" s="152"/>
      <c r="U108" s="180"/>
      <c r="V108" s="180"/>
      <c r="W108" s="152"/>
      <c r="X108" s="100">
        <v>3</v>
      </c>
      <c r="Y108" s="7">
        <f t="shared" si="72"/>
        <v>15</v>
      </c>
      <c r="Z108" s="100">
        <v>3</v>
      </c>
      <c r="AA108" s="7">
        <f t="shared" si="73"/>
        <v>15</v>
      </c>
      <c r="AB108" s="2"/>
      <c r="AC108" s="2"/>
      <c r="AD108" s="2"/>
      <c r="AE108" s="2"/>
      <c r="AF108" s="2"/>
      <c r="AG108" s="1"/>
      <c r="AH108" s="1"/>
      <c r="AI108" s="1"/>
      <c r="AJ108" s="1"/>
      <c r="AK108" s="1"/>
      <c r="AL108" s="1"/>
      <c r="AM108" s="1"/>
      <c r="AN108" s="1"/>
      <c r="AO108" s="1"/>
      <c r="AP108" s="1"/>
      <c r="AQ108" s="1"/>
    </row>
    <row r="109" spans="1:43" ht="17.25" thickBot="1" x14ac:dyDescent="0.35">
      <c r="A109" s="147"/>
      <c r="B109" s="105">
        <v>43671</v>
      </c>
      <c r="C109" s="107">
        <v>28.25</v>
      </c>
      <c r="D109" s="150"/>
      <c r="E109" s="150"/>
      <c r="F109" s="100">
        <v>617</v>
      </c>
      <c r="G109" s="7">
        <f t="shared" si="69"/>
        <v>3085</v>
      </c>
      <c r="H109" s="100"/>
      <c r="I109" s="7">
        <f t="shared" si="70"/>
        <v>0</v>
      </c>
      <c r="J109" s="100"/>
      <c r="K109" s="7">
        <f t="shared" si="65"/>
        <v>0</v>
      </c>
      <c r="L109" s="100">
        <v>29</v>
      </c>
      <c r="M109" s="7">
        <f t="shared" si="66"/>
        <v>145</v>
      </c>
      <c r="N109" s="100"/>
      <c r="O109" s="7">
        <f t="shared" si="67"/>
        <v>0</v>
      </c>
      <c r="P109" s="100">
        <v>12</v>
      </c>
      <c r="Q109" s="7">
        <f t="shared" si="68"/>
        <v>162</v>
      </c>
      <c r="R109" s="8">
        <f t="shared" si="71"/>
        <v>0.19</v>
      </c>
      <c r="S109" s="8">
        <f t="shared" si="59"/>
        <v>120.07079646017699</v>
      </c>
      <c r="T109" s="152"/>
      <c r="U109" s="180"/>
      <c r="V109" s="180"/>
      <c r="W109" s="152"/>
      <c r="X109" s="100"/>
      <c r="Y109" s="7">
        <f t="shared" si="72"/>
        <v>0</v>
      </c>
      <c r="Z109" s="100"/>
      <c r="AA109" s="7">
        <f t="shared" si="73"/>
        <v>0</v>
      </c>
      <c r="AB109" s="2"/>
      <c r="AC109" s="2"/>
      <c r="AD109" s="2"/>
      <c r="AE109" s="2"/>
      <c r="AF109" s="2"/>
      <c r="AG109" s="1"/>
      <c r="AH109" s="1"/>
      <c r="AI109" s="1"/>
      <c r="AJ109" s="1"/>
      <c r="AK109" s="1"/>
      <c r="AL109" s="1"/>
      <c r="AM109" s="1"/>
      <c r="AN109" s="1"/>
      <c r="AO109" s="1"/>
      <c r="AP109" s="1"/>
      <c r="AQ109" s="1"/>
    </row>
    <row r="110" spans="1:43" ht="17.25" thickBot="1" x14ac:dyDescent="0.35">
      <c r="A110" s="147"/>
      <c r="B110" s="105">
        <v>43672</v>
      </c>
      <c r="C110" s="107">
        <f>8*5</f>
        <v>40</v>
      </c>
      <c r="D110" s="150"/>
      <c r="E110" s="150"/>
      <c r="F110" s="100">
        <f>83+100*7+97</f>
        <v>880</v>
      </c>
      <c r="G110" s="7">
        <f t="shared" si="69"/>
        <v>4400</v>
      </c>
      <c r="H110" s="100"/>
      <c r="I110" s="7">
        <f t="shared" si="70"/>
        <v>0</v>
      </c>
      <c r="J110" s="100"/>
      <c r="K110" s="7">
        <f t="shared" si="65"/>
        <v>0</v>
      </c>
      <c r="L110" s="100">
        <v>36</v>
      </c>
      <c r="M110" s="7">
        <f t="shared" si="66"/>
        <v>180</v>
      </c>
      <c r="N110" s="100"/>
      <c r="O110" s="7">
        <f t="shared" si="67"/>
        <v>0</v>
      </c>
      <c r="P110" s="100">
        <v>13</v>
      </c>
      <c r="Q110" s="7">
        <f t="shared" si="68"/>
        <v>175.5</v>
      </c>
      <c r="R110" s="8">
        <f t="shared" si="71"/>
        <v>0.26941176470588235</v>
      </c>
      <c r="S110" s="8">
        <f t="shared" si="59"/>
        <v>118.8875</v>
      </c>
      <c r="T110" s="152"/>
      <c r="U110" s="180"/>
      <c r="V110" s="180"/>
      <c r="W110" s="152"/>
      <c r="X110" s="100"/>
      <c r="Y110" s="7">
        <f t="shared" si="72"/>
        <v>0</v>
      </c>
      <c r="Z110" s="100"/>
      <c r="AA110" s="7">
        <f t="shared" si="73"/>
        <v>0</v>
      </c>
      <c r="AB110" s="2"/>
      <c r="AC110" s="2"/>
      <c r="AD110" s="2"/>
      <c r="AE110" s="2"/>
      <c r="AF110" s="2"/>
      <c r="AG110" s="1"/>
      <c r="AH110" s="1"/>
      <c r="AI110" s="1"/>
      <c r="AJ110" s="1"/>
      <c r="AK110" s="1"/>
      <c r="AL110" s="1"/>
      <c r="AM110" s="1"/>
      <c r="AN110" s="1"/>
      <c r="AO110" s="1"/>
      <c r="AP110" s="1"/>
      <c r="AQ110" s="1"/>
    </row>
    <row r="111" spans="1:43" ht="17.25" thickBot="1" x14ac:dyDescent="0.35">
      <c r="A111" s="147"/>
      <c r="B111" s="105"/>
      <c r="C111" s="108"/>
      <c r="D111" s="151"/>
      <c r="E111" s="151"/>
      <c r="F111" s="101"/>
      <c r="G111" s="7">
        <f t="shared" si="69"/>
        <v>0</v>
      </c>
      <c r="H111" s="101"/>
      <c r="I111" s="7">
        <f t="shared" si="70"/>
        <v>0</v>
      </c>
      <c r="J111" s="101"/>
      <c r="K111" s="7">
        <f t="shared" si="65"/>
        <v>0</v>
      </c>
      <c r="L111" s="101"/>
      <c r="M111" s="7">
        <f t="shared" si="66"/>
        <v>0</v>
      </c>
      <c r="N111" s="101"/>
      <c r="O111" s="7">
        <f t="shared" si="67"/>
        <v>0</v>
      </c>
      <c r="P111" s="101"/>
      <c r="Q111" s="7">
        <f t="shared" si="68"/>
        <v>0</v>
      </c>
      <c r="R111" s="8">
        <f t="shared" si="71"/>
        <v>0</v>
      </c>
      <c r="S111" s="8" t="str">
        <f t="shared" si="59"/>
        <v/>
      </c>
      <c r="T111" s="152"/>
      <c r="U111" s="181"/>
      <c r="V111" s="181"/>
      <c r="W111" s="152"/>
      <c r="X111" s="101"/>
      <c r="Y111" s="7">
        <f t="shared" si="72"/>
        <v>0</v>
      </c>
      <c r="Z111" s="101"/>
      <c r="AA111" s="7">
        <f t="shared" si="73"/>
        <v>0</v>
      </c>
      <c r="AB111" s="2"/>
      <c r="AC111" s="2"/>
      <c r="AD111" s="2"/>
      <c r="AE111" s="2"/>
      <c r="AF111" s="2"/>
      <c r="AG111" s="1"/>
      <c r="AH111" s="1"/>
      <c r="AI111" s="1"/>
      <c r="AJ111" s="1"/>
      <c r="AK111" s="1"/>
      <c r="AL111" s="1"/>
      <c r="AM111" s="1"/>
      <c r="AN111" s="1"/>
      <c r="AO111" s="1"/>
      <c r="AP111" s="1"/>
      <c r="AQ111" s="1"/>
    </row>
    <row r="112" spans="1:43" ht="17.25" thickBot="1" x14ac:dyDescent="0.35">
      <c r="A112" s="146">
        <v>31</v>
      </c>
      <c r="B112" s="105">
        <v>43675</v>
      </c>
      <c r="C112" s="106">
        <v>44.25</v>
      </c>
      <c r="D112" s="149">
        <f t="shared" ref="D112" si="101">SUM(G112:G117,I112:I117,K112:K117)</f>
        <v>28035</v>
      </c>
      <c r="E112" s="149">
        <f t="shared" ref="E112" si="102">SUM(G112:G117,I112:I117,M112:M117,O112:O117,Q112:Q117,K112:K117)</f>
        <v>30334</v>
      </c>
      <c r="F112" s="99">
        <v>1066</v>
      </c>
      <c r="G112" s="40">
        <f t="shared" si="69"/>
        <v>5330</v>
      </c>
      <c r="H112" s="99"/>
      <c r="I112" s="40">
        <f t="shared" si="70"/>
        <v>0</v>
      </c>
      <c r="J112" s="99"/>
      <c r="K112" s="40">
        <f t="shared" si="65"/>
        <v>0</v>
      </c>
      <c r="L112" s="99">
        <v>42</v>
      </c>
      <c r="M112" s="40">
        <f t="shared" si="66"/>
        <v>210</v>
      </c>
      <c r="N112" s="99"/>
      <c r="O112" s="40">
        <f t="shared" si="67"/>
        <v>0</v>
      </c>
      <c r="P112" s="99">
        <v>13</v>
      </c>
      <c r="Q112" s="40">
        <f t="shared" si="68"/>
        <v>175.5</v>
      </c>
      <c r="R112" s="34">
        <f t="shared" si="71"/>
        <v>0.32588235294117646</v>
      </c>
      <c r="S112" s="34">
        <f t="shared" si="59"/>
        <v>129.16384180790959</v>
      </c>
      <c r="T112" s="152">
        <f t="shared" ref="T112" si="103">AVERAGE(S112:S117)</f>
        <v>131.22332822376967</v>
      </c>
      <c r="U112" s="179">
        <f t="shared" ref="U112" si="104">(SUM(G112:G117)+SUM(I112:I117))/$F$1</f>
        <v>1.6491176470588236</v>
      </c>
      <c r="V112" s="179">
        <f t="shared" ref="V112" si="105">SUM(R112:R117)</f>
        <v>1.7255882352941176</v>
      </c>
      <c r="W112" s="152">
        <v>1.5920588235294117</v>
      </c>
      <c r="X112" s="99"/>
      <c r="Y112" s="40">
        <f t="shared" si="72"/>
        <v>0</v>
      </c>
      <c r="Z112" s="99"/>
      <c r="AA112" s="40">
        <f t="shared" si="73"/>
        <v>0</v>
      </c>
      <c r="AB112" s="2"/>
      <c r="AC112" s="2"/>
      <c r="AD112" s="2"/>
      <c r="AE112" s="2"/>
      <c r="AF112" s="2"/>
      <c r="AG112" s="1"/>
      <c r="AH112" s="1"/>
      <c r="AI112" s="1"/>
      <c r="AJ112" s="1"/>
      <c r="AK112" s="1"/>
      <c r="AL112" s="1"/>
      <c r="AM112" s="1"/>
      <c r="AN112" s="1"/>
      <c r="AO112" s="1"/>
      <c r="AP112" s="1"/>
      <c r="AQ112" s="1"/>
    </row>
    <row r="113" spans="1:43" ht="17.25" thickBot="1" x14ac:dyDescent="0.35">
      <c r="A113" s="147"/>
      <c r="B113" s="97">
        <v>43676</v>
      </c>
      <c r="C113" s="107">
        <v>45</v>
      </c>
      <c r="D113" s="150"/>
      <c r="E113" s="150"/>
      <c r="F113" s="100">
        <v>1086</v>
      </c>
      <c r="G113" s="7">
        <f t="shared" si="69"/>
        <v>5430</v>
      </c>
      <c r="H113" s="100"/>
      <c r="I113" s="7">
        <f t="shared" si="70"/>
        <v>0</v>
      </c>
      <c r="J113" s="100"/>
      <c r="K113" s="7">
        <f t="shared" si="65"/>
        <v>0</v>
      </c>
      <c r="L113" s="100">
        <v>45</v>
      </c>
      <c r="M113" s="7">
        <f t="shared" si="66"/>
        <v>225</v>
      </c>
      <c r="N113" s="100"/>
      <c r="O113" s="7">
        <f t="shared" si="67"/>
        <v>0</v>
      </c>
      <c r="P113" s="100">
        <v>13</v>
      </c>
      <c r="Q113" s="7">
        <f t="shared" si="68"/>
        <v>175.5</v>
      </c>
      <c r="R113" s="8">
        <f t="shared" si="71"/>
        <v>0.33264705882352941</v>
      </c>
      <c r="S113" s="8">
        <f t="shared" si="59"/>
        <v>129.56666666666666</v>
      </c>
      <c r="T113" s="152"/>
      <c r="U113" s="180"/>
      <c r="V113" s="180"/>
      <c r="W113" s="152"/>
      <c r="X113" s="100"/>
      <c r="Y113" s="7">
        <f t="shared" si="72"/>
        <v>0</v>
      </c>
      <c r="Z113" s="100"/>
      <c r="AA113" s="7">
        <f t="shared" si="73"/>
        <v>0</v>
      </c>
      <c r="AB113" s="2"/>
      <c r="AC113" s="2"/>
      <c r="AD113" s="2"/>
      <c r="AE113" s="2"/>
      <c r="AF113" s="2"/>
      <c r="AG113" s="1"/>
      <c r="AH113" s="1"/>
      <c r="AI113" s="1"/>
      <c r="AJ113" s="1"/>
      <c r="AK113" s="1"/>
      <c r="AL113" s="1"/>
      <c r="AM113" s="1"/>
      <c r="AN113" s="1"/>
      <c r="AO113" s="1"/>
      <c r="AP113" s="1"/>
      <c r="AQ113" s="1"/>
    </row>
    <row r="114" spans="1:43" ht="17.25" thickBot="1" x14ac:dyDescent="0.35">
      <c r="A114" s="147"/>
      <c r="B114" s="97">
        <v>43677</v>
      </c>
      <c r="C114" s="107">
        <v>45</v>
      </c>
      <c r="D114" s="150"/>
      <c r="E114" s="150"/>
      <c r="F114" s="100">
        <v>1084</v>
      </c>
      <c r="G114" s="7">
        <f t="shared" si="69"/>
        <v>5420</v>
      </c>
      <c r="H114" s="100"/>
      <c r="I114" s="7">
        <f t="shared" si="70"/>
        <v>0</v>
      </c>
      <c r="J114" s="100"/>
      <c r="K114" s="7">
        <f t="shared" si="65"/>
        <v>0</v>
      </c>
      <c r="L114" s="100">
        <v>52</v>
      </c>
      <c r="M114" s="7">
        <f t="shared" si="66"/>
        <v>260</v>
      </c>
      <c r="N114" s="100"/>
      <c r="O114" s="7">
        <f t="shared" si="67"/>
        <v>0</v>
      </c>
      <c r="P114" s="100">
        <v>16</v>
      </c>
      <c r="Q114" s="7">
        <f t="shared" si="68"/>
        <v>216</v>
      </c>
      <c r="R114" s="8">
        <f t="shared" si="71"/>
        <v>0.33411764705882352</v>
      </c>
      <c r="S114" s="8">
        <f t="shared" si="59"/>
        <v>131.02222222222221</v>
      </c>
      <c r="T114" s="152"/>
      <c r="U114" s="180"/>
      <c r="V114" s="180"/>
      <c r="W114" s="152"/>
      <c r="X114" s="100"/>
      <c r="Y114" s="7">
        <f t="shared" si="72"/>
        <v>0</v>
      </c>
      <c r="Z114" s="100"/>
      <c r="AA114" s="7">
        <f t="shared" si="73"/>
        <v>0</v>
      </c>
      <c r="AB114" s="2"/>
      <c r="AC114" s="2"/>
      <c r="AD114" s="2"/>
      <c r="AE114" s="2"/>
      <c r="AF114" s="2"/>
      <c r="AG114" s="1"/>
      <c r="AH114" s="1"/>
      <c r="AI114" s="1"/>
      <c r="AJ114" s="1"/>
      <c r="AK114" s="1"/>
      <c r="AL114" s="1"/>
      <c r="AM114" s="1"/>
      <c r="AN114" s="1"/>
      <c r="AO114" s="1"/>
      <c r="AP114" s="1"/>
      <c r="AQ114" s="1"/>
    </row>
    <row r="115" spans="1:43" ht="17.25" thickBot="1" x14ac:dyDescent="0.35">
      <c r="A115" s="147"/>
      <c r="B115" s="97">
        <v>43678</v>
      </c>
      <c r="C115" s="107">
        <f>9*6</f>
        <v>54</v>
      </c>
      <c r="D115" s="150"/>
      <c r="E115" s="150"/>
      <c r="F115" s="100">
        <f>100*13</f>
        <v>1300</v>
      </c>
      <c r="G115" s="7">
        <f t="shared" si="69"/>
        <v>6500</v>
      </c>
      <c r="H115" s="100"/>
      <c r="I115" s="7">
        <f t="shared" si="70"/>
        <v>0</v>
      </c>
      <c r="J115" s="100"/>
      <c r="K115" s="7">
        <f t="shared" si="65"/>
        <v>0</v>
      </c>
      <c r="L115" s="100">
        <f>43+26</f>
        <v>69</v>
      </c>
      <c r="M115" s="7">
        <f t="shared" si="66"/>
        <v>345</v>
      </c>
      <c r="N115" s="100"/>
      <c r="O115" s="7">
        <f t="shared" si="67"/>
        <v>0</v>
      </c>
      <c r="P115" s="100">
        <f>9+7</f>
        <v>16</v>
      </c>
      <c r="Q115" s="7">
        <f t="shared" si="68"/>
        <v>216</v>
      </c>
      <c r="R115" s="8">
        <f t="shared" si="71"/>
        <v>0.40264705882352941</v>
      </c>
      <c r="S115" s="8">
        <f t="shared" si="59"/>
        <v>130.75925925925927</v>
      </c>
      <c r="T115" s="152"/>
      <c r="U115" s="180"/>
      <c r="V115" s="180"/>
      <c r="W115" s="152"/>
      <c r="X115" s="100">
        <v>4</v>
      </c>
      <c r="Y115" s="7">
        <f t="shared" si="72"/>
        <v>20</v>
      </c>
      <c r="Z115" s="100">
        <v>3</v>
      </c>
      <c r="AA115" s="7">
        <f t="shared" si="73"/>
        <v>15</v>
      </c>
      <c r="AB115" s="2"/>
      <c r="AC115" s="2"/>
      <c r="AD115" s="2"/>
      <c r="AE115" s="2"/>
      <c r="AF115" s="2"/>
      <c r="AG115" s="1"/>
      <c r="AH115" s="1"/>
      <c r="AI115" s="1"/>
      <c r="AJ115" s="1"/>
      <c r="AK115" s="1"/>
      <c r="AL115" s="1"/>
      <c r="AM115" s="1"/>
      <c r="AN115" s="1"/>
      <c r="AO115" s="1"/>
      <c r="AP115" s="1"/>
      <c r="AQ115" s="1"/>
    </row>
    <row r="116" spans="1:43" ht="17.25" thickBot="1" x14ac:dyDescent="0.35">
      <c r="A116" s="147"/>
      <c r="B116" s="97">
        <v>43679</v>
      </c>
      <c r="C116" s="107">
        <f>9*3+10+6</f>
        <v>43</v>
      </c>
      <c r="D116" s="150"/>
      <c r="E116" s="150"/>
      <c r="F116" s="100">
        <f>100*10+71</f>
        <v>1071</v>
      </c>
      <c r="G116" s="7">
        <f t="shared" si="69"/>
        <v>5355</v>
      </c>
      <c r="H116" s="100"/>
      <c r="I116" s="7">
        <f t="shared" si="70"/>
        <v>0</v>
      </c>
      <c r="J116" s="100"/>
      <c r="K116" s="7">
        <f t="shared" si="65"/>
        <v>0</v>
      </c>
      <c r="L116" s="100">
        <f>21+15+16</f>
        <v>52</v>
      </c>
      <c r="M116" s="7">
        <f t="shared" si="66"/>
        <v>260</v>
      </c>
      <c r="N116" s="100"/>
      <c r="O116" s="7">
        <f t="shared" si="67"/>
        <v>0</v>
      </c>
      <c r="P116" s="100">
        <v>16</v>
      </c>
      <c r="Q116" s="7">
        <f t="shared" si="68"/>
        <v>216</v>
      </c>
      <c r="R116" s="8">
        <f t="shared" si="71"/>
        <v>0.33029411764705885</v>
      </c>
      <c r="S116" s="8">
        <f t="shared" si="59"/>
        <v>135.6046511627907</v>
      </c>
      <c r="T116" s="152"/>
      <c r="U116" s="180"/>
      <c r="V116" s="180"/>
      <c r="W116" s="152"/>
      <c r="X116" s="100"/>
      <c r="Y116" s="7">
        <f t="shared" si="72"/>
        <v>0</v>
      </c>
      <c r="Z116" s="100"/>
      <c r="AA116" s="7">
        <f t="shared" si="73"/>
        <v>0</v>
      </c>
      <c r="AB116" s="2"/>
      <c r="AC116" s="2"/>
      <c r="AD116" s="2"/>
      <c r="AE116" s="2"/>
      <c r="AF116" s="2"/>
      <c r="AG116" s="1"/>
      <c r="AH116" s="1"/>
      <c r="AI116" s="1"/>
      <c r="AJ116" s="1"/>
      <c r="AK116" s="1"/>
      <c r="AL116" s="1"/>
      <c r="AM116" s="1"/>
      <c r="AN116" s="1"/>
      <c r="AO116" s="1"/>
      <c r="AP116" s="1"/>
      <c r="AQ116" s="1"/>
    </row>
    <row r="117" spans="1:43" ht="17.25" thickBot="1" x14ac:dyDescent="0.35">
      <c r="A117" s="148"/>
      <c r="B117" s="98"/>
      <c r="C117" s="108"/>
      <c r="D117" s="151"/>
      <c r="E117" s="151"/>
      <c r="F117" s="101"/>
      <c r="G117" s="39">
        <f t="shared" si="69"/>
        <v>0</v>
      </c>
      <c r="H117" s="101"/>
      <c r="I117" s="39">
        <f t="shared" si="70"/>
        <v>0</v>
      </c>
      <c r="J117" s="101"/>
      <c r="K117" s="39">
        <f t="shared" si="65"/>
        <v>0</v>
      </c>
      <c r="L117" s="101"/>
      <c r="M117" s="39">
        <f t="shared" si="66"/>
        <v>0</v>
      </c>
      <c r="N117" s="101"/>
      <c r="O117" s="39">
        <f t="shared" si="67"/>
        <v>0</v>
      </c>
      <c r="P117" s="101"/>
      <c r="Q117" s="39">
        <f t="shared" si="68"/>
        <v>0</v>
      </c>
      <c r="R117" s="36">
        <f t="shared" si="71"/>
        <v>0</v>
      </c>
      <c r="S117" s="36" t="str">
        <f t="shared" si="59"/>
        <v/>
      </c>
      <c r="T117" s="152"/>
      <c r="U117" s="181"/>
      <c r="V117" s="181"/>
      <c r="W117" s="152"/>
      <c r="X117" s="101"/>
      <c r="Y117" s="39">
        <f t="shared" si="72"/>
        <v>0</v>
      </c>
      <c r="Z117" s="101"/>
      <c r="AA117" s="39">
        <f t="shared" si="73"/>
        <v>0</v>
      </c>
      <c r="AB117" s="2"/>
      <c r="AC117" s="2"/>
      <c r="AD117" s="2"/>
      <c r="AE117" s="2"/>
      <c r="AF117" s="2"/>
      <c r="AG117" s="1"/>
      <c r="AH117" s="1"/>
      <c r="AI117" s="1"/>
      <c r="AJ117" s="1"/>
      <c r="AK117" s="1"/>
      <c r="AL117" s="1"/>
      <c r="AM117" s="1"/>
      <c r="AN117" s="1"/>
      <c r="AO117" s="1"/>
      <c r="AP117" s="1"/>
      <c r="AQ117" s="1"/>
    </row>
    <row r="118" spans="1:43" ht="17.25" thickBot="1" x14ac:dyDescent="0.35">
      <c r="A118" s="147">
        <v>32</v>
      </c>
      <c r="B118" s="105">
        <v>43682</v>
      </c>
      <c r="C118" s="106">
        <f>4*9+4</f>
        <v>40</v>
      </c>
      <c r="D118" s="149">
        <f t="shared" ref="D118" si="106">SUM(G118:G123,I118:I123,K118:K123)</f>
        <v>25000</v>
      </c>
      <c r="E118" s="149">
        <f t="shared" ref="E118" si="107">SUM(G118:G123,I118:I123,M118:M123,O118:O123,Q118:Q123,K118:K123)</f>
        <v>27613</v>
      </c>
      <c r="F118" s="99">
        <f>100*9+80</f>
        <v>980</v>
      </c>
      <c r="G118" s="7">
        <f t="shared" si="69"/>
        <v>4900</v>
      </c>
      <c r="H118" s="99"/>
      <c r="I118" s="7">
        <f t="shared" si="70"/>
        <v>0</v>
      </c>
      <c r="J118" s="99"/>
      <c r="K118" s="7">
        <f t="shared" si="65"/>
        <v>0</v>
      </c>
      <c r="L118" s="99">
        <f>22+27</f>
        <v>49</v>
      </c>
      <c r="M118" s="7">
        <f t="shared" si="66"/>
        <v>245</v>
      </c>
      <c r="N118" s="99"/>
      <c r="O118" s="7">
        <f t="shared" si="67"/>
        <v>0</v>
      </c>
      <c r="P118" s="99">
        <v>14</v>
      </c>
      <c r="Q118" s="7">
        <f t="shared" si="68"/>
        <v>189</v>
      </c>
      <c r="R118" s="8">
        <f t="shared" si="71"/>
        <v>0.30264705882352944</v>
      </c>
      <c r="S118" s="8">
        <f t="shared" si="59"/>
        <v>133.35</v>
      </c>
      <c r="T118" s="152">
        <f>AVERAGE(S118:S123)</f>
        <v>133.51449074074074</v>
      </c>
      <c r="U118" s="179">
        <f t="shared" ref="U118" si="108">(SUM(G118:G123)+SUM(I118:I123))/$F$1</f>
        <v>1.4705882352941178</v>
      </c>
      <c r="V118" s="179">
        <f t="shared" ref="V118" si="109">SUM(R118:R123)</f>
        <v>1.5623529411764707</v>
      </c>
      <c r="W118" s="152">
        <v>1.7938235294117648</v>
      </c>
      <c r="X118" s="99"/>
      <c r="Y118" s="7">
        <f t="shared" si="72"/>
        <v>0</v>
      </c>
      <c r="Z118" s="99"/>
      <c r="AA118" s="7">
        <f t="shared" si="73"/>
        <v>0</v>
      </c>
      <c r="AB118" s="2"/>
      <c r="AC118" s="2"/>
      <c r="AD118" s="2"/>
      <c r="AE118" s="2"/>
      <c r="AF118" s="2"/>
      <c r="AG118" s="1"/>
      <c r="AH118" s="1"/>
      <c r="AI118" s="1"/>
      <c r="AJ118" s="1"/>
      <c r="AK118" s="1"/>
      <c r="AL118" s="1"/>
      <c r="AM118" s="1"/>
      <c r="AN118" s="1"/>
      <c r="AO118" s="1"/>
      <c r="AP118" s="1"/>
      <c r="AQ118" s="1"/>
    </row>
    <row r="119" spans="1:43" ht="17.25" thickBot="1" x14ac:dyDescent="0.35">
      <c r="A119" s="147"/>
      <c r="B119" s="97">
        <v>43683</v>
      </c>
      <c r="C119" s="107">
        <f>4*9</f>
        <v>36</v>
      </c>
      <c r="D119" s="150"/>
      <c r="E119" s="150"/>
      <c r="F119" s="100">
        <f>100*8+54+20</f>
        <v>874</v>
      </c>
      <c r="G119" s="7">
        <f t="shared" si="69"/>
        <v>4370</v>
      </c>
      <c r="H119" s="100"/>
      <c r="I119" s="7">
        <f t="shared" si="70"/>
        <v>0</v>
      </c>
      <c r="J119" s="100"/>
      <c r="K119" s="7">
        <f t="shared" si="65"/>
        <v>0</v>
      </c>
      <c r="L119" s="100">
        <v>52</v>
      </c>
      <c r="M119" s="7">
        <f t="shared" si="66"/>
        <v>260</v>
      </c>
      <c r="N119" s="100"/>
      <c r="O119" s="7">
        <f t="shared" si="67"/>
        <v>0</v>
      </c>
      <c r="P119" s="100">
        <f>8+7</f>
        <v>15</v>
      </c>
      <c r="Q119" s="7">
        <f t="shared" si="68"/>
        <v>202.5</v>
      </c>
      <c r="R119" s="8">
        <f t="shared" si="71"/>
        <v>0.27235294117647058</v>
      </c>
      <c r="S119" s="8">
        <f t="shared" si="59"/>
        <v>134.23611111111111</v>
      </c>
      <c r="T119" s="152"/>
      <c r="U119" s="180"/>
      <c r="V119" s="180"/>
      <c r="W119" s="152"/>
      <c r="X119" s="100"/>
      <c r="Y119" s="7">
        <f t="shared" si="72"/>
        <v>0</v>
      </c>
      <c r="Z119" s="100"/>
      <c r="AA119" s="7">
        <f t="shared" si="73"/>
        <v>0</v>
      </c>
      <c r="AB119" s="2"/>
      <c r="AC119" s="2"/>
      <c r="AD119" s="2"/>
      <c r="AE119" s="2"/>
      <c r="AF119" s="2"/>
      <c r="AG119" s="1"/>
      <c r="AH119" s="1"/>
      <c r="AI119" s="1"/>
      <c r="AJ119" s="1"/>
      <c r="AK119" s="1"/>
      <c r="AL119" s="1"/>
      <c r="AM119" s="1"/>
      <c r="AN119" s="1"/>
      <c r="AO119" s="1"/>
      <c r="AP119" s="1"/>
      <c r="AQ119" s="1"/>
    </row>
    <row r="120" spans="1:43" ht="17.25" thickBot="1" x14ac:dyDescent="0.35">
      <c r="A120" s="147"/>
      <c r="B120" s="97">
        <v>43684</v>
      </c>
      <c r="C120" s="107">
        <f>9*6</f>
        <v>54</v>
      </c>
      <c r="D120" s="150"/>
      <c r="E120" s="150"/>
      <c r="F120" s="100">
        <f>100*12+60+46</f>
        <v>1306</v>
      </c>
      <c r="G120" s="7">
        <f t="shared" si="69"/>
        <v>6530</v>
      </c>
      <c r="H120" s="100"/>
      <c r="I120" s="7">
        <f t="shared" si="70"/>
        <v>0</v>
      </c>
      <c r="J120" s="100"/>
      <c r="K120" s="7">
        <f t="shared" si="65"/>
        <v>0</v>
      </c>
      <c r="L120" s="100">
        <f>52+26+18</f>
        <v>96</v>
      </c>
      <c r="M120" s="7">
        <f t="shared" si="66"/>
        <v>480</v>
      </c>
      <c r="N120" s="100"/>
      <c r="O120" s="7">
        <f t="shared" si="67"/>
        <v>0</v>
      </c>
      <c r="P120" s="100">
        <v>17</v>
      </c>
      <c r="Q120" s="7">
        <f t="shared" si="68"/>
        <v>229.5</v>
      </c>
      <c r="R120" s="8">
        <f t="shared" si="71"/>
        <v>0.41235294117647059</v>
      </c>
      <c r="S120" s="8">
        <f t="shared" si="59"/>
        <v>134.06481481481481</v>
      </c>
      <c r="T120" s="152"/>
      <c r="U120" s="180"/>
      <c r="V120" s="180"/>
      <c r="W120" s="152"/>
      <c r="X120" s="100"/>
      <c r="Y120" s="7">
        <f t="shared" si="72"/>
        <v>0</v>
      </c>
      <c r="Z120" s="100"/>
      <c r="AA120" s="7">
        <f t="shared" si="73"/>
        <v>0</v>
      </c>
      <c r="AB120" s="2"/>
      <c r="AC120" s="2"/>
      <c r="AD120" s="2"/>
      <c r="AE120" s="2"/>
      <c r="AF120" s="2"/>
      <c r="AG120" s="1"/>
      <c r="AH120" s="1"/>
      <c r="AI120" s="1"/>
      <c r="AJ120" s="1"/>
      <c r="AK120" s="1"/>
      <c r="AL120" s="1"/>
      <c r="AM120" s="1"/>
      <c r="AN120" s="1"/>
      <c r="AO120" s="1"/>
      <c r="AP120" s="1"/>
      <c r="AQ120" s="1"/>
    </row>
    <row r="121" spans="1:43" ht="17.25" thickBot="1" x14ac:dyDescent="0.35">
      <c r="A121" s="147"/>
      <c r="B121" s="97">
        <v>43685</v>
      </c>
      <c r="C121" s="107">
        <f>5*9</f>
        <v>45</v>
      </c>
      <c r="D121" s="150"/>
      <c r="E121" s="150"/>
      <c r="F121" s="100">
        <f>100*10+32+40</f>
        <v>1072</v>
      </c>
      <c r="G121" s="7">
        <f t="shared" si="69"/>
        <v>5360</v>
      </c>
      <c r="H121" s="100"/>
      <c r="I121" s="7">
        <f t="shared" si="70"/>
        <v>0</v>
      </c>
      <c r="J121" s="100"/>
      <c r="K121" s="7">
        <f t="shared" si="65"/>
        <v>0</v>
      </c>
      <c r="L121" s="100">
        <f>38+22</f>
        <v>60</v>
      </c>
      <c r="M121" s="7">
        <f t="shared" si="66"/>
        <v>300</v>
      </c>
      <c r="N121" s="100"/>
      <c r="O121" s="7">
        <f t="shared" si="67"/>
        <v>0</v>
      </c>
      <c r="P121" s="100">
        <v>16</v>
      </c>
      <c r="Q121" s="7">
        <f t="shared" si="68"/>
        <v>216</v>
      </c>
      <c r="R121" s="8">
        <f t="shared" si="71"/>
        <v>0.33294117647058824</v>
      </c>
      <c r="S121" s="8">
        <f t="shared" si="59"/>
        <v>130.57777777777778</v>
      </c>
      <c r="T121" s="152"/>
      <c r="U121" s="180"/>
      <c r="V121" s="180"/>
      <c r="W121" s="152"/>
      <c r="X121" s="100">
        <v>3</v>
      </c>
      <c r="Y121" s="7">
        <f t="shared" si="72"/>
        <v>15</v>
      </c>
      <c r="Z121" s="100">
        <v>3</v>
      </c>
      <c r="AA121" s="7">
        <f t="shared" si="73"/>
        <v>15</v>
      </c>
      <c r="AB121" s="2"/>
      <c r="AC121" s="2"/>
      <c r="AD121" s="2"/>
      <c r="AE121" s="2"/>
      <c r="AF121" s="2"/>
      <c r="AG121" s="1"/>
      <c r="AH121" s="1"/>
      <c r="AI121" s="1"/>
      <c r="AJ121" s="1"/>
      <c r="AK121" s="1"/>
      <c r="AL121" s="1"/>
      <c r="AM121" s="1"/>
      <c r="AN121" s="1"/>
      <c r="AO121" s="1"/>
      <c r="AP121" s="1"/>
      <c r="AQ121" s="1"/>
    </row>
    <row r="122" spans="1:43" ht="17.25" thickBot="1" x14ac:dyDescent="0.35">
      <c r="A122" s="147"/>
      <c r="B122" s="97">
        <v>43686</v>
      </c>
      <c r="C122" s="107">
        <f>5*5+2.25*2+1.25*2</f>
        <v>32</v>
      </c>
      <c r="D122" s="150"/>
      <c r="E122" s="150"/>
      <c r="F122" s="100">
        <f>100*7+68</f>
        <v>768</v>
      </c>
      <c r="G122" s="7">
        <f t="shared" si="69"/>
        <v>3840</v>
      </c>
      <c r="H122" s="100"/>
      <c r="I122" s="7">
        <f t="shared" si="70"/>
        <v>0</v>
      </c>
      <c r="J122" s="100"/>
      <c r="K122" s="7">
        <f t="shared" si="65"/>
        <v>0</v>
      </c>
      <c r="L122" s="100">
        <f>43+12</f>
        <v>55</v>
      </c>
      <c r="M122" s="7">
        <f t="shared" si="66"/>
        <v>275</v>
      </c>
      <c r="N122" s="100"/>
      <c r="O122" s="7">
        <f t="shared" si="67"/>
        <v>0</v>
      </c>
      <c r="P122" s="100">
        <v>16</v>
      </c>
      <c r="Q122" s="7">
        <f t="shared" si="68"/>
        <v>216</v>
      </c>
      <c r="R122" s="8">
        <f t="shared" si="71"/>
        <v>0.24205882352941177</v>
      </c>
      <c r="S122" s="8">
        <f t="shared" si="59"/>
        <v>135.34375</v>
      </c>
      <c r="T122" s="152"/>
      <c r="U122" s="180"/>
      <c r="V122" s="180"/>
      <c r="W122" s="152"/>
      <c r="X122" s="100"/>
      <c r="Y122" s="7">
        <f t="shared" si="72"/>
        <v>0</v>
      </c>
      <c r="Z122" s="100"/>
      <c r="AA122" s="7">
        <f t="shared" si="73"/>
        <v>0</v>
      </c>
      <c r="AB122" s="2"/>
      <c r="AC122" s="2"/>
      <c r="AD122" s="2"/>
      <c r="AE122" s="2"/>
      <c r="AF122" s="2"/>
      <c r="AG122" s="1"/>
      <c r="AH122" s="1"/>
      <c r="AI122" s="1"/>
      <c r="AJ122" s="1"/>
      <c r="AK122" s="1"/>
      <c r="AL122" s="1"/>
      <c r="AM122" s="1"/>
      <c r="AN122" s="1"/>
      <c r="AO122" s="1"/>
      <c r="AP122" s="1"/>
      <c r="AQ122" s="1"/>
    </row>
    <row r="123" spans="1:43" ht="17.25" thickBot="1" x14ac:dyDescent="0.35">
      <c r="A123" s="147"/>
      <c r="B123" s="97"/>
      <c r="C123" s="108"/>
      <c r="D123" s="151"/>
      <c r="E123" s="151"/>
      <c r="F123" s="101"/>
      <c r="G123" s="7">
        <f t="shared" si="69"/>
        <v>0</v>
      </c>
      <c r="H123" s="101"/>
      <c r="I123" s="7">
        <f t="shared" si="70"/>
        <v>0</v>
      </c>
      <c r="J123" s="101"/>
      <c r="K123" s="7">
        <f t="shared" si="65"/>
        <v>0</v>
      </c>
      <c r="L123" s="101"/>
      <c r="M123" s="7">
        <f t="shared" si="66"/>
        <v>0</v>
      </c>
      <c r="N123" s="101"/>
      <c r="O123" s="7">
        <f t="shared" si="67"/>
        <v>0</v>
      </c>
      <c r="P123" s="101"/>
      <c r="Q123" s="7">
        <f t="shared" si="68"/>
        <v>0</v>
      </c>
      <c r="R123" s="8">
        <f t="shared" si="71"/>
        <v>0</v>
      </c>
      <c r="S123" s="8" t="str">
        <f t="shared" si="59"/>
        <v/>
      </c>
      <c r="T123" s="152"/>
      <c r="U123" s="181"/>
      <c r="V123" s="181"/>
      <c r="W123" s="152"/>
      <c r="X123" s="101"/>
      <c r="Y123" s="7">
        <f t="shared" si="72"/>
        <v>0</v>
      </c>
      <c r="Z123" s="101"/>
      <c r="AA123" s="7">
        <f t="shared" si="73"/>
        <v>0</v>
      </c>
      <c r="AB123" s="2"/>
      <c r="AC123" s="2"/>
      <c r="AD123" s="2"/>
      <c r="AE123" s="2"/>
      <c r="AF123" s="2"/>
      <c r="AG123" s="1"/>
      <c r="AH123" s="1"/>
      <c r="AI123" s="1"/>
      <c r="AJ123" s="1"/>
      <c r="AK123" s="1"/>
      <c r="AL123" s="1"/>
      <c r="AM123" s="1"/>
      <c r="AN123" s="1"/>
      <c r="AO123" s="1"/>
      <c r="AP123" s="1"/>
      <c r="AQ123" s="1"/>
    </row>
    <row r="124" spans="1:43" ht="17.25" thickBot="1" x14ac:dyDescent="0.35">
      <c r="A124" s="146">
        <v>33</v>
      </c>
      <c r="B124" s="105">
        <v>43689</v>
      </c>
      <c r="C124" s="106">
        <f>3*9+4</f>
        <v>31</v>
      </c>
      <c r="D124" s="149">
        <f t="shared" ref="D124" si="110">SUM(G124:G129,I124:I129,K124:K129)</f>
        <v>23075</v>
      </c>
      <c r="E124" s="149">
        <f t="shared" ref="E124" si="111">SUM(G124:G129,I124:I129,M124:M129,O124:O129,Q124:Q129,K124:K129)</f>
        <v>28777.5</v>
      </c>
      <c r="F124" s="99">
        <f>100*7+40</f>
        <v>740</v>
      </c>
      <c r="G124" s="40">
        <f t="shared" si="69"/>
        <v>3700</v>
      </c>
      <c r="H124" s="99"/>
      <c r="I124" s="40">
        <f t="shared" si="70"/>
        <v>0</v>
      </c>
      <c r="J124" s="99"/>
      <c r="K124" s="40">
        <f t="shared" si="65"/>
        <v>0</v>
      </c>
      <c r="L124" s="99">
        <f>27+28</f>
        <v>55</v>
      </c>
      <c r="M124" s="40">
        <f t="shared" si="66"/>
        <v>275</v>
      </c>
      <c r="N124" s="99"/>
      <c r="O124" s="40">
        <f t="shared" si="67"/>
        <v>0</v>
      </c>
      <c r="P124" s="99">
        <v>23</v>
      </c>
      <c r="Q124" s="40">
        <f t="shared" si="68"/>
        <v>310.5</v>
      </c>
      <c r="R124" s="34">
        <f t="shared" si="71"/>
        <v>0.23382352941176471</v>
      </c>
      <c r="S124" s="126">
        <f t="shared" si="59"/>
        <v>138.24193548387098</v>
      </c>
      <c r="T124" s="152">
        <f t="shared" ref="T124" si="112">AVERAGE(S124:S129)</f>
        <v>128.26489010920849</v>
      </c>
      <c r="U124" s="179">
        <f t="shared" ref="U124" si="113">(SUM(G124:G129)+SUM(I124:I129))/$F$1</f>
        <v>1.3573529411764707</v>
      </c>
      <c r="V124" s="179">
        <f t="shared" ref="V124" si="114">SUM(R124:R129)</f>
        <v>1.4982352941176471</v>
      </c>
      <c r="W124" s="152">
        <v>1.2729411764705882</v>
      </c>
      <c r="X124" s="99"/>
      <c r="Y124" s="40">
        <f t="shared" si="72"/>
        <v>0</v>
      </c>
      <c r="Z124" s="99"/>
      <c r="AA124" s="40">
        <f t="shared" si="73"/>
        <v>0</v>
      </c>
      <c r="AB124" s="2"/>
      <c r="AC124" s="2"/>
      <c r="AD124" s="2"/>
      <c r="AE124" s="2"/>
      <c r="AF124" s="2"/>
      <c r="AG124" s="1"/>
      <c r="AH124" s="1"/>
      <c r="AI124" s="1"/>
      <c r="AJ124" s="1"/>
      <c r="AK124" s="1"/>
      <c r="AL124" s="1"/>
      <c r="AM124" s="1"/>
      <c r="AN124" s="1"/>
      <c r="AO124" s="1"/>
      <c r="AP124" s="1"/>
      <c r="AQ124" s="1"/>
    </row>
    <row r="125" spans="1:43" ht="17.25" thickBot="1" x14ac:dyDescent="0.35">
      <c r="A125" s="147"/>
      <c r="B125" s="97">
        <v>43690</v>
      </c>
      <c r="C125" s="107">
        <f>10*6</f>
        <v>60</v>
      </c>
      <c r="D125" s="150"/>
      <c r="E125" s="150"/>
      <c r="F125" s="100">
        <f>100*12+92+75</f>
        <v>1367</v>
      </c>
      <c r="G125" s="7">
        <f t="shared" si="69"/>
        <v>6835</v>
      </c>
      <c r="H125" s="100"/>
      <c r="I125" s="7">
        <f t="shared" si="70"/>
        <v>0</v>
      </c>
      <c r="J125" s="100"/>
      <c r="K125" s="7">
        <f t="shared" si="65"/>
        <v>0</v>
      </c>
      <c r="L125" s="100">
        <f>55+66</f>
        <v>121</v>
      </c>
      <c r="M125" s="7">
        <f t="shared" si="66"/>
        <v>605</v>
      </c>
      <c r="N125" s="100"/>
      <c r="O125" s="7">
        <f t="shared" si="67"/>
        <v>0</v>
      </c>
      <c r="P125" s="100">
        <f>22+30</f>
        <v>52</v>
      </c>
      <c r="Q125" s="7">
        <f t="shared" si="68"/>
        <v>702</v>
      </c>
      <c r="R125" s="8">
        <f t="shared" si="71"/>
        <v>0.43764705882352939</v>
      </c>
      <c r="S125" s="127">
        <f t="shared" si="59"/>
        <v>135.69999999999999</v>
      </c>
      <c r="T125" s="152"/>
      <c r="U125" s="180"/>
      <c r="V125" s="180"/>
      <c r="W125" s="152"/>
      <c r="X125" s="100"/>
      <c r="Y125" s="7">
        <f t="shared" si="72"/>
        <v>0</v>
      </c>
      <c r="Z125" s="100"/>
      <c r="AA125" s="7">
        <f t="shared" si="73"/>
        <v>0</v>
      </c>
      <c r="AB125" s="2"/>
      <c r="AC125" s="2"/>
      <c r="AD125" s="2"/>
      <c r="AE125" s="2"/>
      <c r="AF125" s="2"/>
      <c r="AG125" s="1"/>
      <c r="AH125" s="1"/>
      <c r="AI125" s="1"/>
      <c r="AJ125" s="1"/>
      <c r="AK125" s="1"/>
      <c r="AL125" s="1"/>
      <c r="AM125" s="1"/>
      <c r="AN125" s="1"/>
      <c r="AO125" s="1"/>
      <c r="AP125" s="1"/>
      <c r="AQ125" s="1"/>
    </row>
    <row r="126" spans="1:43" ht="17.25" thickBot="1" x14ac:dyDescent="0.35">
      <c r="A126" s="147"/>
      <c r="B126" s="97">
        <v>43691</v>
      </c>
      <c r="C126" s="107">
        <f>60+2.25+5</f>
        <v>67.25</v>
      </c>
      <c r="D126" s="150"/>
      <c r="E126" s="150"/>
      <c r="F126" s="100">
        <f>100*13+16+8</f>
        <v>1324</v>
      </c>
      <c r="G126" s="7">
        <f t="shared" si="69"/>
        <v>6620</v>
      </c>
      <c r="H126" s="100"/>
      <c r="I126" s="7">
        <f t="shared" si="70"/>
        <v>0</v>
      </c>
      <c r="J126" s="100"/>
      <c r="K126" s="7">
        <f t="shared" si="65"/>
        <v>0</v>
      </c>
      <c r="L126" s="100">
        <f>24+54+46+27</f>
        <v>151</v>
      </c>
      <c r="M126" s="7">
        <f t="shared" si="66"/>
        <v>755</v>
      </c>
      <c r="N126" s="100"/>
      <c r="O126" s="7">
        <f t="shared" si="67"/>
        <v>0</v>
      </c>
      <c r="P126" s="100">
        <f>39+35</f>
        <v>74</v>
      </c>
      <c r="Q126" s="7">
        <f t="shared" si="68"/>
        <v>999</v>
      </c>
      <c r="R126" s="8">
        <f t="shared" si="71"/>
        <v>0.43382352941176472</v>
      </c>
      <c r="S126" s="127">
        <f t="shared" si="59"/>
        <v>124.52044609665427</v>
      </c>
      <c r="T126" s="152"/>
      <c r="U126" s="180"/>
      <c r="V126" s="180"/>
      <c r="W126" s="152"/>
      <c r="X126" s="100">
        <v>2</v>
      </c>
      <c r="Y126" s="7">
        <f t="shared" si="72"/>
        <v>10</v>
      </c>
      <c r="Z126" s="100">
        <v>2</v>
      </c>
      <c r="AA126" s="7">
        <f t="shared" si="73"/>
        <v>10</v>
      </c>
      <c r="AB126" s="2"/>
      <c r="AC126" s="2"/>
      <c r="AD126" s="2"/>
      <c r="AE126" s="2"/>
      <c r="AF126" s="2"/>
      <c r="AG126" s="1"/>
      <c r="AH126" s="1"/>
      <c r="AI126" s="1"/>
      <c r="AJ126" s="1"/>
      <c r="AK126" s="1"/>
      <c r="AL126" s="1"/>
      <c r="AM126" s="1"/>
      <c r="AN126" s="1"/>
      <c r="AO126" s="1"/>
      <c r="AP126" s="1"/>
      <c r="AQ126" s="1"/>
    </row>
    <row r="127" spans="1:43" ht="17.25" thickBot="1" x14ac:dyDescent="0.35">
      <c r="A127" s="147"/>
      <c r="B127" s="97"/>
      <c r="C127" s="107"/>
      <c r="D127" s="150"/>
      <c r="E127" s="150"/>
      <c r="F127" s="100"/>
      <c r="G127" s="7">
        <f t="shared" si="69"/>
        <v>0</v>
      </c>
      <c r="H127" s="100"/>
      <c r="I127" s="7">
        <f t="shared" si="70"/>
        <v>0</v>
      </c>
      <c r="J127" s="100"/>
      <c r="K127" s="7">
        <f t="shared" si="65"/>
        <v>0</v>
      </c>
      <c r="L127" s="100"/>
      <c r="M127" s="7">
        <f t="shared" si="66"/>
        <v>0</v>
      </c>
      <c r="N127" s="100"/>
      <c r="O127" s="7">
        <f t="shared" si="67"/>
        <v>0</v>
      </c>
      <c r="P127" s="100"/>
      <c r="Q127" s="7">
        <f t="shared" si="68"/>
        <v>0</v>
      </c>
      <c r="R127" s="8">
        <f t="shared" si="71"/>
        <v>0</v>
      </c>
      <c r="S127" s="127" t="str">
        <f t="shared" si="59"/>
        <v/>
      </c>
      <c r="T127" s="152"/>
      <c r="U127" s="180"/>
      <c r="V127" s="180"/>
      <c r="W127" s="152"/>
      <c r="X127" s="100"/>
      <c r="Y127" s="7">
        <f t="shared" si="72"/>
        <v>0</v>
      </c>
      <c r="Z127" s="100"/>
      <c r="AA127" s="7">
        <f t="shared" si="73"/>
        <v>0</v>
      </c>
      <c r="AB127" s="2"/>
      <c r="AC127" s="2"/>
      <c r="AD127" s="2"/>
      <c r="AE127" s="2"/>
      <c r="AF127" s="2"/>
      <c r="AG127" s="1"/>
      <c r="AH127" s="1"/>
      <c r="AI127" s="1"/>
      <c r="AJ127" s="1"/>
      <c r="AK127" s="1"/>
      <c r="AL127" s="1"/>
      <c r="AM127" s="1"/>
      <c r="AN127" s="1"/>
      <c r="AO127" s="1"/>
      <c r="AP127" s="1"/>
      <c r="AQ127" s="1"/>
    </row>
    <row r="128" spans="1:43" ht="17.25" thickBot="1" x14ac:dyDescent="0.35">
      <c r="A128" s="147"/>
      <c r="B128" s="97">
        <v>43693</v>
      </c>
      <c r="C128" s="107">
        <f>9*6+4</f>
        <v>58</v>
      </c>
      <c r="D128" s="150"/>
      <c r="E128" s="150"/>
      <c r="F128" s="100">
        <f>100*11+8</f>
        <v>1108</v>
      </c>
      <c r="G128" s="7">
        <f t="shared" si="69"/>
        <v>5540</v>
      </c>
      <c r="H128" s="100"/>
      <c r="I128" s="7">
        <f t="shared" si="70"/>
        <v>0</v>
      </c>
      <c r="J128" s="100"/>
      <c r="K128" s="7">
        <f t="shared" si="65"/>
        <v>0</v>
      </c>
      <c r="L128" s="100">
        <f>60+81</f>
        <v>141</v>
      </c>
      <c r="M128" s="7">
        <f t="shared" si="66"/>
        <v>705</v>
      </c>
      <c r="N128" s="100"/>
      <c r="O128" s="7">
        <f t="shared" si="67"/>
        <v>0</v>
      </c>
      <c r="P128" s="100">
        <f>34+42</f>
        <v>76</v>
      </c>
      <c r="Q128" s="7">
        <f t="shared" si="68"/>
        <v>1026</v>
      </c>
      <c r="R128" s="8">
        <f t="shared" si="71"/>
        <v>0.3673529411764706</v>
      </c>
      <c r="S128" s="127">
        <f t="shared" si="59"/>
        <v>125.36206896551724</v>
      </c>
      <c r="T128" s="152"/>
      <c r="U128" s="180"/>
      <c r="V128" s="180"/>
      <c r="W128" s="152"/>
      <c r="X128" s="100"/>
      <c r="Y128" s="7">
        <f t="shared" si="72"/>
        <v>0</v>
      </c>
      <c r="Z128" s="100"/>
      <c r="AA128" s="7">
        <f t="shared" si="73"/>
        <v>0</v>
      </c>
      <c r="AB128" s="2"/>
      <c r="AC128" s="2"/>
      <c r="AD128" s="2"/>
      <c r="AE128" s="2"/>
      <c r="AF128" s="2"/>
      <c r="AG128" s="1"/>
      <c r="AH128" s="1"/>
      <c r="AI128" s="1"/>
      <c r="AJ128" s="1"/>
      <c r="AK128" s="1"/>
      <c r="AL128" s="1"/>
      <c r="AM128" s="1"/>
      <c r="AN128" s="1"/>
      <c r="AO128" s="1"/>
      <c r="AP128" s="1"/>
      <c r="AQ128" s="1"/>
    </row>
    <row r="129" spans="1:43" ht="17.25" thickBot="1" x14ac:dyDescent="0.35">
      <c r="A129" s="148"/>
      <c r="B129" s="98">
        <v>43694</v>
      </c>
      <c r="C129" s="108">
        <v>6</v>
      </c>
      <c r="D129" s="151"/>
      <c r="E129" s="151"/>
      <c r="F129" s="101">
        <v>76</v>
      </c>
      <c r="G129" s="39">
        <f t="shared" si="69"/>
        <v>380</v>
      </c>
      <c r="H129" s="101"/>
      <c r="I129" s="39">
        <f t="shared" si="70"/>
        <v>0</v>
      </c>
      <c r="J129" s="101"/>
      <c r="K129" s="39">
        <f t="shared" si="65"/>
        <v>0</v>
      </c>
      <c r="L129" s="101">
        <v>11</v>
      </c>
      <c r="M129" s="39">
        <f t="shared" si="66"/>
        <v>55</v>
      </c>
      <c r="N129" s="101"/>
      <c r="O129" s="39">
        <f t="shared" si="67"/>
        <v>0</v>
      </c>
      <c r="P129" s="101">
        <v>20</v>
      </c>
      <c r="Q129" s="39">
        <f t="shared" si="68"/>
        <v>270</v>
      </c>
      <c r="R129" s="36">
        <f t="shared" si="71"/>
        <v>2.5588235294117648E-2</v>
      </c>
      <c r="S129" s="128">
        <f t="shared" si="59"/>
        <v>117.5</v>
      </c>
      <c r="T129" s="152"/>
      <c r="U129" s="181"/>
      <c r="V129" s="181"/>
      <c r="W129" s="152"/>
      <c r="X129" s="101"/>
      <c r="Y129" s="39">
        <f t="shared" si="72"/>
        <v>0</v>
      </c>
      <c r="Z129" s="101"/>
      <c r="AA129" s="39">
        <f t="shared" si="73"/>
        <v>0</v>
      </c>
      <c r="AB129" s="2"/>
      <c r="AC129" s="2"/>
      <c r="AD129" s="2"/>
      <c r="AE129" s="2"/>
      <c r="AF129" s="2"/>
      <c r="AG129" s="1"/>
      <c r="AH129" s="1"/>
      <c r="AI129" s="1"/>
      <c r="AJ129" s="1"/>
      <c r="AK129" s="1"/>
      <c r="AL129" s="1"/>
      <c r="AM129" s="1"/>
      <c r="AN129" s="1"/>
      <c r="AO129" s="1"/>
      <c r="AP129" s="1"/>
      <c r="AQ129" s="1"/>
    </row>
    <row r="130" spans="1:43" ht="17.25" thickBot="1" x14ac:dyDescent="0.35">
      <c r="A130" s="147">
        <v>34</v>
      </c>
      <c r="B130" s="105">
        <v>43696</v>
      </c>
      <c r="C130" s="106">
        <v>36</v>
      </c>
      <c r="D130" s="149">
        <f t="shared" ref="D130" si="115">SUM(G130:G135,I130:I135,K130:K135)</f>
        <v>7440</v>
      </c>
      <c r="E130" s="149">
        <f t="shared" ref="E130" si="116">SUM(G130:G135,I130:I135,M130:M135,O130:O135,Q130:Q135,K130:K135)</f>
        <v>16565.5</v>
      </c>
      <c r="F130" s="99">
        <v>459</v>
      </c>
      <c r="G130" s="7">
        <f t="shared" si="69"/>
        <v>2295</v>
      </c>
      <c r="H130" s="99"/>
      <c r="I130" s="7">
        <f t="shared" si="70"/>
        <v>0</v>
      </c>
      <c r="J130" s="99"/>
      <c r="K130" s="7">
        <f t="shared" si="65"/>
        <v>0</v>
      </c>
      <c r="L130" s="99">
        <v>130</v>
      </c>
      <c r="M130" s="7">
        <f t="shared" si="66"/>
        <v>650</v>
      </c>
      <c r="N130" s="99"/>
      <c r="O130" s="7">
        <f t="shared" si="67"/>
        <v>0</v>
      </c>
      <c r="P130" s="99">
        <v>77</v>
      </c>
      <c r="Q130" s="7">
        <f t="shared" si="68"/>
        <v>1039.5</v>
      </c>
      <c r="R130" s="8">
        <f t="shared" si="71"/>
        <v>0.17323529411764707</v>
      </c>
      <c r="S130" s="126">
        <f t="shared" si="59"/>
        <v>110.68055555555556</v>
      </c>
      <c r="T130" s="152">
        <f>AVERAGE(S130:S135)</f>
        <v>92.744611343675615</v>
      </c>
      <c r="U130" s="179">
        <f t="shared" ref="U130" si="117">(SUM(G130:G135)+SUM(I130:I135))/$F$1</f>
        <v>0.43764705882352939</v>
      </c>
      <c r="V130" s="179">
        <f t="shared" ref="V130" si="118">SUM(R130:R135)</f>
        <v>0.63058823529411767</v>
      </c>
      <c r="W130" s="152">
        <v>1.1558823529411764</v>
      </c>
      <c r="X130" s="99"/>
      <c r="Y130" s="7">
        <f t="shared" si="72"/>
        <v>0</v>
      </c>
      <c r="Z130" s="99"/>
      <c r="AA130" s="7">
        <f t="shared" si="73"/>
        <v>0</v>
      </c>
      <c r="AB130" s="2"/>
      <c r="AC130" s="2"/>
      <c r="AD130" s="2"/>
      <c r="AE130" s="2"/>
      <c r="AF130" s="2"/>
      <c r="AG130" s="1"/>
      <c r="AH130" s="1"/>
      <c r="AI130" s="1"/>
      <c r="AJ130" s="1"/>
      <c r="AK130" s="1"/>
      <c r="AL130" s="1"/>
      <c r="AM130" s="1"/>
      <c r="AN130" s="1"/>
      <c r="AO130" s="1"/>
      <c r="AP130" s="1"/>
      <c r="AQ130" s="1"/>
    </row>
    <row r="131" spans="1:43" ht="17.25" thickBot="1" x14ac:dyDescent="0.35">
      <c r="A131" s="147"/>
      <c r="B131" s="97">
        <v>43697</v>
      </c>
      <c r="C131" s="107">
        <v>36</v>
      </c>
      <c r="D131" s="150"/>
      <c r="E131" s="150"/>
      <c r="F131" s="100">
        <v>285</v>
      </c>
      <c r="G131" s="7">
        <f t="shared" si="69"/>
        <v>1425</v>
      </c>
      <c r="H131" s="100"/>
      <c r="I131" s="7">
        <f t="shared" si="70"/>
        <v>0</v>
      </c>
      <c r="J131" s="100"/>
      <c r="K131" s="7">
        <f t="shared" si="65"/>
        <v>0</v>
      </c>
      <c r="L131" s="100">
        <v>128</v>
      </c>
      <c r="M131" s="7">
        <f t="shared" si="66"/>
        <v>640</v>
      </c>
      <c r="N131" s="100"/>
      <c r="O131" s="7">
        <f t="shared" si="67"/>
        <v>0</v>
      </c>
      <c r="P131" s="100">
        <v>99</v>
      </c>
      <c r="Q131" s="7">
        <f t="shared" si="68"/>
        <v>1336.5</v>
      </c>
      <c r="R131" s="8">
        <f t="shared" si="71"/>
        <v>0.12147058823529412</v>
      </c>
      <c r="S131" s="127">
        <f t="shared" si="59"/>
        <v>94.486111111111114</v>
      </c>
      <c r="T131" s="152"/>
      <c r="U131" s="180"/>
      <c r="V131" s="180"/>
      <c r="W131" s="152"/>
      <c r="X131" s="100"/>
      <c r="Y131" s="7">
        <f t="shared" si="72"/>
        <v>0</v>
      </c>
      <c r="Z131" s="100"/>
      <c r="AA131" s="7">
        <f t="shared" si="73"/>
        <v>0</v>
      </c>
      <c r="AB131" s="2"/>
      <c r="AC131" s="2"/>
      <c r="AD131" s="2"/>
      <c r="AE131" s="2"/>
      <c r="AF131" s="2"/>
      <c r="AG131" s="1"/>
      <c r="AH131" s="1"/>
      <c r="AI131" s="1"/>
      <c r="AJ131" s="1"/>
      <c r="AK131" s="1"/>
      <c r="AL131" s="1"/>
      <c r="AM131" s="1"/>
      <c r="AN131" s="1"/>
      <c r="AO131" s="1"/>
      <c r="AP131" s="1"/>
      <c r="AQ131" s="1"/>
    </row>
    <row r="132" spans="1:43" ht="17.25" thickBot="1" x14ac:dyDescent="0.35">
      <c r="A132" s="147"/>
      <c r="B132" s="97">
        <v>43698</v>
      </c>
      <c r="C132" s="107">
        <v>31</v>
      </c>
      <c r="D132" s="150"/>
      <c r="E132" s="150"/>
      <c r="F132" s="100">
        <v>170</v>
      </c>
      <c r="G132" s="7">
        <f t="shared" si="69"/>
        <v>850</v>
      </c>
      <c r="H132" s="100"/>
      <c r="I132" s="7">
        <f t="shared" si="70"/>
        <v>0</v>
      </c>
      <c r="J132" s="100"/>
      <c r="K132" s="7">
        <f t="shared" si="65"/>
        <v>0</v>
      </c>
      <c r="L132" s="100">
        <v>111</v>
      </c>
      <c r="M132" s="7">
        <f t="shared" si="66"/>
        <v>555</v>
      </c>
      <c r="N132" s="100"/>
      <c r="O132" s="7">
        <f t="shared" si="67"/>
        <v>0</v>
      </c>
      <c r="P132" s="100">
        <v>75</v>
      </c>
      <c r="Q132" s="7">
        <f t="shared" si="68"/>
        <v>1012.5</v>
      </c>
      <c r="R132" s="8">
        <f t="shared" si="71"/>
        <v>8.2647058823529407E-2</v>
      </c>
      <c r="S132" s="127">
        <f t="shared" si="59"/>
        <v>77.983870967741936</v>
      </c>
      <c r="T132" s="152"/>
      <c r="U132" s="180"/>
      <c r="V132" s="180"/>
      <c r="W132" s="152"/>
      <c r="X132" s="100"/>
      <c r="Y132" s="7">
        <f t="shared" si="72"/>
        <v>0</v>
      </c>
      <c r="Z132" s="100"/>
      <c r="AA132" s="7">
        <f t="shared" si="73"/>
        <v>0</v>
      </c>
      <c r="AB132" s="2"/>
      <c r="AC132" s="2"/>
      <c r="AD132" s="2"/>
      <c r="AE132" s="2"/>
      <c r="AF132" s="2"/>
      <c r="AG132" s="1"/>
      <c r="AH132" s="1"/>
      <c r="AI132" s="1"/>
      <c r="AJ132" s="1"/>
      <c r="AK132" s="1"/>
      <c r="AL132" s="1"/>
      <c r="AM132" s="1"/>
      <c r="AN132" s="1"/>
      <c r="AO132" s="1"/>
      <c r="AP132" s="1"/>
      <c r="AQ132" s="1"/>
    </row>
    <row r="133" spans="1:43" ht="17.25" thickBot="1" x14ac:dyDescent="0.35">
      <c r="A133" s="147"/>
      <c r="B133" s="97">
        <v>43699</v>
      </c>
      <c r="C133" s="107">
        <v>32.75</v>
      </c>
      <c r="D133" s="150"/>
      <c r="E133" s="150"/>
      <c r="F133" s="100">
        <v>278</v>
      </c>
      <c r="G133" s="7">
        <f t="shared" si="69"/>
        <v>1390</v>
      </c>
      <c r="H133" s="100"/>
      <c r="I133" s="7">
        <f t="shared" si="70"/>
        <v>0</v>
      </c>
      <c r="J133" s="100"/>
      <c r="K133" s="7">
        <f t="shared" si="65"/>
        <v>0</v>
      </c>
      <c r="L133" s="100">
        <v>127</v>
      </c>
      <c r="M133" s="7">
        <f t="shared" si="66"/>
        <v>635</v>
      </c>
      <c r="N133" s="100"/>
      <c r="O133" s="7">
        <f t="shared" si="67"/>
        <v>0</v>
      </c>
      <c r="P133" s="100">
        <v>77</v>
      </c>
      <c r="Q133" s="7">
        <f t="shared" si="68"/>
        <v>1039.5</v>
      </c>
      <c r="R133" s="8">
        <f t="shared" si="71"/>
        <v>0.11911764705882352</v>
      </c>
      <c r="S133" s="127">
        <f t="shared" ref="S133:S196" si="119">IF(C133=0,"",(G133+I133+M133+O133+Q133+K133)/C133)</f>
        <v>93.572519083969468</v>
      </c>
      <c r="T133" s="152"/>
      <c r="U133" s="180"/>
      <c r="V133" s="180"/>
      <c r="W133" s="152"/>
      <c r="X133" s="100">
        <v>2.5</v>
      </c>
      <c r="Y133" s="7">
        <f t="shared" si="72"/>
        <v>12.5</v>
      </c>
      <c r="Z133" s="100">
        <v>2</v>
      </c>
      <c r="AA133" s="7">
        <f t="shared" si="73"/>
        <v>10</v>
      </c>
      <c r="AB133" s="2"/>
      <c r="AC133" s="2"/>
      <c r="AD133" s="2"/>
      <c r="AE133" s="2"/>
      <c r="AF133" s="2"/>
      <c r="AG133" s="1"/>
      <c r="AH133" s="1"/>
      <c r="AI133" s="1"/>
      <c r="AJ133" s="1"/>
      <c r="AK133" s="1"/>
      <c r="AL133" s="1"/>
      <c r="AM133" s="1"/>
      <c r="AN133" s="1"/>
      <c r="AO133" s="1"/>
      <c r="AP133" s="1"/>
      <c r="AQ133" s="1"/>
    </row>
    <row r="134" spans="1:43" ht="17.25" thickBot="1" x14ac:dyDescent="0.35">
      <c r="A134" s="147"/>
      <c r="B134" s="97">
        <v>43700</v>
      </c>
      <c r="C134" s="107">
        <v>42.5</v>
      </c>
      <c r="D134" s="150"/>
      <c r="E134" s="150"/>
      <c r="F134" s="100">
        <v>296</v>
      </c>
      <c r="G134" s="7">
        <f t="shared" si="69"/>
        <v>1480</v>
      </c>
      <c r="H134" s="100"/>
      <c r="I134" s="7">
        <f t="shared" si="70"/>
        <v>0</v>
      </c>
      <c r="J134" s="100"/>
      <c r="K134" s="7">
        <f t="shared" si="65"/>
        <v>0</v>
      </c>
      <c r="L134" s="100">
        <v>160</v>
      </c>
      <c r="M134" s="7">
        <f t="shared" si="66"/>
        <v>800</v>
      </c>
      <c r="N134" s="100"/>
      <c r="O134" s="7">
        <f t="shared" si="67"/>
        <v>0</v>
      </c>
      <c r="P134" s="100">
        <v>105</v>
      </c>
      <c r="Q134" s="7">
        <f t="shared" si="68"/>
        <v>1417.5</v>
      </c>
      <c r="R134" s="8">
        <f t="shared" si="71"/>
        <v>0.13411764705882354</v>
      </c>
      <c r="S134" s="127">
        <f t="shared" si="119"/>
        <v>87</v>
      </c>
      <c r="T134" s="152"/>
      <c r="U134" s="180"/>
      <c r="V134" s="180"/>
      <c r="W134" s="152"/>
      <c r="X134" s="100"/>
      <c r="Y134" s="7">
        <f t="shared" si="72"/>
        <v>0</v>
      </c>
      <c r="Z134" s="100"/>
      <c r="AA134" s="7">
        <f t="shared" si="73"/>
        <v>0</v>
      </c>
      <c r="AB134" s="2"/>
      <c r="AC134" s="2"/>
      <c r="AD134" s="2"/>
      <c r="AE134" s="2"/>
      <c r="AF134" s="2"/>
      <c r="AG134" s="1"/>
      <c r="AH134" s="1"/>
      <c r="AI134" s="1"/>
      <c r="AJ134" s="1"/>
      <c r="AK134" s="1"/>
      <c r="AL134" s="1"/>
      <c r="AM134" s="1"/>
      <c r="AN134" s="1"/>
      <c r="AO134" s="1"/>
      <c r="AP134" s="1"/>
      <c r="AQ134" s="1"/>
    </row>
    <row r="135" spans="1:43" ht="17.25" thickBot="1" x14ac:dyDescent="0.35">
      <c r="A135" s="147"/>
      <c r="B135" s="98"/>
      <c r="C135" s="108"/>
      <c r="D135" s="151"/>
      <c r="E135" s="151"/>
      <c r="F135" s="101"/>
      <c r="G135" s="7">
        <f t="shared" si="69"/>
        <v>0</v>
      </c>
      <c r="H135" s="101"/>
      <c r="I135" s="7">
        <f t="shared" si="70"/>
        <v>0</v>
      </c>
      <c r="J135" s="101"/>
      <c r="K135" s="7">
        <f t="shared" si="65"/>
        <v>0</v>
      </c>
      <c r="L135" s="101"/>
      <c r="M135" s="7">
        <f t="shared" si="66"/>
        <v>0</v>
      </c>
      <c r="N135" s="101"/>
      <c r="O135" s="7">
        <f t="shared" si="67"/>
        <v>0</v>
      </c>
      <c r="P135" s="101"/>
      <c r="Q135" s="7">
        <f t="shared" si="68"/>
        <v>0</v>
      </c>
      <c r="R135" s="8">
        <f t="shared" si="71"/>
        <v>0</v>
      </c>
      <c r="S135" s="128" t="str">
        <f t="shared" si="119"/>
        <v/>
      </c>
      <c r="T135" s="152"/>
      <c r="U135" s="181"/>
      <c r="V135" s="181"/>
      <c r="W135" s="152"/>
      <c r="X135" s="101"/>
      <c r="Y135" s="7">
        <f t="shared" si="72"/>
        <v>0</v>
      </c>
      <c r="Z135" s="101"/>
      <c r="AA135" s="7">
        <f t="shared" si="73"/>
        <v>0</v>
      </c>
      <c r="AB135" s="2"/>
      <c r="AC135" s="2"/>
      <c r="AD135" s="2"/>
      <c r="AE135" s="2"/>
      <c r="AF135" s="2"/>
      <c r="AG135" s="1"/>
      <c r="AH135" s="1"/>
      <c r="AI135" s="1"/>
      <c r="AJ135" s="1"/>
      <c r="AK135" s="1"/>
      <c r="AL135" s="1"/>
      <c r="AM135" s="1"/>
      <c r="AN135" s="1"/>
      <c r="AO135" s="1"/>
      <c r="AP135" s="1"/>
      <c r="AQ135" s="1"/>
    </row>
    <row r="136" spans="1:43" ht="17.25" thickBot="1" x14ac:dyDescent="0.35">
      <c r="A136" s="146">
        <v>35</v>
      </c>
      <c r="B136" s="105">
        <v>43703</v>
      </c>
      <c r="C136" s="106">
        <v>38</v>
      </c>
      <c r="D136" s="149">
        <f t="shared" ref="D136" si="120">SUM(G136:G141,I136:I141,K136:K141)</f>
        <v>12285</v>
      </c>
      <c r="E136" s="149">
        <f t="shared" ref="E136" si="121">SUM(G136:G141,I136:I141,M136:M141,O136:O141,Q136:Q141,K136:K141)</f>
        <v>22348.5</v>
      </c>
      <c r="F136" s="99">
        <v>379</v>
      </c>
      <c r="G136" s="40">
        <f t="shared" si="69"/>
        <v>1895</v>
      </c>
      <c r="H136" s="99"/>
      <c r="I136" s="40">
        <f t="shared" si="70"/>
        <v>0</v>
      </c>
      <c r="J136" s="99"/>
      <c r="K136" s="40">
        <f t="shared" si="65"/>
        <v>0</v>
      </c>
      <c r="L136" s="99">
        <v>125</v>
      </c>
      <c r="M136" s="40">
        <f t="shared" si="66"/>
        <v>625</v>
      </c>
      <c r="N136" s="99"/>
      <c r="O136" s="40">
        <f t="shared" si="67"/>
        <v>0</v>
      </c>
      <c r="P136" s="99">
        <v>85</v>
      </c>
      <c r="Q136" s="40">
        <f t="shared" si="68"/>
        <v>1147.5</v>
      </c>
      <c r="R136" s="34">
        <f t="shared" si="71"/>
        <v>0.14823529411764705</v>
      </c>
      <c r="S136" s="126">
        <f t="shared" si="119"/>
        <v>96.513157894736835</v>
      </c>
      <c r="T136" s="152">
        <f t="shared" ref="T136" si="122">AVERAGE(S136:S141)</f>
        <v>103.17758857639271</v>
      </c>
      <c r="U136" s="179">
        <f t="shared" ref="U136" si="123">(SUM(G136:G141)+SUM(I136:I141))/$F$1</f>
        <v>0.72264705882352942</v>
      </c>
      <c r="V136" s="179">
        <f t="shared" ref="V136" si="124">SUM(R136:R141)</f>
        <v>0.95647058823529407</v>
      </c>
      <c r="W136" s="152">
        <v>1.2194117647058824</v>
      </c>
      <c r="X136" s="99"/>
      <c r="Y136" s="40">
        <f t="shared" si="72"/>
        <v>0</v>
      </c>
      <c r="Z136" s="99"/>
      <c r="AA136" s="40">
        <f t="shared" si="73"/>
        <v>0</v>
      </c>
      <c r="AB136" s="2"/>
      <c r="AC136" s="2"/>
      <c r="AD136" s="2"/>
      <c r="AE136" s="2"/>
      <c r="AF136" s="2"/>
      <c r="AG136" s="1"/>
      <c r="AH136" s="1"/>
      <c r="AI136" s="1"/>
      <c r="AJ136" s="1"/>
      <c r="AK136" s="1"/>
      <c r="AL136" s="1"/>
      <c r="AM136" s="1"/>
      <c r="AN136" s="1"/>
      <c r="AO136" s="1"/>
      <c r="AP136" s="1"/>
      <c r="AQ136" s="1"/>
    </row>
    <row r="137" spans="1:43" ht="17.25" thickBot="1" x14ac:dyDescent="0.35">
      <c r="A137" s="147"/>
      <c r="B137" s="97">
        <v>43704</v>
      </c>
      <c r="C137" s="107">
        <v>38</v>
      </c>
      <c r="D137" s="150"/>
      <c r="E137" s="150"/>
      <c r="F137" s="100">
        <v>397</v>
      </c>
      <c r="G137" s="7">
        <f t="shared" si="69"/>
        <v>1985</v>
      </c>
      <c r="H137" s="100"/>
      <c r="I137" s="7">
        <f t="shared" si="70"/>
        <v>0</v>
      </c>
      <c r="J137" s="100"/>
      <c r="K137" s="7">
        <f t="shared" si="65"/>
        <v>0</v>
      </c>
      <c r="L137" s="100">
        <v>143</v>
      </c>
      <c r="M137" s="7">
        <f t="shared" si="66"/>
        <v>715</v>
      </c>
      <c r="N137" s="100"/>
      <c r="O137" s="7">
        <f t="shared" si="67"/>
        <v>0</v>
      </c>
      <c r="P137" s="100">
        <v>100</v>
      </c>
      <c r="Q137" s="7">
        <f t="shared" si="68"/>
        <v>1350</v>
      </c>
      <c r="R137" s="8">
        <f t="shared" si="71"/>
        <v>0.1588235294117647</v>
      </c>
      <c r="S137" s="127">
        <f t="shared" si="119"/>
        <v>106.57894736842105</v>
      </c>
      <c r="T137" s="152"/>
      <c r="U137" s="180"/>
      <c r="V137" s="180"/>
      <c r="W137" s="152"/>
      <c r="X137" s="100"/>
      <c r="Y137" s="7">
        <f t="shared" si="72"/>
        <v>0</v>
      </c>
      <c r="Z137" s="100"/>
      <c r="AA137" s="7">
        <f t="shared" si="73"/>
        <v>0</v>
      </c>
      <c r="AB137" s="2"/>
      <c r="AC137" s="2"/>
      <c r="AD137" s="2"/>
      <c r="AE137" s="2"/>
      <c r="AF137" s="2"/>
      <c r="AG137" s="1"/>
      <c r="AH137" s="1"/>
      <c r="AI137" s="1"/>
      <c r="AJ137" s="1"/>
      <c r="AK137" s="1"/>
      <c r="AL137" s="1"/>
      <c r="AM137" s="1"/>
      <c r="AN137" s="1"/>
      <c r="AO137" s="1"/>
      <c r="AP137" s="1"/>
      <c r="AQ137" s="1"/>
    </row>
    <row r="138" spans="1:43" ht="17.25" thickBot="1" x14ac:dyDescent="0.35">
      <c r="A138" s="147"/>
      <c r="B138" s="97">
        <v>43705</v>
      </c>
      <c r="C138" s="107">
        <v>42.5</v>
      </c>
      <c r="D138" s="150"/>
      <c r="E138" s="150"/>
      <c r="F138" s="100">
        <v>456</v>
      </c>
      <c r="G138" s="7">
        <f t="shared" si="69"/>
        <v>2280</v>
      </c>
      <c r="H138" s="100"/>
      <c r="I138" s="7">
        <f t="shared" si="70"/>
        <v>0</v>
      </c>
      <c r="J138" s="100"/>
      <c r="K138" s="7">
        <f t="shared" ref="K138:K201" si="125">J138*J$3</f>
        <v>0</v>
      </c>
      <c r="L138" s="100">
        <v>140</v>
      </c>
      <c r="M138" s="7">
        <f t="shared" ref="M138:M201" si="126">L138*L$3</f>
        <v>700</v>
      </c>
      <c r="N138" s="100"/>
      <c r="O138" s="7">
        <f t="shared" ref="O138:O201" si="127">N138*N$3</f>
        <v>0</v>
      </c>
      <c r="P138" s="100">
        <v>86</v>
      </c>
      <c r="Q138" s="7">
        <f t="shared" ref="Q138:Q201" si="128">P138*P$3</f>
        <v>1161</v>
      </c>
      <c r="R138" s="8">
        <f t="shared" si="71"/>
        <v>0.17529411764705882</v>
      </c>
      <c r="S138" s="127">
        <f t="shared" si="119"/>
        <v>97.435294117647061</v>
      </c>
      <c r="T138" s="152"/>
      <c r="U138" s="180"/>
      <c r="V138" s="180"/>
      <c r="W138" s="152"/>
      <c r="X138" s="100"/>
      <c r="Y138" s="7">
        <f t="shared" si="72"/>
        <v>0</v>
      </c>
      <c r="Z138" s="100"/>
      <c r="AA138" s="7">
        <f t="shared" si="73"/>
        <v>0</v>
      </c>
      <c r="AB138" s="2"/>
      <c r="AC138" s="2"/>
      <c r="AD138" s="2"/>
      <c r="AE138" s="2"/>
      <c r="AF138" s="2"/>
      <c r="AG138" s="1"/>
      <c r="AH138" s="1"/>
      <c r="AI138" s="1"/>
      <c r="AJ138" s="1"/>
      <c r="AK138" s="1"/>
      <c r="AL138" s="1"/>
      <c r="AM138" s="1"/>
      <c r="AN138" s="1"/>
      <c r="AO138" s="1"/>
      <c r="AP138" s="1"/>
      <c r="AQ138" s="1"/>
    </row>
    <row r="139" spans="1:43" ht="17.25" thickBot="1" x14ac:dyDescent="0.35">
      <c r="A139" s="147"/>
      <c r="B139" s="97">
        <v>43706</v>
      </c>
      <c r="C139" s="107">
        <v>47</v>
      </c>
      <c r="D139" s="150"/>
      <c r="E139" s="150"/>
      <c r="F139" s="100">
        <v>574</v>
      </c>
      <c r="G139" s="7">
        <f t="shared" ref="G139:G202" si="129">F139*F$3</f>
        <v>2870</v>
      </c>
      <c r="H139" s="100"/>
      <c r="I139" s="7">
        <f t="shared" ref="I139:I202" si="130">H139*H$3</f>
        <v>0</v>
      </c>
      <c r="J139" s="100"/>
      <c r="K139" s="7">
        <f t="shared" si="125"/>
        <v>0</v>
      </c>
      <c r="L139" s="100">
        <v>200</v>
      </c>
      <c r="M139" s="7">
        <f t="shared" si="126"/>
        <v>1000</v>
      </c>
      <c r="N139" s="100"/>
      <c r="O139" s="7">
        <f t="shared" si="127"/>
        <v>0</v>
      </c>
      <c r="P139" s="100">
        <v>97</v>
      </c>
      <c r="Q139" s="7">
        <f t="shared" si="128"/>
        <v>1309.5</v>
      </c>
      <c r="R139" s="8">
        <f t="shared" ref="R139:R202" si="131">(G139+I139+M139+O139+K139)/F$1</f>
        <v>0.22764705882352942</v>
      </c>
      <c r="S139" s="127">
        <f t="shared" si="119"/>
        <v>110.20212765957447</v>
      </c>
      <c r="T139" s="152"/>
      <c r="U139" s="180"/>
      <c r="V139" s="180"/>
      <c r="W139" s="152"/>
      <c r="X139" s="100">
        <v>3</v>
      </c>
      <c r="Y139" s="7">
        <f t="shared" ref="Y139:Y202" si="132">X139*X$3</f>
        <v>15</v>
      </c>
      <c r="Z139" s="100">
        <v>3</v>
      </c>
      <c r="AA139" s="7">
        <f t="shared" ref="AA139:AA202" si="133">Z139*Z$3</f>
        <v>15</v>
      </c>
      <c r="AB139" s="2"/>
      <c r="AC139" s="2"/>
      <c r="AD139" s="2"/>
      <c r="AE139" s="2"/>
      <c r="AF139" s="2"/>
      <c r="AG139" s="1"/>
      <c r="AH139" s="1"/>
      <c r="AI139" s="1"/>
      <c r="AJ139" s="1"/>
      <c r="AK139" s="1"/>
      <c r="AL139" s="1"/>
      <c r="AM139" s="1"/>
      <c r="AN139" s="1"/>
      <c r="AO139" s="1"/>
      <c r="AP139" s="1"/>
      <c r="AQ139" s="1"/>
    </row>
    <row r="140" spans="1:43" ht="17.25" thickBot="1" x14ac:dyDescent="0.35">
      <c r="A140" s="147"/>
      <c r="B140" s="97">
        <v>43707</v>
      </c>
      <c r="C140" s="107">
        <v>50.5</v>
      </c>
      <c r="D140" s="150"/>
      <c r="E140" s="150"/>
      <c r="F140" s="100">
        <v>651</v>
      </c>
      <c r="G140" s="7">
        <f t="shared" si="129"/>
        <v>3255</v>
      </c>
      <c r="H140" s="100"/>
      <c r="I140" s="7">
        <f t="shared" si="130"/>
        <v>0</v>
      </c>
      <c r="J140" s="100"/>
      <c r="K140" s="7">
        <f t="shared" si="125"/>
        <v>0</v>
      </c>
      <c r="L140" s="100">
        <v>187</v>
      </c>
      <c r="M140" s="7">
        <f t="shared" si="126"/>
        <v>935</v>
      </c>
      <c r="N140" s="100"/>
      <c r="O140" s="7">
        <f t="shared" si="127"/>
        <v>0</v>
      </c>
      <c r="P140" s="100">
        <v>83</v>
      </c>
      <c r="Q140" s="7">
        <f t="shared" si="128"/>
        <v>1120.5</v>
      </c>
      <c r="R140" s="8">
        <f t="shared" si="131"/>
        <v>0.24647058823529411</v>
      </c>
      <c r="S140" s="127">
        <f t="shared" si="119"/>
        <v>105.15841584158416</v>
      </c>
      <c r="T140" s="152"/>
      <c r="U140" s="180"/>
      <c r="V140" s="180"/>
      <c r="W140" s="152"/>
      <c r="X140" s="100"/>
      <c r="Y140" s="7">
        <f t="shared" si="132"/>
        <v>0</v>
      </c>
      <c r="Z140" s="100"/>
      <c r="AA140" s="7">
        <f t="shared" si="133"/>
        <v>0</v>
      </c>
      <c r="AB140" s="2"/>
      <c r="AC140" s="2"/>
      <c r="AD140" s="2"/>
      <c r="AE140" s="2"/>
      <c r="AF140" s="2"/>
      <c r="AG140" s="1"/>
      <c r="AH140" s="1"/>
      <c r="AI140" s="1"/>
      <c r="AJ140" s="1"/>
      <c r="AK140" s="1"/>
      <c r="AL140" s="1"/>
      <c r="AM140" s="1"/>
      <c r="AN140" s="1"/>
      <c r="AO140" s="1"/>
      <c r="AP140" s="1"/>
      <c r="AQ140" s="1"/>
    </row>
    <row r="141" spans="1:43" ht="17.25" thickBot="1" x14ac:dyDescent="0.35">
      <c r="A141" s="148"/>
      <c r="B141" s="98"/>
      <c r="C141" s="108"/>
      <c r="D141" s="151"/>
      <c r="E141" s="151"/>
      <c r="F141" s="101"/>
      <c r="G141" s="39">
        <f t="shared" si="129"/>
        <v>0</v>
      </c>
      <c r="H141" s="101"/>
      <c r="I141" s="39">
        <f t="shared" si="130"/>
        <v>0</v>
      </c>
      <c r="J141" s="101"/>
      <c r="K141" s="39">
        <f t="shared" si="125"/>
        <v>0</v>
      </c>
      <c r="L141" s="101"/>
      <c r="M141" s="39">
        <f t="shared" si="126"/>
        <v>0</v>
      </c>
      <c r="N141" s="101"/>
      <c r="O141" s="39">
        <f t="shared" si="127"/>
        <v>0</v>
      </c>
      <c r="P141" s="101"/>
      <c r="Q141" s="39">
        <f t="shared" si="128"/>
        <v>0</v>
      </c>
      <c r="R141" s="36">
        <f t="shared" si="131"/>
        <v>0</v>
      </c>
      <c r="S141" s="128" t="str">
        <f t="shared" si="119"/>
        <v/>
      </c>
      <c r="T141" s="152"/>
      <c r="U141" s="181"/>
      <c r="V141" s="181"/>
      <c r="W141" s="152"/>
      <c r="X141" s="101"/>
      <c r="Y141" s="39">
        <f t="shared" si="132"/>
        <v>0</v>
      </c>
      <c r="Z141" s="101"/>
      <c r="AA141" s="39">
        <f t="shared" si="133"/>
        <v>0</v>
      </c>
      <c r="AB141" s="2"/>
      <c r="AC141" s="2"/>
      <c r="AD141" s="2"/>
      <c r="AE141" s="2"/>
      <c r="AF141" s="2"/>
      <c r="AG141" s="1"/>
      <c r="AH141" s="1"/>
      <c r="AI141" s="1"/>
      <c r="AJ141" s="1"/>
      <c r="AK141" s="1"/>
      <c r="AL141" s="1"/>
      <c r="AM141" s="1"/>
      <c r="AN141" s="1"/>
      <c r="AO141" s="1"/>
      <c r="AP141" s="1"/>
      <c r="AQ141" s="1"/>
    </row>
    <row r="142" spans="1:43" ht="17.25" thickBot="1" x14ac:dyDescent="0.35">
      <c r="A142" s="147">
        <v>36</v>
      </c>
      <c r="B142" s="105">
        <v>43710</v>
      </c>
      <c r="C142" s="106">
        <v>43.75</v>
      </c>
      <c r="D142" s="149">
        <f t="shared" ref="D142" si="134">SUM(G142:G147,I142:I147,K142:K147)</f>
        <v>16670</v>
      </c>
      <c r="E142" s="149">
        <f t="shared" ref="E142" si="135">SUM(G142:G147,I142:I147,M142:M147,O142:O147,Q142:Q147,K142:K147)</f>
        <v>21317</v>
      </c>
      <c r="F142" s="99">
        <v>800</v>
      </c>
      <c r="G142" s="7">
        <f t="shared" si="129"/>
        <v>4000</v>
      </c>
      <c r="H142" s="99"/>
      <c r="I142" s="7">
        <f t="shared" si="130"/>
        <v>0</v>
      </c>
      <c r="J142" s="99"/>
      <c r="K142" s="7">
        <f t="shared" si="125"/>
        <v>0</v>
      </c>
      <c r="L142" s="99">
        <v>122</v>
      </c>
      <c r="M142" s="7">
        <f t="shared" si="126"/>
        <v>610</v>
      </c>
      <c r="N142" s="99"/>
      <c r="O142" s="7">
        <f t="shared" si="127"/>
        <v>0</v>
      </c>
      <c r="P142" s="99">
        <v>48</v>
      </c>
      <c r="Q142" s="7">
        <f t="shared" si="128"/>
        <v>648</v>
      </c>
      <c r="R142" s="8">
        <f t="shared" si="131"/>
        <v>0.2711764705882353</v>
      </c>
      <c r="S142" s="126">
        <f t="shared" si="119"/>
        <v>120.18285714285715</v>
      </c>
      <c r="T142" s="152">
        <f>AVERAGE(S142:S147)</f>
        <v>117.80938401790169</v>
      </c>
      <c r="U142" s="179">
        <f t="shared" ref="U142" si="136">(SUM(G142:G147)+SUM(I142:I147))/$F$1</f>
        <v>0.98058823529411765</v>
      </c>
      <c r="V142" s="179">
        <f t="shared" ref="V142" si="137">SUM(R142:R147)</f>
        <v>1.1570588235294117</v>
      </c>
      <c r="W142" s="152">
        <v>0.94500000000000006</v>
      </c>
      <c r="X142" s="99"/>
      <c r="Y142" s="7">
        <f t="shared" si="132"/>
        <v>0</v>
      </c>
      <c r="Z142" s="99"/>
      <c r="AA142" s="7">
        <f t="shared" si="133"/>
        <v>0</v>
      </c>
      <c r="AB142" s="2"/>
      <c r="AC142" s="2"/>
      <c r="AD142" s="2"/>
      <c r="AE142" s="2"/>
      <c r="AF142" s="2"/>
      <c r="AG142" s="1"/>
      <c r="AH142" s="1"/>
      <c r="AI142" s="1"/>
      <c r="AJ142" s="1"/>
      <c r="AK142" s="1"/>
      <c r="AL142" s="1"/>
      <c r="AM142" s="1"/>
      <c r="AN142" s="1"/>
      <c r="AO142" s="1"/>
      <c r="AP142" s="1"/>
      <c r="AQ142" s="1"/>
    </row>
    <row r="143" spans="1:43" ht="17.25" thickBot="1" x14ac:dyDescent="0.35">
      <c r="A143" s="147"/>
      <c r="B143" s="97">
        <v>43711</v>
      </c>
      <c r="C143" s="107">
        <v>38</v>
      </c>
      <c r="D143" s="150"/>
      <c r="E143" s="150"/>
      <c r="F143" s="100">
        <v>691</v>
      </c>
      <c r="G143" s="7">
        <f t="shared" si="129"/>
        <v>3455</v>
      </c>
      <c r="H143" s="100"/>
      <c r="I143" s="7">
        <f t="shared" si="130"/>
        <v>0</v>
      </c>
      <c r="J143" s="100"/>
      <c r="K143" s="7">
        <f t="shared" si="125"/>
        <v>0</v>
      </c>
      <c r="L143" s="100">
        <v>112</v>
      </c>
      <c r="M143" s="7">
        <f t="shared" si="126"/>
        <v>560</v>
      </c>
      <c r="N143" s="100"/>
      <c r="O143" s="7">
        <f t="shared" si="127"/>
        <v>0</v>
      </c>
      <c r="P143" s="100">
        <v>34</v>
      </c>
      <c r="Q143" s="7">
        <f t="shared" si="128"/>
        <v>459</v>
      </c>
      <c r="R143" s="8">
        <f t="shared" si="131"/>
        <v>0.23617647058823529</v>
      </c>
      <c r="S143" s="127">
        <f t="shared" si="119"/>
        <v>117.73684210526316</v>
      </c>
      <c r="T143" s="152"/>
      <c r="U143" s="180"/>
      <c r="V143" s="180"/>
      <c r="W143" s="152"/>
      <c r="X143" s="100"/>
      <c r="Y143" s="7">
        <f t="shared" si="132"/>
        <v>0</v>
      </c>
      <c r="Z143" s="100"/>
      <c r="AA143" s="7">
        <f t="shared" si="133"/>
        <v>0</v>
      </c>
      <c r="AB143" s="2"/>
      <c r="AC143" s="2"/>
      <c r="AD143" s="2"/>
      <c r="AE143" s="2"/>
      <c r="AF143" s="2"/>
      <c r="AG143" s="1"/>
      <c r="AH143" s="1"/>
      <c r="AI143" s="1"/>
      <c r="AJ143" s="1"/>
      <c r="AK143" s="1"/>
      <c r="AL143" s="1"/>
      <c r="AM143" s="1"/>
      <c r="AN143" s="1"/>
      <c r="AO143" s="1"/>
      <c r="AP143" s="1"/>
      <c r="AQ143" s="1"/>
    </row>
    <row r="144" spans="1:43" ht="17.25" thickBot="1" x14ac:dyDescent="0.35">
      <c r="A144" s="147"/>
      <c r="B144" s="97">
        <v>43712</v>
      </c>
      <c r="C144" s="107">
        <v>35.5</v>
      </c>
      <c r="D144" s="150"/>
      <c r="E144" s="150"/>
      <c r="F144" s="100">
        <v>580</v>
      </c>
      <c r="G144" s="7">
        <f t="shared" si="129"/>
        <v>2900</v>
      </c>
      <c r="H144" s="100"/>
      <c r="I144" s="7">
        <f t="shared" si="130"/>
        <v>0</v>
      </c>
      <c r="J144" s="100"/>
      <c r="K144" s="7">
        <f t="shared" si="125"/>
        <v>0</v>
      </c>
      <c r="L144" s="100">
        <v>120</v>
      </c>
      <c r="M144" s="7">
        <f t="shared" si="126"/>
        <v>600</v>
      </c>
      <c r="N144" s="100">
        <v>31</v>
      </c>
      <c r="O144" s="7">
        <f t="shared" si="127"/>
        <v>155</v>
      </c>
      <c r="P144" s="100">
        <v>16</v>
      </c>
      <c r="Q144" s="7">
        <f t="shared" si="128"/>
        <v>216</v>
      </c>
      <c r="R144" s="8">
        <f t="shared" si="131"/>
        <v>0.215</v>
      </c>
      <c r="S144" s="127">
        <f t="shared" si="119"/>
        <v>109.04225352112677</v>
      </c>
      <c r="T144" s="152"/>
      <c r="U144" s="180"/>
      <c r="V144" s="180"/>
      <c r="W144" s="152"/>
      <c r="X144" s="100"/>
      <c r="Y144" s="7">
        <f t="shared" si="132"/>
        <v>0</v>
      </c>
      <c r="Z144" s="100"/>
      <c r="AA144" s="7">
        <f t="shared" si="133"/>
        <v>0</v>
      </c>
      <c r="AB144" s="2"/>
      <c r="AC144" s="2"/>
      <c r="AD144" s="2"/>
      <c r="AE144" s="2"/>
      <c r="AF144" s="2"/>
      <c r="AG144" s="1"/>
      <c r="AH144" s="1"/>
      <c r="AI144" s="1"/>
      <c r="AJ144" s="1"/>
      <c r="AK144" s="1"/>
      <c r="AL144" s="1"/>
      <c r="AM144" s="1"/>
      <c r="AN144" s="1"/>
      <c r="AO144" s="1"/>
      <c r="AP144" s="1"/>
      <c r="AQ144" s="1"/>
    </row>
    <row r="145" spans="1:43" ht="17.25" thickBot="1" x14ac:dyDescent="0.35">
      <c r="A145" s="147"/>
      <c r="B145" s="97">
        <v>43713</v>
      </c>
      <c r="C145" s="107">
        <v>38.25</v>
      </c>
      <c r="D145" s="150"/>
      <c r="E145" s="150"/>
      <c r="F145" s="100">
        <v>737</v>
      </c>
      <c r="G145" s="7">
        <f t="shared" si="129"/>
        <v>3685</v>
      </c>
      <c r="H145" s="100"/>
      <c r="I145" s="7">
        <f t="shared" si="130"/>
        <v>0</v>
      </c>
      <c r="J145" s="100"/>
      <c r="K145" s="7">
        <f t="shared" si="125"/>
        <v>0</v>
      </c>
      <c r="L145" s="100">
        <v>109</v>
      </c>
      <c r="M145" s="7">
        <f t="shared" si="126"/>
        <v>545</v>
      </c>
      <c r="N145" s="100">
        <v>38</v>
      </c>
      <c r="O145" s="7">
        <f t="shared" si="127"/>
        <v>190</v>
      </c>
      <c r="P145" s="100">
        <v>15</v>
      </c>
      <c r="Q145" s="7">
        <f t="shared" si="128"/>
        <v>202.5</v>
      </c>
      <c r="R145" s="8">
        <f t="shared" si="131"/>
        <v>0.26</v>
      </c>
      <c r="S145" s="127">
        <f t="shared" si="119"/>
        <v>120.84967320261438</v>
      </c>
      <c r="T145" s="152"/>
      <c r="U145" s="180"/>
      <c r="V145" s="180"/>
      <c r="W145" s="152"/>
      <c r="X145" s="100"/>
      <c r="Y145" s="7">
        <f t="shared" si="132"/>
        <v>0</v>
      </c>
      <c r="Z145" s="100"/>
      <c r="AA145" s="7">
        <f t="shared" si="133"/>
        <v>0</v>
      </c>
      <c r="AB145" s="2"/>
      <c r="AC145" s="2"/>
      <c r="AD145" s="2"/>
      <c r="AE145" s="2"/>
      <c r="AF145" s="2"/>
      <c r="AG145" s="1"/>
      <c r="AH145" s="1"/>
      <c r="AI145" s="1"/>
      <c r="AJ145" s="1"/>
      <c r="AK145" s="1"/>
      <c r="AL145" s="1"/>
      <c r="AM145" s="1"/>
      <c r="AN145" s="1"/>
      <c r="AO145" s="1"/>
      <c r="AP145" s="1"/>
      <c r="AQ145" s="1"/>
    </row>
    <row r="146" spans="1:43" ht="17.25" thickBot="1" x14ac:dyDescent="0.35">
      <c r="A146" s="147"/>
      <c r="B146" s="97">
        <v>43714</v>
      </c>
      <c r="C146" s="107">
        <v>25.5</v>
      </c>
      <c r="D146" s="150"/>
      <c r="E146" s="150"/>
      <c r="F146" s="100">
        <v>526</v>
      </c>
      <c r="G146" s="7">
        <f t="shared" si="129"/>
        <v>2630</v>
      </c>
      <c r="H146" s="100"/>
      <c r="I146" s="7">
        <f t="shared" si="130"/>
        <v>0</v>
      </c>
      <c r="J146" s="100"/>
      <c r="K146" s="7">
        <f t="shared" si="125"/>
        <v>0</v>
      </c>
      <c r="L146" s="100">
        <v>49</v>
      </c>
      <c r="M146" s="7">
        <f t="shared" si="126"/>
        <v>245</v>
      </c>
      <c r="N146" s="100">
        <v>19</v>
      </c>
      <c r="O146" s="7">
        <f t="shared" si="127"/>
        <v>95</v>
      </c>
      <c r="P146" s="100">
        <v>9</v>
      </c>
      <c r="Q146" s="7">
        <f t="shared" si="128"/>
        <v>121.5</v>
      </c>
      <c r="R146" s="8">
        <f t="shared" si="131"/>
        <v>0.17470588235294118</v>
      </c>
      <c r="S146" s="127">
        <f t="shared" si="119"/>
        <v>121.23529411764706</v>
      </c>
      <c r="T146" s="152"/>
      <c r="U146" s="180"/>
      <c r="V146" s="180"/>
      <c r="W146" s="152"/>
      <c r="X146" s="100">
        <v>2</v>
      </c>
      <c r="Y146" s="7">
        <f t="shared" si="132"/>
        <v>10</v>
      </c>
      <c r="Z146" s="100">
        <v>2.5</v>
      </c>
      <c r="AA146" s="7">
        <f t="shared" si="133"/>
        <v>12.5</v>
      </c>
      <c r="AB146" s="2"/>
      <c r="AC146" s="2"/>
      <c r="AD146" s="2"/>
      <c r="AE146" s="2"/>
      <c r="AF146" s="2"/>
      <c r="AG146" s="1"/>
      <c r="AH146" s="1"/>
      <c r="AI146" s="1"/>
      <c r="AJ146" s="1"/>
      <c r="AK146" s="1"/>
      <c r="AL146" s="1"/>
      <c r="AM146" s="1"/>
      <c r="AN146" s="1"/>
      <c r="AO146" s="1"/>
      <c r="AP146" s="1"/>
      <c r="AQ146" s="1"/>
    </row>
    <row r="147" spans="1:43" ht="17.25" thickBot="1" x14ac:dyDescent="0.35">
      <c r="A147" s="147"/>
      <c r="B147" s="98"/>
      <c r="C147" s="108"/>
      <c r="D147" s="151"/>
      <c r="E147" s="151"/>
      <c r="F147" s="101"/>
      <c r="G147" s="7">
        <f t="shared" si="129"/>
        <v>0</v>
      </c>
      <c r="H147" s="101"/>
      <c r="I147" s="7">
        <f t="shared" si="130"/>
        <v>0</v>
      </c>
      <c r="J147" s="101"/>
      <c r="K147" s="7">
        <f t="shared" si="125"/>
        <v>0</v>
      </c>
      <c r="L147" s="101"/>
      <c r="M147" s="7">
        <f t="shared" si="126"/>
        <v>0</v>
      </c>
      <c r="N147" s="101"/>
      <c r="O147" s="7">
        <f t="shared" si="127"/>
        <v>0</v>
      </c>
      <c r="P147" s="101"/>
      <c r="Q147" s="7">
        <f t="shared" si="128"/>
        <v>0</v>
      </c>
      <c r="R147" s="8">
        <f t="shared" si="131"/>
        <v>0</v>
      </c>
      <c r="S147" s="128" t="str">
        <f t="shared" si="119"/>
        <v/>
      </c>
      <c r="T147" s="152"/>
      <c r="U147" s="181"/>
      <c r="V147" s="181"/>
      <c r="W147" s="152"/>
      <c r="X147" s="101"/>
      <c r="Y147" s="7">
        <f t="shared" si="132"/>
        <v>0</v>
      </c>
      <c r="Z147" s="101"/>
      <c r="AA147" s="7">
        <f t="shared" si="133"/>
        <v>0</v>
      </c>
      <c r="AB147" s="2"/>
      <c r="AC147" s="2"/>
      <c r="AD147" s="2"/>
      <c r="AE147" s="2"/>
      <c r="AF147" s="2"/>
      <c r="AG147" s="1"/>
      <c r="AH147" s="1"/>
      <c r="AI147" s="1"/>
      <c r="AJ147" s="1"/>
      <c r="AK147" s="1"/>
      <c r="AL147" s="1"/>
      <c r="AM147" s="1"/>
      <c r="AN147" s="1"/>
      <c r="AO147" s="1"/>
      <c r="AP147" s="1"/>
      <c r="AQ147" s="1"/>
    </row>
    <row r="148" spans="1:43" ht="17.25" thickBot="1" x14ac:dyDescent="0.35">
      <c r="A148" s="146">
        <v>37</v>
      </c>
      <c r="B148" s="105">
        <v>43717</v>
      </c>
      <c r="C148" s="106">
        <v>45</v>
      </c>
      <c r="D148" s="149">
        <f t="shared" ref="D148" si="138">SUM(G148:G153,I148:I153,K148:K153)</f>
        <v>21200</v>
      </c>
      <c r="E148" s="149">
        <f t="shared" ref="E148" si="139">SUM(G148:G153,I148:I153,M148:M153,O148:O153,Q148:Q153,K148:K153)</f>
        <v>24560.5</v>
      </c>
      <c r="F148" s="99">
        <v>1009</v>
      </c>
      <c r="G148" s="40">
        <f t="shared" si="129"/>
        <v>5045</v>
      </c>
      <c r="H148" s="99"/>
      <c r="I148" s="40">
        <f t="shared" si="130"/>
        <v>0</v>
      </c>
      <c r="J148" s="99"/>
      <c r="K148" s="40">
        <f t="shared" si="125"/>
        <v>0</v>
      </c>
      <c r="L148" s="99">
        <v>79</v>
      </c>
      <c r="M148" s="40">
        <f t="shared" si="126"/>
        <v>395</v>
      </c>
      <c r="N148" s="99">
        <v>36</v>
      </c>
      <c r="O148" s="40">
        <f t="shared" si="127"/>
        <v>180</v>
      </c>
      <c r="P148" s="99">
        <v>9</v>
      </c>
      <c r="Q148" s="40">
        <f t="shared" si="128"/>
        <v>121.5</v>
      </c>
      <c r="R148" s="34">
        <f t="shared" si="131"/>
        <v>0.33058823529411763</v>
      </c>
      <c r="S148" s="126">
        <f t="shared" si="119"/>
        <v>127.58888888888889</v>
      </c>
      <c r="T148" s="152">
        <f t="shared" ref="T148" si="140">AVERAGE(S148:S153)</f>
        <v>121.60629396157026</v>
      </c>
      <c r="U148" s="179">
        <f t="shared" ref="U148" si="141">(SUM(G148:G153)+SUM(I148:I153))/$F$1</f>
        <v>1.2470588235294118</v>
      </c>
      <c r="V148" s="179">
        <f t="shared" ref="V148" si="142">SUM(R148:R153)</f>
        <v>1.4026470588235294</v>
      </c>
      <c r="W148" s="152">
        <v>1.078235294117647</v>
      </c>
      <c r="X148" s="99"/>
      <c r="Y148" s="40">
        <f t="shared" si="132"/>
        <v>0</v>
      </c>
      <c r="Z148" s="99"/>
      <c r="AA148" s="40">
        <f t="shared" si="133"/>
        <v>0</v>
      </c>
      <c r="AB148" s="2"/>
      <c r="AC148" s="2"/>
      <c r="AD148" s="2"/>
      <c r="AE148" s="2"/>
      <c r="AF148" s="2"/>
      <c r="AG148" s="1"/>
      <c r="AH148" s="1"/>
      <c r="AI148" s="1"/>
      <c r="AJ148" s="1"/>
      <c r="AK148" s="1"/>
      <c r="AL148" s="1"/>
      <c r="AM148" s="1"/>
      <c r="AN148" s="1"/>
      <c r="AO148" s="1"/>
      <c r="AP148" s="1"/>
      <c r="AQ148" s="1"/>
    </row>
    <row r="149" spans="1:43" ht="17.25" thickBot="1" x14ac:dyDescent="0.35">
      <c r="A149" s="147"/>
      <c r="B149" s="97">
        <v>43718</v>
      </c>
      <c r="C149" s="107">
        <v>41</v>
      </c>
      <c r="D149" s="150"/>
      <c r="E149" s="150"/>
      <c r="F149" s="100">
        <v>878</v>
      </c>
      <c r="G149" s="7">
        <f t="shared" si="129"/>
        <v>4390</v>
      </c>
      <c r="H149" s="100"/>
      <c r="I149" s="7">
        <f t="shared" si="130"/>
        <v>0</v>
      </c>
      <c r="J149" s="100"/>
      <c r="K149" s="7">
        <f t="shared" si="125"/>
        <v>0</v>
      </c>
      <c r="L149" s="100">
        <v>67</v>
      </c>
      <c r="M149" s="7">
        <f t="shared" si="126"/>
        <v>335</v>
      </c>
      <c r="N149" s="100">
        <v>37</v>
      </c>
      <c r="O149" s="7">
        <f t="shared" si="127"/>
        <v>185</v>
      </c>
      <c r="P149" s="100">
        <v>8</v>
      </c>
      <c r="Q149" s="7">
        <f t="shared" si="128"/>
        <v>108</v>
      </c>
      <c r="R149" s="8">
        <f t="shared" si="131"/>
        <v>0.2888235294117647</v>
      </c>
      <c r="S149" s="127">
        <f t="shared" si="119"/>
        <v>122.39024390243902</v>
      </c>
      <c r="T149" s="152"/>
      <c r="U149" s="180"/>
      <c r="V149" s="180"/>
      <c r="W149" s="152"/>
      <c r="X149" s="100"/>
      <c r="Y149" s="7">
        <f t="shared" si="132"/>
        <v>0</v>
      </c>
      <c r="Z149" s="100"/>
      <c r="AA149" s="7">
        <f t="shared" si="133"/>
        <v>0</v>
      </c>
      <c r="AB149" s="2"/>
      <c r="AC149" s="2"/>
      <c r="AD149" s="2"/>
      <c r="AE149" s="2"/>
      <c r="AF149" s="2"/>
      <c r="AG149" s="1"/>
      <c r="AH149" s="1"/>
      <c r="AI149" s="1"/>
      <c r="AJ149" s="1"/>
      <c r="AK149" s="1"/>
      <c r="AL149" s="1"/>
      <c r="AM149" s="1"/>
      <c r="AN149" s="1"/>
      <c r="AO149" s="1"/>
      <c r="AP149" s="1"/>
      <c r="AQ149" s="1"/>
    </row>
    <row r="150" spans="1:43" ht="17.25" thickBot="1" x14ac:dyDescent="0.35">
      <c r="A150" s="147"/>
      <c r="B150" s="97">
        <v>43719</v>
      </c>
      <c r="C150" s="107">
        <v>38</v>
      </c>
      <c r="D150" s="150"/>
      <c r="E150" s="150"/>
      <c r="F150" s="100">
        <v>787</v>
      </c>
      <c r="G150" s="7">
        <f t="shared" si="129"/>
        <v>3935</v>
      </c>
      <c r="H150" s="100"/>
      <c r="I150" s="7">
        <f t="shared" si="130"/>
        <v>0</v>
      </c>
      <c r="J150" s="100"/>
      <c r="K150" s="7">
        <f t="shared" si="125"/>
        <v>0</v>
      </c>
      <c r="L150" s="100">
        <v>53</v>
      </c>
      <c r="M150" s="7">
        <f t="shared" si="126"/>
        <v>265</v>
      </c>
      <c r="N150" s="100">
        <v>39</v>
      </c>
      <c r="O150" s="7">
        <f t="shared" si="127"/>
        <v>195</v>
      </c>
      <c r="P150" s="100">
        <v>9</v>
      </c>
      <c r="Q150" s="7">
        <f t="shared" si="128"/>
        <v>121.5</v>
      </c>
      <c r="R150" s="8">
        <f t="shared" si="131"/>
        <v>0.2585294117647059</v>
      </c>
      <c r="S150" s="127">
        <f t="shared" si="119"/>
        <v>118.85526315789474</v>
      </c>
      <c r="T150" s="152"/>
      <c r="U150" s="180"/>
      <c r="V150" s="180"/>
      <c r="W150" s="152"/>
      <c r="X150" s="100"/>
      <c r="Y150" s="7">
        <f t="shared" si="132"/>
        <v>0</v>
      </c>
      <c r="Z150" s="100"/>
      <c r="AA150" s="7">
        <f t="shared" si="133"/>
        <v>0</v>
      </c>
      <c r="AB150" s="2"/>
      <c r="AC150" s="2"/>
      <c r="AD150" s="2"/>
      <c r="AE150" s="2"/>
      <c r="AF150" s="2"/>
      <c r="AG150" s="1"/>
      <c r="AH150" s="1"/>
      <c r="AI150" s="1"/>
      <c r="AJ150" s="1"/>
      <c r="AK150" s="1"/>
      <c r="AL150" s="1"/>
      <c r="AM150" s="1"/>
      <c r="AN150" s="1"/>
      <c r="AO150" s="1"/>
      <c r="AP150" s="1"/>
      <c r="AQ150" s="1"/>
    </row>
    <row r="151" spans="1:43" ht="17.25" thickBot="1" x14ac:dyDescent="0.35">
      <c r="A151" s="147"/>
      <c r="B151" s="97">
        <v>43720</v>
      </c>
      <c r="C151" s="107">
        <v>46.5</v>
      </c>
      <c r="D151" s="150"/>
      <c r="E151" s="150"/>
      <c r="F151" s="100">
        <v>995</v>
      </c>
      <c r="G151" s="7">
        <f t="shared" si="129"/>
        <v>4975</v>
      </c>
      <c r="H151" s="100"/>
      <c r="I151" s="7">
        <f t="shared" si="130"/>
        <v>0</v>
      </c>
      <c r="J151" s="100"/>
      <c r="K151" s="7">
        <f t="shared" si="125"/>
        <v>0</v>
      </c>
      <c r="L151" s="100">
        <v>76</v>
      </c>
      <c r="M151" s="7">
        <f t="shared" si="126"/>
        <v>380</v>
      </c>
      <c r="N151" s="100">
        <v>50</v>
      </c>
      <c r="O151" s="7">
        <f t="shared" si="127"/>
        <v>250</v>
      </c>
      <c r="P151" s="100">
        <v>13</v>
      </c>
      <c r="Q151" s="7">
        <f t="shared" si="128"/>
        <v>175.5</v>
      </c>
      <c r="R151" s="8">
        <f t="shared" si="131"/>
        <v>0.32970588235294118</v>
      </c>
      <c r="S151" s="127">
        <f t="shared" si="119"/>
        <v>124.31182795698925</v>
      </c>
      <c r="T151" s="152"/>
      <c r="U151" s="180"/>
      <c r="V151" s="180"/>
      <c r="W151" s="152"/>
      <c r="X151" s="100">
        <v>2</v>
      </c>
      <c r="Y151" s="7">
        <f t="shared" si="132"/>
        <v>10</v>
      </c>
      <c r="Z151" s="100">
        <v>2</v>
      </c>
      <c r="AA151" s="7">
        <f t="shared" si="133"/>
        <v>10</v>
      </c>
      <c r="AB151" s="2"/>
      <c r="AC151" s="2"/>
      <c r="AD151" s="2"/>
      <c r="AE151" s="2"/>
      <c r="AF151" s="2"/>
      <c r="AG151" s="1"/>
      <c r="AH151" s="1"/>
      <c r="AI151" s="1"/>
      <c r="AJ151" s="1"/>
      <c r="AK151" s="1"/>
      <c r="AL151" s="1"/>
      <c r="AM151" s="1"/>
      <c r="AN151" s="1"/>
      <c r="AO151" s="1"/>
      <c r="AP151" s="1"/>
      <c r="AQ151" s="1"/>
    </row>
    <row r="152" spans="1:43" ht="17.25" thickBot="1" x14ac:dyDescent="0.35">
      <c r="A152" s="147"/>
      <c r="B152" s="97">
        <v>43721</v>
      </c>
      <c r="C152" s="107">
        <v>30.5</v>
      </c>
      <c r="D152" s="150"/>
      <c r="E152" s="150"/>
      <c r="F152" s="100">
        <v>571</v>
      </c>
      <c r="G152" s="7">
        <f t="shared" si="129"/>
        <v>2855</v>
      </c>
      <c r="H152" s="100"/>
      <c r="I152" s="7">
        <f t="shared" si="130"/>
        <v>0</v>
      </c>
      <c r="J152" s="100"/>
      <c r="K152" s="7">
        <f t="shared" si="125"/>
        <v>0</v>
      </c>
      <c r="L152" s="100">
        <v>54</v>
      </c>
      <c r="M152" s="7">
        <f t="shared" si="126"/>
        <v>270</v>
      </c>
      <c r="N152" s="100">
        <v>38</v>
      </c>
      <c r="O152" s="7">
        <f t="shared" si="127"/>
        <v>190</v>
      </c>
      <c r="P152" s="100">
        <v>14</v>
      </c>
      <c r="Q152" s="7">
        <f t="shared" si="128"/>
        <v>189</v>
      </c>
      <c r="R152" s="8">
        <f t="shared" si="131"/>
        <v>0.19500000000000001</v>
      </c>
      <c r="S152" s="127">
        <f t="shared" si="119"/>
        <v>114.88524590163935</v>
      </c>
      <c r="T152" s="152"/>
      <c r="U152" s="180"/>
      <c r="V152" s="180"/>
      <c r="W152" s="152"/>
      <c r="X152" s="100"/>
      <c r="Y152" s="7">
        <f t="shared" si="132"/>
        <v>0</v>
      </c>
      <c r="Z152" s="100"/>
      <c r="AA152" s="7">
        <f t="shared" si="133"/>
        <v>0</v>
      </c>
      <c r="AB152" s="2"/>
      <c r="AC152" s="2"/>
      <c r="AD152" s="2"/>
      <c r="AE152" s="2"/>
      <c r="AF152" s="2"/>
      <c r="AG152" s="1"/>
      <c r="AH152" s="1"/>
      <c r="AI152" s="1"/>
      <c r="AJ152" s="1"/>
      <c r="AK152" s="1"/>
      <c r="AL152" s="1"/>
      <c r="AM152" s="1"/>
      <c r="AN152" s="1"/>
      <c r="AO152" s="1"/>
      <c r="AP152" s="1"/>
      <c r="AQ152" s="1"/>
    </row>
    <row r="153" spans="1:43" ht="17.25" thickBot="1" x14ac:dyDescent="0.35">
      <c r="A153" s="148"/>
      <c r="B153" s="98"/>
      <c r="C153" s="108"/>
      <c r="D153" s="151"/>
      <c r="E153" s="151"/>
      <c r="F153" s="101"/>
      <c r="G153" s="39">
        <f t="shared" si="129"/>
        <v>0</v>
      </c>
      <c r="H153" s="101"/>
      <c r="I153" s="39">
        <f t="shared" si="130"/>
        <v>0</v>
      </c>
      <c r="J153" s="101"/>
      <c r="K153" s="39">
        <f t="shared" si="125"/>
        <v>0</v>
      </c>
      <c r="L153" s="101"/>
      <c r="M153" s="39">
        <f t="shared" si="126"/>
        <v>0</v>
      </c>
      <c r="N153" s="101"/>
      <c r="O153" s="39">
        <f>N153*N$3</f>
        <v>0</v>
      </c>
      <c r="P153" s="101"/>
      <c r="Q153" s="39">
        <f t="shared" si="128"/>
        <v>0</v>
      </c>
      <c r="R153" s="36">
        <f t="shared" si="131"/>
        <v>0</v>
      </c>
      <c r="S153" s="128" t="str">
        <f t="shared" si="119"/>
        <v/>
      </c>
      <c r="T153" s="152"/>
      <c r="U153" s="181"/>
      <c r="V153" s="181"/>
      <c r="W153" s="152"/>
      <c r="X153" s="101"/>
      <c r="Y153" s="39">
        <f t="shared" si="132"/>
        <v>0</v>
      </c>
      <c r="Z153" s="101"/>
      <c r="AA153" s="39">
        <f t="shared" si="133"/>
        <v>0</v>
      </c>
      <c r="AB153" s="2"/>
      <c r="AC153" s="2"/>
      <c r="AD153" s="2"/>
      <c r="AE153" s="2"/>
      <c r="AF153" s="2"/>
      <c r="AG153" s="1"/>
      <c r="AH153" s="1"/>
      <c r="AI153" s="1"/>
      <c r="AJ153" s="1"/>
      <c r="AK153" s="1"/>
      <c r="AL153" s="1"/>
      <c r="AM153" s="1"/>
      <c r="AN153" s="1"/>
      <c r="AO153" s="1"/>
      <c r="AP153" s="1"/>
      <c r="AQ153" s="1"/>
    </row>
    <row r="154" spans="1:43" ht="17.25" thickBot="1" x14ac:dyDescent="0.35">
      <c r="A154" s="147">
        <v>38</v>
      </c>
      <c r="B154" s="105">
        <v>43724</v>
      </c>
      <c r="C154" s="106">
        <v>38.5</v>
      </c>
      <c r="D154" s="149">
        <f t="shared" ref="D154" si="143">SUM(G154:G159,I154:I159,K154:K159)</f>
        <v>21485</v>
      </c>
      <c r="E154" s="149">
        <f t="shared" ref="E154" si="144">SUM(G154:G159,I154:I159,M154:M159,O154:O159,Q154:Q159,K154:K159)</f>
        <v>28396</v>
      </c>
      <c r="F154" s="99">
        <v>744</v>
      </c>
      <c r="G154" s="7">
        <f t="shared" si="129"/>
        <v>3720</v>
      </c>
      <c r="H154" s="99"/>
      <c r="I154" s="7">
        <f t="shared" si="130"/>
        <v>0</v>
      </c>
      <c r="J154" s="99"/>
      <c r="K154" s="7">
        <f t="shared" si="125"/>
        <v>0</v>
      </c>
      <c r="L154" s="99">
        <v>73</v>
      </c>
      <c r="M154" s="7">
        <f t="shared" si="126"/>
        <v>365</v>
      </c>
      <c r="N154" s="99">
        <v>54</v>
      </c>
      <c r="O154" s="7">
        <f t="shared" si="127"/>
        <v>270</v>
      </c>
      <c r="P154" s="99">
        <v>27</v>
      </c>
      <c r="Q154" s="7">
        <f t="shared" si="128"/>
        <v>364.5</v>
      </c>
      <c r="R154" s="8">
        <f t="shared" si="131"/>
        <v>0.25617647058823528</v>
      </c>
      <c r="S154" s="126">
        <f t="shared" si="119"/>
        <v>122.58441558441558</v>
      </c>
      <c r="T154" s="152">
        <f t="shared" ref="T154" si="145">AVERAGE(S154:S159)</f>
        <v>114.22414806670021</v>
      </c>
      <c r="U154" s="179">
        <f t="shared" ref="U154" si="146">(SUM(G154:G159)+SUM(I154:I159))/$F$1</f>
        <v>1.2638235294117648</v>
      </c>
      <c r="V154" s="179">
        <f t="shared" ref="V154" si="147">SUM(R154:R159)</f>
        <v>1.5147058823529411</v>
      </c>
      <c r="W154" s="152">
        <v>0.94352941176470584</v>
      </c>
      <c r="X154" s="99"/>
      <c r="Y154" s="7">
        <f t="shared" si="132"/>
        <v>0</v>
      </c>
      <c r="Z154" s="99"/>
      <c r="AA154" s="7">
        <f t="shared" si="133"/>
        <v>0</v>
      </c>
      <c r="AB154" s="2"/>
      <c r="AC154" s="2"/>
      <c r="AD154" s="2"/>
      <c r="AE154" s="2"/>
      <c r="AF154" s="2"/>
      <c r="AG154" s="1"/>
      <c r="AH154" s="1"/>
      <c r="AI154" s="1"/>
      <c r="AJ154" s="1"/>
      <c r="AK154" s="1"/>
      <c r="AL154" s="1"/>
      <c r="AM154" s="1"/>
      <c r="AN154" s="1"/>
      <c r="AO154" s="1"/>
      <c r="AP154" s="1"/>
      <c r="AQ154" s="1"/>
    </row>
    <row r="155" spans="1:43" ht="17.25" thickBot="1" x14ac:dyDescent="0.35">
      <c r="A155" s="147"/>
      <c r="B155" s="97">
        <v>43725</v>
      </c>
      <c r="C155" s="107">
        <v>38</v>
      </c>
      <c r="D155" s="150"/>
      <c r="E155" s="150"/>
      <c r="F155" s="100">
        <v>648</v>
      </c>
      <c r="G155" s="7">
        <f t="shared" si="129"/>
        <v>3240</v>
      </c>
      <c r="H155" s="100"/>
      <c r="I155" s="7">
        <f t="shared" si="130"/>
        <v>0</v>
      </c>
      <c r="J155" s="100"/>
      <c r="K155" s="7">
        <f t="shared" si="125"/>
        <v>0</v>
      </c>
      <c r="L155" s="100">
        <v>97</v>
      </c>
      <c r="M155" s="7">
        <f t="shared" si="126"/>
        <v>485</v>
      </c>
      <c r="N155" s="100">
        <v>43</v>
      </c>
      <c r="O155" s="7">
        <f t="shared" si="127"/>
        <v>215</v>
      </c>
      <c r="P155" s="100">
        <v>37</v>
      </c>
      <c r="Q155" s="7">
        <f t="shared" si="128"/>
        <v>499.5</v>
      </c>
      <c r="R155" s="8">
        <f t="shared" si="131"/>
        <v>0.23176470588235293</v>
      </c>
      <c r="S155" s="127">
        <f t="shared" si="119"/>
        <v>116.82894736842105</v>
      </c>
      <c r="T155" s="152"/>
      <c r="U155" s="180"/>
      <c r="V155" s="180"/>
      <c r="W155" s="152"/>
      <c r="X155" s="100"/>
      <c r="Y155" s="7">
        <f t="shared" si="132"/>
        <v>0</v>
      </c>
      <c r="Z155" s="100"/>
      <c r="AA155" s="7">
        <f t="shared" si="133"/>
        <v>0</v>
      </c>
      <c r="AB155" s="2"/>
      <c r="AC155" s="2"/>
      <c r="AD155" s="2"/>
      <c r="AE155" s="2"/>
      <c r="AF155" s="2"/>
      <c r="AG155" s="1"/>
      <c r="AH155" s="1"/>
      <c r="AI155" s="1"/>
      <c r="AJ155" s="1"/>
      <c r="AK155" s="1"/>
      <c r="AL155" s="1"/>
      <c r="AM155" s="1"/>
      <c r="AN155" s="1"/>
      <c r="AO155" s="1"/>
      <c r="AP155" s="1"/>
      <c r="AQ155" s="1"/>
    </row>
    <row r="156" spans="1:43" ht="17.25" thickBot="1" x14ac:dyDescent="0.35">
      <c r="A156" s="147"/>
      <c r="B156" s="97">
        <v>43726</v>
      </c>
      <c r="C156" s="107">
        <v>46.5</v>
      </c>
      <c r="D156" s="150"/>
      <c r="E156" s="150"/>
      <c r="F156" s="100">
        <v>769</v>
      </c>
      <c r="G156" s="7">
        <f t="shared" si="129"/>
        <v>3845</v>
      </c>
      <c r="H156" s="100"/>
      <c r="I156" s="7">
        <f t="shared" si="130"/>
        <v>0</v>
      </c>
      <c r="J156" s="100"/>
      <c r="K156" s="7">
        <f t="shared" si="125"/>
        <v>0</v>
      </c>
      <c r="L156" s="100">
        <v>130</v>
      </c>
      <c r="M156" s="7">
        <f t="shared" si="126"/>
        <v>650</v>
      </c>
      <c r="N156" s="100">
        <v>46</v>
      </c>
      <c r="O156" s="7">
        <f t="shared" si="127"/>
        <v>230</v>
      </c>
      <c r="P156" s="100">
        <v>37</v>
      </c>
      <c r="Q156" s="7">
        <f t="shared" si="128"/>
        <v>499.5</v>
      </c>
      <c r="R156" s="8">
        <f t="shared" si="131"/>
        <v>0.27794117647058825</v>
      </c>
      <c r="S156" s="127">
        <f t="shared" si="119"/>
        <v>112.35483870967742</v>
      </c>
      <c r="T156" s="152"/>
      <c r="U156" s="180"/>
      <c r="V156" s="180"/>
      <c r="W156" s="152"/>
      <c r="X156" s="100"/>
      <c r="Y156" s="7">
        <f t="shared" si="132"/>
        <v>0</v>
      </c>
      <c r="Z156" s="100"/>
      <c r="AA156" s="7">
        <f t="shared" si="133"/>
        <v>0</v>
      </c>
      <c r="AB156" s="2"/>
      <c r="AC156" s="2"/>
      <c r="AD156" s="2"/>
      <c r="AE156" s="2"/>
      <c r="AF156" s="2"/>
      <c r="AG156" s="1"/>
      <c r="AH156" s="1"/>
      <c r="AI156" s="1"/>
      <c r="AJ156" s="1"/>
      <c r="AK156" s="1"/>
      <c r="AL156" s="1"/>
      <c r="AM156" s="1"/>
      <c r="AN156" s="1"/>
      <c r="AO156" s="1"/>
      <c r="AP156" s="1"/>
      <c r="AQ156" s="1"/>
    </row>
    <row r="157" spans="1:43" ht="17.25" thickBot="1" x14ac:dyDescent="0.35">
      <c r="A157" s="147"/>
      <c r="B157" s="97">
        <v>43727</v>
      </c>
      <c r="C157" s="107">
        <v>42.5</v>
      </c>
      <c r="D157" s="150"/>
      <c r="E157" s="150"/>
      <c r="F157" s="100">
        <v>774</v>
      </c>
      <c r="G157" s="7">
        <f t="shared" si="129"/>
        <v>3870</v>
      </c>
      <c r="H157" s="100"/>
      <c r="I157" s="7">
        <f t="shared" si="130"/>
        <v>0</v>
      </c>
      <c r="J157" s="100"/>
      <c r="K157" s="7">
        <f t="shared" si="125"/>
        <v>0</v>
      </c>
      <c r="L157" s="100">
        <v>112</v>
      </c>
      <c r="M157" s="7">
        <f t="shared" si="126"/>
        <v>560</v>
      </c>
      <c r="N157" s="100">
        <v>37</v>
      </c>
      <c r="O157" s="7">
        <f t="shared" si="127"/>
        <v>185</v>
      </c>
      <c r="P157" s="100">
        <v>34</v>
      </c>
      <c r="Q157" s="7">
        <f t="shared" si="128"/>
        <v>459</v>
      </c>
      <c r="R157" s="8">
        <f t="shared" si="131"/>
        <v>0.27147058823529413</v>
      </c>
      <c r="S157" s="127">
        <f t="shared" si="119"/>
        <v>119.38823529411765</v>
      </c>
      <c r="T157" s="152"/>
      <c r="U157" s="180"/>
      <c r="V157" s="180"/>
      <c r="W157" s="152"/>
      <c r="X157" s="100">
        <v>3.5</v>
      </c>
      <c r="Y157" s="7">
        <f t="shared" si="132"/>
        <v>17.5</v>
      </c>
      <c r="Z157" s="100">
        <v>4.5</v>
      </c>
      <c r="AA157" s="7">
        <f t="shared" si="133"/>
        <v>22.5</v>
      </c>
      <c r="AB157" s="2"/>
      <c r="AC157" s="2"/>
      <c r="AD157" s="2"/>
      <c r="AE157" s="2"/>
      <c r="AF157" s="2"/>
      <c r="AG157" s="1"/>
      <c r="AH157" s="1"/>
      <c r="AI157" s="1"/>
      <c r="AJ157" s="1"/>
      <c r="AK157" s="1"/>
      <c r="AL157" s="1"/>
      <c r="AM157" s="1"/>
      <c r="AN157" s="1"/>
      <c r="AO157" s="1"/>
      <c r="AP157" s="1"/>
      <c r="AQ157" s="1"/>
    </row>
    <row r="158" spans="1:43" ht="17.25" thickBot="1" x14ac:dyDescent="0.35">
      <c r="A158" s="147"/>
      <c r="B158" s="97">
        <v>43728</v>
      </c>
      <c r="C158" s="107">
        <v>63.5</v>
      </c>
      <c r="D158" s="150"/>
      <c r="E158" s="150"/>
      <c r="F158" s="100">
        <v>1154</v>
      </c>
      <c r="G158" s="7">
        <f t="shared" si="129"/>
        <v>5770</v>
      </c>
      <c r="H158" s="100"/>
      <c r="I158" s="7">
        <f t="shared" si="130"/>
        <v>0</v>
      </c>
      <c r="J158" s="100"/>
      <c r="K158" s="7">
        <f t="shared" si="125"/>
        <v>0</v>
      </c>
      <c r="L158" s="100">
        <v>155</v>
      </c>
      <c r="M158" s="7">
        <f t="shared" si="126"/>
        <v>775</v>
      </c>
      <c r="N158" s="100">
        <v>58</v>
      </c>
      <c r="O158" s="7">
        <f t="shared" si="127"/>
        <v>290</v>
      </c>
      <c r="P158" s="100">
        <v>49</v>
      </c>
      <c r="Q158" s="7">
        <f t="shared" si="128"/>
        <v>661.5</v>
      </c>
      <c r="R158" s="8">
        <f t="shared" si="131"/>
        <v>0.40205882352941175</v>
      </c>
      <c r="S158" s="127">
        <f t="shared" si="119"/>
        <v>118.05511811023622</v>
      </c>
      <c r="T158" s="152"/>
      <c r="U158" s="180"/>
      <c r="V158" s="180"/>
      <c r="W158" s="152"/>
      <c r="X158" s="100"/>
      <c r="Y158" s="7">
        <f t="shared" si="132"/>
        <v>0</v>
      </c>
      <c r="Z158" s="100"/>
      <c r="AA158" s="7">
        <f t="shared" si="133"/>
        <v>0</v>
      </c>
      <c r="AB158" s="2"/>
      <c r="AC158" s="2"/>
      <c r="AD158" s="2"/>
      <c r="AE158" s="2"/>
      <c r="AF158" s="2"/>
      <c r="AG158" s="1"/>
      <c r="AH158" s="1"/>
      <c r="AI158" s="1"/>
      <c r="AJ158" s="1"/>
      <c r="AK158" s="1"/>
      <c r="AL158" s="1"/>
      <c r="AM158" s="1"/>
      <c r="AN158" s="1"/>
      <c r="AO158" s="1"/>
      <c r="AP158" s="1"/>
      <c r="AQ158" s="1"/>
    </row>
    <row r="159" spans="1:43" ht="17.25" thickBot="1" x14ac:dyDescent="0.35">
      <c r="A159" s="147"/>
      <c r="B159" s="98">
        <v>43729</v>
      </c>
      <c r="C159" s="108">
        <v>15</v>
      </c>
      <c r="D159" s="151"/>
      <c r="E159" s="151"/>
      <c r="F159" s="101">
        <v>208</v>
      </c>
      <c r="G159" s="7">
        <f t="shared" si="129"/>
        <v>1040</v>
      </c>
      <c r="H159" s="101"/>
      <c r="I159" s="7">
        <f t="shared" si="130"/>
        <v>0</v>
      </c>
      <c r="J159" s="101"/>
      <c r="K159" s="7">
        <f t="shared" si="125"/>
        <v>0</v>
      </c>
      <c r="L159" s="101">
        <v>33</v>
      </c>
      <c r="M159" s="7">
        <f t="shared" si="126"/>
        <v>165</v>
      </c>
      <c r="N159" s="101">
        <v>15</v>
      </c>
      <c r="O159" s="7">
        <f t="shared" si="127"/>
        <v>75</v>
      </c>
      <c r="P159" s="101">
        <v>12</v>
      </c>
      <c r="Q159" s="7">
        <f t="shared" si="128"/>
        <v>162</v>
      </c>
      <c r="R159" s="8">
        <f t="shared" si="131"/>
        <v>7.5294117647058817E-2</v>
      </c>
      <c r="S159" s="128">
        <f t="shared" si="119"/>
        <v>96.13333333333334</v>
      </c>
      <c r="T159" s="152"/>
      <c r="U159" s="181"/>
      <c r="V159" s="181"/>
      <c r="W159" s="152"/>
      <c r="X159" s="101"/>
      <c r="Y159" s="7">
        <f t="shared" si="132"/>
        <v>0</v>
      </c>
      <c r="Z159" s="101"/>
      <c r="AA159" s="7">
        <f t="shared" si="133"/>
        <v>0</v>
      </c>
      <c r="AB159" s="2"/>
      <c r="AC159" s="2"/>
      <c r="AD159" s="2"/>
      <c r="AE159" s="2"/>
      <c r="AF159" s="2"/>
      <c r="AG159" s="1"/>
      <c r="AH159" s="1"/>
      <c r="AI159" s="1"/>
      <c r="AJ159" s="1"/>
      <c r="AK159" s="1"/>
      <c r="AL159" s="1"/>
      <c r="AM159" s="1"/>
      <c r="AN159" s="1"/>
      <c r="AO159" s="1"/>
      <c r="AP159" s="1"/>
      <c r="AQ159" s="1"/>
    </row>
    <row r="160" spans="1:43" ht="17.25" thickBot="1" x14ac:dyDescent="0.35">
      <c r="A160" s="146">
        <v>39</v>
      </c>
      <c r="B160" s="105">
        <v>43731</v>
      </c>
      <c r="C160" s="106">
        <v>44.5</v>
      </c>
      <c r="D160" s="149">
        <f t="shared" ref="D160" si="148">SUM(G160:G165,I160:I165,K160:K165)</f>
        <v>21395</v>
      </c>
      <c r="E160" s="149">
        <f t="shared" ref="E160" si="149">SUM(G160:G165,I160:I165,M160:M165,O160:O165,Q160:Q165,K160:K165)</f>
        <v>27656</v>
      </c>
      <c r="F160" s="99">
        <v>845</v>
      </c>
      <c r="G160" s="40">
        <f t="shared" si="129"/>
        <v>4225</v>
      </c>
      <c r="H160" s="99"/>
      <c r="I160" s="40">
        <f t="shared" si="130"/>
        <v>0</v>
      </c>
      <c r="J160" s="99"/>
      <c r="K160" s="40">
        <f t="shared" si="125"/>
        <v>0</v>
      </c>
      <c r="L160" s="99">
        <v>78</v>
      </c>
      <c r="M160" s="40">
        <f t="shared" si="126"/>
        <v>390</v>
      </c>
      <c r="N160" s="99">
        <v>54</v>
      </c>
      <c r="O160" s="40">
        <f t="shared" si="127"/>
        <v>270</v>
      </c>
      <c r="P160" s="99">
        <v>27</v>
      </c>
      <c r="Q160" s="40">
        <f t="shared" si="128"/>
        <v>364.5</v>
      </c>
      <c r="R160" s="34">
        <f t="shared" si="131"/>
        <v>0.28735294117647059</v>
      </c>
      <c r="S160" s="126">
        <f t="shared" si="119"/>
        <v>117.96629213483146</v>
      </c>
      <c r="T160" s="152">
        <f>AVERAGE(S160:S165)</f>
        <v>107.06034992740656</v>
      </c>
      <c r="U160" s="179">
        <f t="shared" ref="U160" si="150">(SUM(G160:G165)+SUM(I160:I165))/$F$1</f>
        <v>1.2585294117647059</v>
      </c>
      <c r="V160" s="179">
        <f t="shared" ref="V160" si="151">SUM(R160:R165)</f>
        <v>1.5108823529411763</v>
      </c>
      <c r="W160" s="152">
        <v>0.90147058823529413</v>
      </c>
      <c r="X160" s="99"/>
      <c r="Y160" s="40">
        <f t="shared" si="132"/>
        <v>0</v>
      </c>
      <c r="Z160" s="99"/>
      <c r="AA160" s="40">
        <f t="shared" si="133"/>
        <v>0</v>
      </c>
      <c r="AB160" s="2"/>
      <c r="AC160" s="2"/>
      <c r="AD160" s="2"/>
      <c r="AE160" s="2"/>
      <c r="AF160" s="2"/>
      <c r="AG160" s="1"/>
      <c r="AH160" s="1"/>
      <c r="AI160" s="1"/>
      <c r="AJ160" s="1"/>
      <c r="AK160" s="1"/>
      <c r="AL160" s="1"/>
      <c r="AM160" s="1"/>
      <c r="AN160" s="1"/>
      <c r="AO160" s="1"/>
      <c r="AP160" s="1"/>
      <c r="AQ160" s="1"/>
    </row>
    <row r="161" spans="1:43" ht="17.25" thickBot="1" x14ac:dyDescent="0.35">
      <c r="A161" s="147"/>
      <c r="B161" s="97">
        <v>43732</v>
      </c>
      <c r="C161" s="107">
        <v>59.5</v>
      </c>
      <c r="D161" s="150"/>
      <c r="E161" s="150"/>
      <c r="F161" s="100">
        <v>1054</v>
      </c>
      <c r="G161" s="7">
        <f t="shared" si="129"/>
        <v>5270</v>
      </c>
      <c r="H161" s="100"/>
      <c r="I161" s="7">
        <f t="shared" si="130"/>
        <v>0</v>
      </c>
      <c r="J161" s="100"/>
      <c r="K161" s="7">
        <f t="shared" si="125"/>
        <v>0</v>
      </c>
      <c r="L161" s="100">
        <v>122</v>
      </c>
      <c r="M161" s="7">
        <f t="shared" si="126"/>
        <v>610</v>
      </c>
      <c r="N161" s="100">
        <v>70</v>
      </c>
      <c r="O161" s="7">
        <f t="shared" si="127"/>
        <v>350</v>
      </c>
      <c r="P161" s="100">
        <v>44</v>
      </c>
      <c r="Q161" s="7">
        <f t="shared" si="128"/>
        <v>594</v>
      </c>
      <c r="R161" s="8">
        <f t="shared" si="131"/>
        <v>0.3664705882352941</v>
      </c>
      <c r="S161" s="127">
        <f t="shared" si="119"/>
        <v>114.68907563025211</v>
      </c>
      <c r="T161" s="152"/>
      <c r="U161" s="180"/>
      <c r="V161" s="180"/>
      <c r="W161" s="152"/>
      <c r="X161" s="100"/>
      <c r="Y161" s="7">
        <f t="shared" si="132"/>
        <v>0</v>
      </c>
      <c r="Z161" s="100"/>
      <c r="AA161" s="7">
        <f t="shared" si="133"/>
        <v>0</v>
      </c>
      <c r="AB161" s="2"/>
      <c r="AC161" s="2"/>
      <c r="AD161" s="2"/>
      <c r="AE161" s="2"/>
      <c r="AF161" s="2"/>
      <c r="AG161" s="1"/>
      <c r="AH161" s="1"/>
      <c r="AI161" s="1"/>
      <c r="AJ161" s="1"/>
      <c r="AK161" s="1"/>
      <c r="AL161" s="1"/>
      <c r="AM161" s="1"/>
      <c r="AN161" s="1"/>
      <c r="AO161" s="1"/>
      <c r="AP161" s="1"/>
      <c r="AQ161" s="1"/>
    </row>
    <row r="162" spans="1:43" ht="17.25" thickBot="1" x14ac:dyDescent="0.35">
      <c r="A162" s="147"/>
      <c r="B162" s="97">
        <v>43733</v>
      </c>
      <c r="C162" s="107">
        <v>51</v>
      </c>
      <c r="D162" s="150"/>
      <c r="E162" s="150"/>
      <c r="F162" s="100">
        <v>903</v>
      </c>
      <c r="G162" s="7">
        <f t="shared" si="129"/>
        <v>4515</v>
      </c>
      <c r="H162" s="100"/>
      <c r="I162" s="7">
        <f t="shared" si="130"/>
        <v>0</v>
      </c>
      <c r="J162" s="100"/>
      <c r="K162" s="7">
        <f t="shared" si="125"/>
        <v>0</v>
      </c>
      <c r="L162" s="100">
        <v>88</v>
      </c>
      <c r="M162" s="7">
        <f t="shared" si="126"/>
        <v>440</v>
      </c>
      <c r="N162" s="100">
        <v>76</v>
      </c>
      <c r="O162" s="7">
        <f t="shared" si="127"/>
        <v>380</v>
      </c>
      <c r="P162" s="100">
        <v>27</v>
      </c>
      <c r="Q162" s="7">
        <f t="shared" si="128"/>
        <v>364.5</v>
      </c>
      <c r="R162" s="8">
        <f t="shared" si="131"/>
        <v>0.31382352941176472</v>
      </c>
      <c r="S162" s="127">
        <f t="shared" si="119"/>
        <v>111.75490196078431</v>
      </c>
      <c r="T162" s="152"/>
      <c r="U162" s="180"/>
      <c r="V162" s="180"/>
      <c r="W162" s="152"/>
      <c r="X162" s="100"/>
      <c r="Y162" s="7">
        <f t="shared" si="132"/>
        <v>0</v>
      </c>
      <c r="Z162" s="100"/>
      <c r="AA162" s="7">
        <f t="shared" si="133"/>
        <v>0</v>
      </c>
      <c r="AB162" s="2"/>
      <c r="AC162" s="2"/>
      <c r="AD162" s="2"/>
      <c r="AE162" s="2"/>
      <c r="AF162" s="2"/>
      <c r="AG162" s="1"/>
      <c r="AH162" s="1"/>
      <c r="AI162" s="1"/>
      <c r="AJ162" s="1"/>
      <c r="AK162" s="1"/>
      <c r="AL162" s="1"/>
      <c r="AM162" s="1"/>
      <c r="AN162" s="1"/>
      <c r="AO162" s="1"/>
      <c r="AP162" s="1"/>
      <c r="AQ162" s="1"/>
    </row>
    <row r="163" spans="1:43" ht="17.25" thickBot="1" x14ac:dyDescent="0.35">
      <c r="A163" s="147"/>
      <c r="B163" s="97">
        <v>43734</v>
      </c>
      <c r="C163" s="107">
        <v>63.5</v>
      </c>
      <c r="D163" s="150"/>
      <c r="E163" s="150"/>
      <c r="F163" s="100">
        <v>969</v>
      </c>
      <c r="G163" s="7">
        <f t="shared" si="129"/>
        <v>4845</v>
      </c>
      <c r="H163" s="100"/>
      <c r="I163" s="7">
        <f t="shared" si="130"/>
        <v>0</v>
      </c>
      <c r="J163" s="100"/>
      <c r="K163" s="7">
        <f t="shared" si="125"/>
        <v>0</v>
      </c>
      <c r="L163" s="100">
        <v>110</v>
      </c>
      <c r="M163" s="7">
        <f t="shared" si="126"/>
        <v>550</v>
      </c>
      <c r="N163" s="100">
        <v>112</v>
      </c>
      <c r="O163" s="7">
        <f t="shared" si="127"/>
        <v>560</v>
      </c>
      <c r="P163" s="100">
        <v>27</v>
      </c>
      <c r="Q163" s="7">
        <f t="shared" si="128"/>
        <v>364.5</v>
      </c>
      <c r="R163" s="8">
        <f t="shared" si="131"/>
        <v>0.35029411764705881</v>
      </c>
      <c r="S163" s="127">
        <f t="shared" si="119"/>
        <v>99.519685039370074</v>
      </c>
      <c r="T163" s="152"/>
      <c r="U163" s="180"/>
      <c r="V163" s="180"/>
      <c r="W163" s="152"/>
      <c r="X163" s="100">
        <v>3.5</v>
      </c>
      <c r="Y163" s="7">
        <f t="shared" si="132"/>
        <v>17.5</v>
      </c>
      <c r="Z163" s="100">
        <v>2</v>
      </c>
      <c r="AA163" s="7">
        <f t="shared" si="133"/>
        <v>10</v>
      </c>
      <c r="AB163" s="2"/>
      <c r="AC163" s="2"/>
      <c r="AD163" s="2"/>
      <c r="AE163" s="2"/>
      <c r="AF163" s="2"/>
      <c r="AG163" s="1"/>
      <c r="AH163" s="1"/>
      <c r="AI163" s="1"/>
      <c r="AJ163" s="1"/>
      <c r="AK163" s="1"/>
      <c r="AL163" s="1"/>
      <c r="AM163" s="1"/>
      <c r="AN163" s="1"/>
      <c r="AO163" s="1"/>
      <c r="AP163" s="1"/>
      <c r="AQ163" s="1"/>
    </row>
    <row r="164" spans="1:43" ht="17.25" thickBot="1" x14ac:dyDescent="0.35">
      <c r="A164" s="147"/>
      <c r="B164" s="97">
        <v>43735</v>
      </c>
      <c r="C164" s="107">
        <v>39</v>
      </c>
      <c r="D164" s="150"/>
      <c r="E164" s="150"/>
      <c r="F164" s="100">
        <v>508</v>
      </c>
      <c r="G164" s="7">
        <f t="shared" si="129"/>
        <v>2540</v>
      </c>
      <c r="H164" s="100"/>
      <c r="I164" s="7">
        <f t="shared" si="130"/>
        <v>0</v>
      </c>
      <c r="J164" s="100"/>
      <c r="K164" s="7">
        <f t="shared" si="125"/>
        <v>0</v>
      </c>
      <c r="L164" s="100">
        <v>76</v>
      </c>
      <c r="M164" s="7">
        <f t="shared" si="126"/>
        <v>380</v>
      </c>
      <c r="N164" s="100">
        <v>72</v>
      </c>
      <c r="O164" s="7">
        <f t="shared" si="127"/>
        <v>360</v>
      </c>
      <c r="P164" s="100">
        <v>21</v>
      </c>
      <c r="Q164" s="7">
        <f t="shared" si="128"/>
        <v>283.5</v>
      </c>
      <c r="R164" s="8">
        <f t="shared" si="131"/>
        <v>0.19294117647058823</v>
      </c>
      <c r="S164" s="127">
        <f t="shared" si="119"/>
        <v>91.371794871794876</v>
      </c>
      <c r="T164" s="152"/>
      <c r="U164" s="180"/>
      <c r="V164" s="180"/>
      <c r="W164" s="152"/>
      <c r="X164" s="100"/>
      <c r="Y164" s="7">
        <f t="shared" si="132"/>
        <v>0</v>
      </c>
      <c r="Z164" s="100"/>
      <c r="AA164" s="7">
        <f t="shared" si="133"/>
        <v>0</v>
      </c>
      <c r="AB164" s="2"/>
      <c r="AC164" s="2"/>
      <c r="AD164" s="2"/>
      <c r="AE164" s="2"/>
      <c r="AF164" s="2"/>
      <c r="AG164" s="1"/>
      <c r="AH164" s="1"/>
      <c r="AI164" s="1"/>
      <c r="AJ164" s="1"/>
      <c r="AK164" s="1"/>
      <c r="AL164" s="1"/>
      <c r="AM164" s="1"/>
      <c r="AN164" s="1"/>
      <c r="AO164" s="1"/>
      <c r="AP164" s="1"/>
      <c r="AQ164" s="1"/>
    </row>
    <row r="165" spans="1:43" ht="17.25" thickBot="1" x14ac:dyDescent="0.35">
      <c r="A165" s="148"/>
      <c r="B165" s="98"/>
      <c r="C165" s="108"/>
      <c r="D165" s="151"/>
      <c r="E165" s="151"/>
      <c r="F165" s="101"/>
      <c r="G165" s="39">
        <f t="shared" si="129"/>
        <v>0</v>
      </c>
      <c r="H165" s="101"/>
      <c r="I165" s="39">
        <f t="shared" si="130"/>
        <v>0</v>
      </c>
      <c r="J165" s="101"/>
      <c r="K165" s="39">
        <f t="shared" si="125"/>
        <v>0</v>
      </c>
      <c r="L165" s="101"/>
      <c r="M165" s="39">
        <f t="shared" si="126"/>
        <v>0</v>
      </c>
      <c r="N165" s="101"/>
      <c r="O165" s="39">
        <f t="shared" si="127"/>
        <v>0</v>
      </c>
      <c r="P165" s="101"/>
      <c r="Q165" s="39">
        <f t="shared" si="128"/>
        <v>0</v>
      </c>
      <c r="R165" s="36">
        <f t="shared" si="131"/>
        <v>0</v>
      </c>
      <c r="S165" s="128" t="str">
        <f t="shared" si="119"/>
        <v/>
      </c>
      <c r="T165" s="152"/>
      <c r="U165" s="181"/>
      <c r="V165" s="181"/>
      <c r="W165" s="152"/>
      <c r="X165" s="101"/>
      <c r="Y165" s="39">
        <f t="shared" si="132"/>
        <v>0</v>
      </c>
      <c r="Z165" s="101"/>
      <c r="AA165" s="39">
        <f t="shared" si="133"/>
        <v>0</v>
      </c>
      <c r="AB165" s="2"/>
      <c r="AC165" s="2"/>
      <c r="AD165" s="2"/>
      <c r="AE165" s="2"/>
      <c r="AF165" s="2"/>
      <c r="AG165" s="1"/>
      <c r="AH165" s="1"/>
      <c r="AI165" s="1"/>
      <c r="AJ165" s="1"/>
      <c r="AK165" s="1"/>
      <c r="AL165" s="1"/>
      <c r="AM165" s="1"/>
      <c r="AN165" s="1"/>
      <c r="AO165" s="1"/>
      <c r="AP165" s="1"/>
      <c r="AQ165" s="1"/>
    </row>
    <row r="166" spans="1:43" ht="17.25" thickBot="1" x14ac:dyDescent="0.35">
      <c r="A166" s="147">
        <v>40</v>
      </c>
      <c r="B166" s="105">
        <v>43738</v>
      </c>
      <c r="C166" s="106">
        <v>30</v>
      </c>
      <c r="D166" s="149">
        <f t="shared" ref="D166" si="152">SUM(G166:G171,I166:I171,K166:K171)</f>
        <v>14190</v>
      </c>
      <c r="E166" s="149">
        <f t="shared" ref="E166" si="153">SUM(G166:G171,I166:I171,M166:M171,O166:O171,Q166:Q171,K166:K171)</f>
        <v>17616</v>
      </c>
      <c r="F166" s="99">
        <v>469</v>
      </c>
      <c r="G166" s="7">
        <f t="shared" si="129"/>
        <v>2345</v>
      </c>
      <c r="H166" s="99"/>
      <c r="I166" s="7">
        <f t="shared" si="130"/>
        <v>0</v>
      </c>
      <c r="J166" s="99"/>
      <c r="K166" s="7">
        <f t="shared" si="125"/>
        <v>0</v>
      </c>
      <c r="L166" s="99">
        <v>55</v>
      </c>
      <c r="M166" s="7">
        <f t="shared" si="126"/>
        <v>275</v>
      </c>
      <c r="N166" s="99">
        <v>55</v>
      </c>
      <c r="O166" s="7">
        <f t="shared" si="127"/>
        <v>275</v>
      </c>
      <c r="P166" s="99">
        <v>17</v>
      </c>
      <c r="Q166" s="7">
        <f t="shared" si="128"/>
        <v>229.5</v>
      </c>
      <c r="R166" s="8">
        <f t="shared" si="131"/>
        <v>0.17029411764705882</v>
      </c>
      <c r="S166" s="126">
        <f t="shared" si="119"/>
        <v>104.15</v>
      </c>
      <c r="T166" s="152">
        <f t="shared" ref="T166" si="154">AVERAGE(S166:S171)</f>
        <v>105.2559104125138</v>
      </c>
      <c r="U166" s="179">
        <f t="shared" ref="U166" si="155">(SUM(G166:G171)+SUM(I166:I171))/$F$1</f>
        <v>0.83470588235294119</v>
      </c>
      <c r="V166" s="179">
        <f t="shared" ref="V166" si="156">SUM(R166:R171)</f>
        <v>0.98382352941176476</v>
      </c>
      <c r="W166" s="152">
        <v>0.92441176470588238</v>
      </c>
      <c r="X166" s="99"/>
      <c r="Y166" s="7">
        <f t="shared" si="132"/>
        <v>0</v>
      </c>
      <c r="Z166" s="99"/>
      <c r="AA166" s="7">
        <f t="shared" si="133"/>
        <v>0</v>
      </c>
      <c r="AB166" s="2"/>
      <c r="AC166" s="2"/>
      <c r="AD166" s="2"/>
      <c r="AE166" s="2"/>
      <c r="AF166" s="2"/>
      <c r="AG166" s="1"/>
      <c r="AH166" s="1"/>
      <c r="AI166" s="1"/>
      <c r="AJ166" s="1"/>
      <c r="AK166" s="1"/>
      <c r="AL166" s="1"/>
      <c r="AM166" s="1"/>
      <c r="AN166" s="1"/>
      <c r="AO166" s="1"/>
      <c r="AP166" s="1"/>
      <c r="AQ166" s="1"/>
    </row>
    <row r="167" spans="1:43" ht="17.25" thickBot="1" x14ac:dyDescent="0.35">
      <c r="A167" s="147"/>
      <c r="B167" s="97">
        <v>43739</v>
      </c>
      <c r="C167" s="107">
        <v>25.5</v>
      </c>
      <c r="D167" s="150"/>
      <c r="E167" s="150"/>
      <c r="F167" s="100">
        <v>450</v>
      </c>
      <c r="G167" s="7">
        <f t="shared" si="129"/>
        <v>2250</v>
      </c>
      <c r="H167" s="100"/>
      <c r="I167" s="7">
        <f t="shared" si="130"/>
        <v>0</v>
      </c>
      <c r="J167" s="100"/>
      <c r="K167" s="7">
        <f t="shared" si="125"/>
        <v>0</v>
      </c>
      <c r="L167" s="100">
        <v>33</v>
      </c>
      <c r="M167" s="7">
        <f t="shared" si="126"/>
        <v>165</v>
      </c>
      <c r="N167" s="100">
        <v>39</v>
      </c>
      <c r="O167" s="7">
        <f t="shared" si="127"/>
        <v>195</v>
      </c>
      <c r="P167" s="100">
        <v>11</v>
      </c>
      <c r="Q167" s="7">
        <f t="shared" si="128"/>
        <v>148.5</v>
      </c>
      <c r="R167" s="8">
        <f t="shared" si="131"/>
        <v>0.15352941176470589</v>
      </c>
      <c r="S167" s="127">
        <f t="shared" si="119"/>
        <v>108.17647058823529</v>
      </c>
      <c r="T167" s="152"/>
      <c r="U167" s="180"/>
      <c r="V167" s="180"/>
      <c r="W167" s="152"/>
      <c r="X167" s="100"/>
      <c r="Y167" s="7">
        <f t="shared" si="132"/>
        <v>0</v>
      </c>
      <c r="Z167" s="100"/>
      <c r="AA167" s="7">
        <f t="shared" si="133"/>
        <v>0</v>
      </c>
      <c r="AB167" s="2"/>
      <c r="AC167" s="2"/>
      <c r="AD167" s="2"/>
      <c r="AE167" s="2"/>
      <c r="AF167" s="2"/>
      <c r="AG167" s="1"/>
      <c r="AH167" s="1"/>
      <c r="AI167" s="1"/>
      <c r="AJ167" s="1"/>
      <c r="AK167" s="1"/>
      <c r="AL167" s="1"/>
      <c r="AM167" s="1"/>
      <c r="AN167" s="1"/>
      <c r="AO167" s="1"/>
      <c r="AP167" s="1"/>
      <c r="AQ167" s="1"/>
    </row>
    <row r="168" spans="1:43" ht="17.25" thickBot="1" x14ac:dyDescent="0.35">
      <c r="A168" s="147"/>
      <c r="B168" s="97">
        <v>43740</v>
      </c>
      <c r="C168" s="107">
        <v>28.25</v>
      </c>
      <c r="D168" s="150"/>
      <c r="E168" s="150"/>
      <c r="F168" s="100">
        <v>487</v>
      </c>
      <c r="G168" s="7">
        <f t="shared" si="129"/>
        <v>2435</v>
      </c>
      <c r="H168" s="100"/>
      <c r="I168" s="7">
        <f t="shared" si="130"/>
        <v>0</v>
      </c>
      <c r="J168" s="100"/>
      <c r="K168" s="7">
        <f t="shared" si="125"/>
        <v>0</v>
      </c>
      <c r="L168" s="100">
        <v>41</v>
      </c>
      <c r="M168" s="7">
        <f t="shared" si="126"/>
        <v>205</v>
      </c>
      <c r="N168" s="100">
        <v>27</v>
      </c>
      <c r="O168" s="7">
        <f t="shared" si="127"/>
        <v>135</v>
      </c>
      <c r="P168" s="100">
        <v>11</v>
      </c>
      <c r="Q168" s="7">
        <f t="shared" si="128"/>
        <v>148.5</v>
      </c>
      <c r="R168" s="8">
        <f t="shared" si="131"/>
        <v>0.16323529411764706</v>
      </c>
      <c r="S168" s="127">
        <f t="shared" si="119"/>
        <v>103.48672566371681</v>
      </c>
      <c r="T168" s="152"/>
      <c r="U168" s="180"/>
      <c r="V168" s="180"/>
      <c r="W168" s="152"/>
      <c r="X168" s="100"/>
      <c r="Y168" s="7">
        <f t="shared" si="132"/>
        <v>0</v>
      </c>
      <c r="Z168" s="100"/>
      <c r="AA168" s="7">
        <f t="shared" si="133"/>
        <v>0</v>
      </c>
      <c r="AB168" s="2"/>
      <c r="AC168" s="2"/>
      <c r="AD168" s="2"/>
      <c r="AE168" s="2"/>
      <c r="AF168" s="2"/>
      <c r="AG168" s="1"/>
      <c r="AH168" s="1"/>
      <c r="AI168" s="1"/>
      <c r="AJ168" s="1"/>
      <c r="AK168" s="1"/>
      <c r="AL168" s="1"/>
      <c r="AM168" s="1"/>
      <c r="AN168" s="1"/>
      <c r="AO168" s="1"/>
      <c r="AP168" s="1"/>
      <c r="AQ168" s="1"/>
    </row>
    <row r="169" spans="1:43" ht="17.25" thickBot="1" x14ac:dyDescent="0.35">
      <c r="A169" s="147"/>
      <c r="B169" s="97">
        <v>43741</v>
      </c>
      <c r="C169" s="107">
        <v>34</v>
      </c>
      <c r="D169" s="150"/>
      <c r="E169" s="150"/>
      <c r="F169" s="100">
        <v>630</v>
      </c>
      <c r="G169" s="7">
        <f t="shared" si="129"/>
        <v>3150</v>
      </c>
      <c r="H169" s="100"/>
      <c r="I169" s="7">
        <f t="shared" si="130"/>
        <v>0</v>
      </c>
      <c r="J169" s="100"/>
      <c r="K169" s="7">
        <f t="shared" si="125"/>
        <v>0</v>
      </c>
      <c r="L169" s="100">
        <v>97</v>
      </c>
      <c r="M169" s="7">
        <f t="shared" si="126"/>
        <v>485</v>
      </c>
      <c r="N169" s="100">
        <v>28</v>
      </c>
      <c r="O169" s="7">
        <f t="shared" si="127"/>
        <v>140</v>
      </c>
      <c r="P169" s="100">
        <v>9</v>
      </c>
      <c r="Q169" s="7">
        <f t="shared" si="128"/>
        <v>121.5</v>
      </c>
      <c r="R169" s="8">
        <f t="shared" si="131"/>
        <v>0.22205882352941175</v>
      </c>
      <c r="S169" s="127">
        <f t="shared" si="119"/>
        <v>114.60294117647059</v>
      </c>
      <c r="T169" s="152"/>
      <c r="U169" s="180"/>
      <c r="V169" s="180"/>
      <c r="W169" s="152"/>
      <c r="X169" s="100">
        <v>2</v>
      </c>
      <c r="Y169" s="7">
        <f t="shared" si="132"/>
        <v>10</v>
      </c>
      <c r="Z169" s="100">
        <v>2.5</v>
      </c>
      <c r="AA169" s="7">
        <f t="shared" si="133"/>
        <v>12.5</v>
      </c>
      <c r="AB169" s="2"/>
      <c r="AC169" s="2"/>
      <c r="AD169" s="2"/>
      <c r="AE169" s="2"/>
      <c r="AF169" s="2"/>
      <c r="AG169" s="1"/>
      <c r="AH169" s="1"/>
      <c r="AI169" s="1"/>
      <c r="AJ169" s="1"/>
      <c r="AK169" s="1"/>
      <c r="AL169" s="1"/>
      <c r="AM169" s="1"/>
      <c r="AN169" s="1"/>
      <c r="AO169" s="1"/>
      <c r="AP169" s="1"/>
      <c r="AQ169" s="1"/>
    </row>
    <row r="170" spans="1:43" ht="17.25" thickBot="1" x14ac:dyDescent="0.35">
      <c r="A170" s="147"/>
      <c r="B170" s="97">
        <v>43742</v>
      </c>
      <c r="C170" s="107">
        <v>51.25</v>
      </c>
      <c r="D170" s="150"/>
      <c r="E170" s="150"/>
      <c r="F170" s="100">
        <v>802</v>
      </c>
      <c r="G170" s="7">
        <f t="shared" si="129"/>
        <v>4010</v>
      </c>
      <c r="H170" s="100"/>
      <c r="I170" s="7">
        <f t="shared" si="130"/>
        <v>0</v>
      </c>
      <c r="J170" s="100"/>
      <c r="K170" s="7">
        <f t="shared" si="125"/>
        <v>0</v>
      </c>
      <c r="L170" s="100">
        <v>98</v>
      </c>
      <c r="M170" s="7">
        <f t="shared" si="126"/>
        <v>490</v>
      </c>
      <c r="N170" s="100">
        <v>34</v>
      </c>
      <c r="O170" s="7">
        <f t="shared" si="127"/>
        <v>170</v>
      </c>
      <c r="P170" s="100">
        <v>18</v>
      </c>
      <c r="Q170" s="7">
        <f t="shared" si="128"/>
        <v>243</v>
      </c>
      <c r="R170" s="8">
        <f t="shared" si="131"/>
        <v>0.27470588235294119</v>
      </c>
      <c r="S170" s="127">
        <f t="shared" si="119"/>
        <v>95.863414634146338</v>
      </c>
      <c r="T170" s="152"/>
      <c r="U170" s="180"/>
      <c r="V170" s="180"/>
      <c r="W170" s="152"/>
      <c r="X170" s="100"/>
      <c r="Y170" s="7">
        <f t="shared" si="132"/>
        <v>0</v>
      </c>
      <c r="Z170" s="100"/>
      <c r="AA170" s="7">
        <f t="shared" si="133"/>
        <v>0</v>
      </c>
      <c r="AB170" s="2"/>
      <c r="AC170" s="2"/>
      <c r="AD170" s="2"/>
      <c r="AE170" s="2"/>
      <c r="AF170" s="2"/>
      <c r="AG170" s="1"/>
      <c r="AH170" s="1"/>
      <c r="AI170" s="1"/>
      <c r="AJ170" s="1"/>
      <c r="AK170" s="1"/>
      <c r="AL170" s="1"/>
      <c r="AM170" s="1"/>
      <c r="AN170" s="1"/>
      <c r="AO170" s="1"/>
      <c r="AP170" s="1"/>
      <c r="AQ170" s="1"/>
    </row>
    <row r="171" spans="1:43" ht="17.25" thickBot="1" x14ac:dyDescent="0.35">
      <c r="A171" s="147"/>
      <c r="B171" s="98"/>
      <c r="C171" s="108"/>
      <c r="D171" s="151"/>
      <c r="E171" s="151"/>
      <c r="F171" s="101"/>
      <c r="G171" s="7">
        <f t="shared" si="129"/>
        <v>0</v>
      </c>
      <c r="H171" s="101"/>
      <c r="I171" s="7">
        <f t="shared" si="130"/>
        <v>0</v>
      </c>
      <c r="J171" s="101"/>
      <c r="K171" s="7">
        <f t="shared" si="125"/>
        <v>0</v>
      </c>
      <c r="L171" s="101"/>
      <c r="M171" s="7">
        <f t="shared" si="126"/>
        <v>0</v>
      </c>
      <c r="N171" s="101"/>
      <c r="O171" s="7">
        <f t="shared" si="127"/>
        <v>0</v>
      </c>
      <c r="P171" s="101"/>
      <c r="Q171" s="7">
        <f t="shared" si="128"/>
        <v>0</v>
      </c>
      <c r="R171" s="8">
        <f t="shared" si="131"/>
        <v>0</v>
      </c>
      <c r="S171" s="128" t="str">
        <f t="shared" si="119"/>
        <v/>
      </c>
      <c r="T171" s="152"/>
      <c r="U171" s="181"/>
      <c r="V171" s="181"/>
      <c r="W171" s="152"/>
      <c r="X171" s="101"/>
      <c r="Y171" s="7">
        <f t="shared" si="132"/>
        <v>0</v>
      </c>
      <c r="Z171" s="101"/>
      <c r="AA171" s="7">
        <f t="shared" si="133"/>
        <v>0</v>
      </c>
      <c r="AB171" s="2"/>
      <c r="AC171" s="2"/>
      <c r="AD171" s="2"/>
      <c r="AE171" s="2"/>
      <c r="AF171" s="2"/>
      <c r="AG171" s="1"/>
      <c r="AH171" s="1"/>
      <c r="AI171" s="1"/>
      <c r="AJ171" s="1"/>
      <c r="AK171" s="1"/>
      <c r="AL171" s="1"/>
      <c r="AM171" s="1"/>
      <c r="AN171" s="1"/>
      <c r="AO171" s="1"/>
      <c r="AP171" s="1"/>
      <c r="AQ171" s="1"/>
    </row>
    <row r="172" spans="1:43" ht="17.25" thickBot="1" x14ac:dyDescent="0.35">
      <c r="A172" s="146">
        <v>41</v>
      </c>
      <c r="B172" s="105">
        <v>43745</v>
      </c>
      <c r="C172" s="106">
        <v>50.5</v>
      </c>
      <c r="D172" s="149">
        <f t="shared" ref="D172" si="157">SUM(G172:G177,I172:I177,K172:K177)</f>
        <v>21615</v>
      </c>
      <c r="E172" s="149">
        <f t="shared" ref="E172" si="158">SUM(G172:G177,I172:I177,M172:M177,O172:O177,Q172:Q177,K172:K177)</f>
        <v>24983.5</v>
      </c>
      <c r="F172" s="99">
        <v>982</v>
      </c>
      <c r="G172" s="40">
        <f t="shared" si="129"/>
        <v>4910</v>
      </c>
      <c r="H172" s="99"/>
      <c r="I172" s="40">
        <f t="shared" si="130"/>
        <v>0</v>
      </c>
      <c r="J172" s="99"/>
      <c r="K172" s="40">
        <f t="shared" si="125"/>
        <v>0</v>
      </c>
      <c r="L172" s="99">
        <v>72</v>
      </c>
      <c r="M172" s="40">
        <f t="shared" si="126"/>
        <v>360</v>
      </c>
      <c r="N172" s="99">
        <v>42</v>
      </c>
      <c r="O172" s="40">
        <f t="shared" si="127"/>
        <v>210</v>
      </c>
      <c r="P172" s="99">
        <v>18</v>
      </c>
      <c r="Q172" s="40">
        <f t="shared" si="128"/>
        <v>243</v>
      </c>
      <c r="R172" s="34">
        <f t="shared" si="131"/>
        <v>0.32235294117647056</v>
      </c>
      <c r="S172" s="126">
        <f t="shared" si="119"/>
        <v>113.32673267326733</v>
      </c>
      <c r="T172" s="152">
        <f>AVERAGE(S172:S177)</f>
        <v>115.61558462989156</v>
      </c>
      <c r="U172" s="179">
        <f t="shared" ref="U172" si="159">(SUM(G172:G177)+SUM(I172:I177))/$F$1</f>
        <v>1.2714705882352941</v>
      </c>
      <c r="V172" s="179">
        <f t="shared" ref="V172" si="160">SUM(R172:R177)</f>
        <v>1.381470588235294</v>
      </c>
      <c r="W172" s="152">
        <v>0.61941176470588233</v>
      </c>
      <c r="X172" s="99"/>
      <c r="Y172" s="40">
        <f t="shared" si="132"/>
        <v>0</v>
      </c>
      <c r="Z172" s="99"/>
      <c r="AA172" s="40">
        <f t="shared" si="133"/>
        <v>0</v>
      </c>
      <c r="AB172" s="2"/>
      <c r="AC172" s="2"/>
      <c r="AD172" s="2"/>
      <c r="AE172" s="2"/>
      <c r="AF172" s="2"/>
      <c r="AG172" s="1"/>
      <c r="AH172" s="1"/>
      <c r="AI172" s="1"/>
      <c r="AJ172" s="1"/>
      <c r="AK172" s="1"/>
      <c r="AL172" s="1"/>
      <c r="AM172" s="1"/>
      <c r="AN172" s="1"/>
      <c r="AO172" s="1"/>
      <c r="AP172" s="1"/>
      <c r="AQ172" s="1"/>
    </row>
    <row r="173" spans="1:43" ht="17.25" thickBot="1" x14ac:dyDescent="0.35">
      <c r="A173" s="147"/>
      <c r="B173" s="97">
        <v>43746</v>
      </c>
      <c r="C173" s="107">
        <v>57</v>
      </c>
      <c r="D173" s="150"/>
      <c r="E173" s="150"/>
      <c r="F173" s="100">
        <v>1176</v>
      </c>
      <c r="G173" s="7">
        <f t="shared" si="129"/>
        <v>5880</v>
      </c>
      <c r="H173" s="100"/>
      <c r="I173" s="7">
        <f t="shared" si="130"/>
        <v>0</v>
      </c>
      <c r="J173" s="100"/>
      <c r="K173" s="7">
        <f t="shared" si="125"/>
        <v>0</v>
      </c>
      <c r="L173" s="100">
        <v>70</v>
      </c>
      <c r="M173" s="7">
        <f t="shared" si="126"/>
        <v>350</v>
      </c>
      <c r="N173" s="100">
        <v>55</v>
      </c>
      <c r="O173" s="7">
        <f t="shared" si="127"/>
        <v>275</v>
      </c>
      <c r="P173" s="100">
        <v>22</v>
      </c>
      <c r="Q173" s="7">
        <f t="shared" si="128"/>
        <v>297</v>
      </c>
      <c r="R173" s="8">
        <f t="shared" si="131"/>
        <v>0.3826470588235294</v>
      </c>
      <c r="S173" s="127">
        <f t="shared" si="119"/>
        <v>119.33333333333333</v>
      </c>
      <c r="T173" s="152"/>
      <c r="U173" s="180"/>
      <c r="V173" s="180"/>
      <c r="W173" s="152"/>
      <c r="X173" s="100"/>
      <c r="Y173" s="7">
        <f t="shared" si="132"/>
        <v>0</v>
      </c>
      <c r="Z173" s="100"/>
      <c r="AA173" s="7">
        <f t="shared" si="133"/>
        <v>0</v>
      </c>
      <c r="AB173" s="2"/>
      <c r="AC173" s="2"/>
      <c r="AD173" s="2"/>
      <c r="AE173" s="2"/>
      <c r="AF173" s="2"/>
      <c r="AG173" s="1"/>
      <c r="AH173" s="1"/>
      <c r="AI173" s="1"/>
      <c r="AJ173" s="1"/>
      <c r="AK173" s="1"/>
      <c r="AL173" s="1"/>
      <c r="AM173" s="1"/>
      <c r="AN173" s="1"/>
      <c r="AO173" s="1"/>
      <c r="AP173" s="1"/>
      <c r="AQ173" s="1"/>
    </row>
    <row r="174" spans="1:43" ht="17.25" thickBot="1" x14ac:dyDescent="0.35">
      <c r="A174" s="147"/>
      <c r="B174" s="97">
        <v>43747</v>
      </c>
      <c r="C174" s="107">
        <v>45</v>
      </c>
      <c r="D174" s="150"/>
      <c r="E174" s="150"/>
      <c r="F174" s="100">
        <v>961</v>
      </c>
      <c r="G174" s="7">
        <f t="shared" si="129"/>
        <v>4805</v>
      </c>
      <c r="H174" s="100"/>
      <c r="I174" s="7">
        <f t="shared" si="130"/>
        <v>0</v>
      </c>
      <c r="J174" s="100"/>
      <c r="K174" s="7">
        <f t="shared" si="125"/>
        <v>0</v>
      </c>
      <c r="L174" s="100">
        <v>44</v>
      </c>
      <c r="M174" s="7">
        <f t="shared" si="126"/>
        <v>220</v>
      </c>
      <c r="N174" s="100">
        <v>3</v>
      </c>
      <c r="O174" s="7">
        <f t="shared" si="127"/>
        <v>15</v>
      </c>
      <c r="P174" s="100">
        <v>34</v>
      </c>
      <c r="Q174" s="7">
        <f t="shared" si="128"/>
        <v>459</v>
      </c>
      <c r="R174" s="8">
        <f t="shared" si="131"/>
        <v>0.2964705882352941</v>
      </c>
      <c r="S174" s="127">
        <f t="shared" si="119"/>
        <v>122.2</v>
      </c>
      <c r="T174" s="152"/>
      <c r="U174" s="180"/>
      <c r="V174" s="180"/>
      <c r="W174" s="152"/>
      <c r="X174" s="100"/>
      <c r="Y174" s="7">
        <f t="shared" si="132"/>
        <v>0</v>
      </c>
      <c r="Z174" s="100"/>
      <c r="AA174" s="7">
        <f t="shared" si="133"/>
        <v>0</v>
      </c>
      <c r="AB174" s="2"/>
      <c r="AC174" s="2"/>
      <c r="AD174" s="2"/>
      <c r="AE174" s="2"/>
      <c r="AF174" s="2"/>
      <c r="AG174" s="1"/>
      <c r="AH174" s="1"/>
      <c r="AI174" s="1"/>
      <c r="AJ174" s="1"/>
      <c r="AK174" s="1"/>
      <c r="AL174" s="1"/>
      <c r="AM174" s="1"/>
      <c r="AN174" s="1"/>
      <c r="AO174" s="1"/>
      <c r="AP174" s="1"/>
      <c r="AQ174" s="1"/>
    </row>
    <row r="175" spans="1:43" ht="17.25" thickBot="1" x14ac:dyDescent="0.35">
      <c r="A175" s="147"/>
      <c r="B175" s="97">
        <v>43748</v>
      </c>
      <c r="C175" s="107">
        <v>40</v>
      </c>
      <c r="D175" s="150"/>
      <c r="E175" s="150"/>
      <c r="F175" s="100">
        <v>842</v>
      </c>
      <c r="G175" s="7">
        <f t="shared" si="129"/>
        <v>4210</v>
      </c>
      <c r="H175" s="100"/>
      <c r="I175" s="7">
        <f t="shared" si="130"/>
        <v>0</v>
      </c>
      <c r="J175" s="100"/>
      <c r="K175" s="7">
        <f t="shared" si="125"/>
        <v>0</v>
      </c>
      <c r="L175" s="100">
        <v>39</v>
      </c>
      <c r="M175" s="7">
        <f t="shared" si="126"/>
        <v>195</v>
      </c>
      <c r="N175" s="100">
        <v>0</v>
      </c>
      <c r="O175" s="7">
        <f t="shared" si="127"/>
        <v>0</v>
      </c>
      <c r="P175" s="100">
        <v>28</v>
      </c>
      <c r="Q175" s="7">
        <f t="shared" si="128"/>
        <v>378</v>
      </c>
      <c r="R175" s="8">
        <f t="shared" si="131"/>
        <v>0.25911764705882351</v>
      </c>
      <c r="S175" s="127">
        <f t="shared" si="119"/>
        <v>119.575</v>
      </c>
      <c r="T175" s="152"/>
      <c r="U175" s="180"/>
      <c r="V175" s="180"/>
      <c r="W175" s="152"/>
      <c r="X175" s="100">
        <v>1.5</v>
      </c>
      <c r="Y175" s="7">
        <f t="shared" si="132"/>
        <v>7.5</v>
      </c>
      <c r="Z175" s="100">
        <v>2</v>
      </c>
      <c r="AA175" s="7">
        <f t="shared" si="133"/>
        <v>10</v>
      </c>
      <c r="AB175" s="2"/>
      <c r="AC175" s="2"/>
      <c r="AD175" s="2"/>
      <c r="AE175" s="2"/>
      <c r="AF175" s="2"/>
      <c r="AG175" s="1"/>
      <c r="AH175" s="1"/>
      <c r="AI175" s="1"/>
      <c r="AJ175" s="1"/>
      <c r="AK175" s="1"/>
      <c r="AL175" s="1"/>
      <c r="AM175" s="1"/>
      <c r="AN175" s="1"/>
      <c r="AO175" s="1"/>
      <c r="AP175" s="1"/>
      <c r="AQ175" s="1"/>
    </row>
    <row r="176" spans="1:43" ht="17.25" thickBot="1" x14ac:dyDescent="0.35">
      <c r="A176" s="147"/>
      <c r="B176" s="97">
        <v>43749</v>
      </c>
      <c r="C176" s="107">
        <v>21</v>
      </c>
      <c r="D176" s="150"/>
      <c r="E176" s="150"/>
      <c r="F176" s="100">
        <v>362</v>
      </c>
      <c r="G176" s="7">
        <f t="shared" si="129"/>
        <v>1810</v>
      </c>
      <c r="H176" s="100"/>
      <c r="I176" s="7">
        <f t="shared" si="130"/>
        <v>0</v>
      </c>
      <c r="J176" s="100"/>
      <c r="K176" s="7">
        <f t="shared" si="125"/>
        <v>0</v>
      </c>
      <c r="L176" s="100">
        <v>25</v>
      </c>
      <c r="M176" s="7">
        <f t="shared" si="126"/>
        <v>125</v>
      </c>
      <c r="N176" s="100">
        <v>24</v>
      </c>
      <c r="O176" s="7">
        <f t="shared" si="127"/>
        <v>120</v>
      </c>
      <c r="P176" s="100">
        <v>9</v>
      </c>
      <c r="Q176" s="7">
        <f t="shared" si="128"/>
        <v>121.5</v>
      </c>
      <c r="R176" s="8">
        <f t="shared" si="131"/>
        <v>0.12088235294117647</v>
      </c>
      <c r="S176" s="127">
        <f t="shared" si="119"/>
        <v>103.64285714285714</v>
      </c>
      <c r="T176" s="152"/>
      <c r="U176" s="180"/>
      <c r="V176" s="180"/>
      <c r="W176" s="152"/>
      <c r="X176" s="100"/>
      <c r="Y176" s="7">
        <f t="shared" si="132"/>
        <v>0</v>
      </c>
      <c r="Z176" s="100"/>
      <c r="AA176" s="7">
        <f t="shared" si="133"/>
        <v>0</v>
      </c>
      <c r="AB176" s="2"/>
      <c r="AC176" s="2"/>
      <c r="AD176" s="2"/>
      <c r="AE176" s="2"/>
      <c r="AF176" s="2"/>
      <c r="AG176" s="1"/>
      <c r="AH176" s="1"/>
      <c r="AI176" s="1"/>
      <c r="AJ176" s="1"/>
      <c r="AK176" s="1"/>
      <c r="AL176" s="1"/>
      <c r="AM176" s="1"/>
      <c r="AN176" s="1"/>
      <c r="AO176" s="1"/>
      <c r="AP176" s="1"/>
      <c r="AQ176" s="1"/>
    </row>
    <row r="177" spans="1:43" ht="17.25" thickBot="1" x14ac:dyDescent="0.35">
      <c r="A177" s="148"/>
      <c r="B177" s="98"/>
      <c r="C177" s="108"/>
      <c r="D177" s="151"/>
      <c r="E177" s="151"/>
      <c r="F177" s="101"/>
      <c r="G177" s="39">
        <f t="shared" si="129"/>
        <v>0</v>
      </c>
      <c r="H177" s="101"/>
      <c r="I177" s="39">
        <f t="shared" si="130"/>
        <v>0</v>
      </c>
      <c r="J177" s="101"/>
      <c r="K177" s="39">
        <f t="shared" si="125"/>
        <v>0</v>
      </c>
      <c r="L177" s="101"/>
      <c r="M177" s="39">
        <f t="shared" si="126"/>
        <v>0</v>
      </c>
      <c r="N177" s="101"/>
      <c r="O177" s="39">
        <f t="shared" si="127"/>
        <v>0</v>
      </c>
      <c r="P177" s="101"/>
      <c r="Q177" s="39">
        <f t="shared" si="128"/>
        <v>0</v>
      </c>
      <c r="R177" s="36">
        <f t="shared" si="131"/>
        <v>0</v>
      </c>
      <c r="S177" s="128" t="str">
        <f t="shared" si="119"/>
        <v/>
      </c>
      <c r="T177" s="152"/>
      <c r="U177" s="181"/>
      <c r="V177" s="181"/>
      <c r="W177" s="152"/>
      <c r="X177" s="101"/>
      <c r="Y177" s="39">
        <f t="shared" si="132"/>
        <v>0</v>
      </c>
      <c r="Z177" s="101"/>
      <c r="AA177" s="39">
        <f t="shared" si="133"/>
        <v>0</v>
      </c>
      <c r="AB177" s="2"/>
      <c r="AC177" s="2"/>
      <c r="AD177" s="2"/>
      <c r="AE177" s="2"/>
      <c r="AF177" s="2"/>
      <c r="AG177" s="1"/>
      <c r="AH177" s="1"/>
      <c r="AI177" s="1"/>
      <c r="AJ177" s="1"/>
      <c r="AK177" s="1"/>
      <c r="AL177" s="1"/>
      <c r="AM177" s="1"/>
      <c r="AN177" s="1"/>
      <c r="AO177" s="1"/>
      <c r="AP177" s="1"/>
      <c r="AQ177" s="1"/>
    </row>
    <row r="178" spans="1:43" ht="17.25" thickBot="1" x14ac:dyDescent="0.35">
      <c r="A178" s="147">
        <v>42</v>
      </c>
      <c r="B178" s="105">
        <v>43752</v>
      </c>
      <c r="C178" s="106">
        <v>29.5</v>
      </c>
      <c r="D178" s="149">
        <f t="shared" ref="D178" si="161">SUM(G178:G183,I178:I183,K178:K183)</f>
        <v>12960</v>
      </c>
      <c r="E178" s="149">
        <f t="shared" ref="E178" si="162">SUM(G178:G183,I178:I183,M178:M183,O178:O183,Q178:Q183,K178:K183)</f>
        <v>15537.5</v>
      </c>
      <c r="F178" s="99">
        <v>500</v>
      </c>
      <c r="G178" s="7">
        <f t="shared" si="129"/>
        <v>2500</v>
      </c>
      <c r="H178" s="99"/>
      <c r="I178" s="7">
        <f t="shared" si="130"/>
        <v>0</v>
      </c>
      <c r="J178" s="99"/>
      <c r="K178" s="7">
        <f t="shared" si="125"/>
        <v>0</v>
      </c>
      <c r="L178" s="99">
        <v>45</v>
      </c>
      <c r="M178" s="7">
        <f t="shared" si="126"/>
        <v>225</v>
      </c>
      <c r="N178" s="99">
        <v>37</v>
      </c>
      <c r="O178" s="7">
        <f t="shared" si="127"/>
        <v>185</v>
      </c>
      <c r="P178" s="99">
        <v>11</v>
      </c>
      <c r="Q178" s="7">
        <f t="shared" si="128"/>
        <v>148.5</v>
      </c>
      <c r="R178" s="8">
        <f t="shared" si="131"/>
        <v>0.17117647058823529</v>
      </c>
      <c r="S178" s="126">
        <f t="shared" si="119"/>
        <v>103.67796610169492</v>
      </c>
      <c r="T178" s="152">
        <f t="shared" ref="T178" si="163">AVERAGE(S178:S183)</f>
        <v>104.52643101000031</v>
      </c>
      <c r="U178" s="179">
        <f t="shared" ref="U178" si="164">(SUM(G178:G183)+SUM(I178:I183))/$F$1</f>
        <v>0.76235294117647057</v>
      </c>
      <c r="V178" s="179">
        <f t="shared" ref="V178" si="165">SUM(R178:R183)</f>
        <v>0.85441176470588232</v>
      </c>
      <c r="W178" s="152">
        <v>0.79382352941176482</v>
      </c>
      <c r="X178" s="99"/>
      <c r="Y178" s="7">
        <f t="shared" si="132"/>
        <v>0</v>
      </c>
      <c r="Z178" s="99"/>
      <c r="AA178" s="7">
        <f t="shared" si="133"/>
        <v>0</v>
      </c>
      <c r="AB178" s="2"/>
      <c r="AC178" s="2"/>
      <c r="AD178" s="2"/>
      <c r="AE178" s="2"/>
      <c r="AF178" s="2"/>
      <c r="AG178" s="1"/>
      <c r="AH178" s="1"/>
      <c r="AI178" s="1"/>
      <c r="AJ178" s="1"/>
      <c r="AK178" s="1"/>
      <c r="AL178" s="1"/>
      <c r="AM178" s="1"/>
      <c r="AN178" s="1"/>
      <c r="AO178" s="1"/>
      <c r="AP178" s="1"/>
      <c r="AQ178" s="1"/>
    </row>
    <row r="179" spans="1:43" ht="17.25" thickBot="1" x14ac:dyDescent="0.35">
      <c r="A179" s="147"/>
      <c r="B179" s="97">
        <v>43753</v>
      </c>
      <c r="C179" s="107">
        <v>34</v>
      </c>
      <c r="D179" s="150"/>
      <c r="E179" s="150"/>
      <c r="F179" s="100">
        <v>611</v>
      </c>
      <c r="G179" s="7">
        <f t="shared" si="129"/>
        <v>3055</v>
      </c>
      <c r="H179" s="100"/>
      <c r="I179" s="7">
        <f t="shared" si="130"/>
        <v>0</v>
      </c>
      <c r="J179" s="100"/>
      <c r="K179" s="7">
        <f t="shared" si="125"/>
        <v>0</v>
      </c>
      <c r="L179" s="100">
        <v>50</v>
      </c>
      <c r="M179" s="7">
        <f t="shared" si="126"/>
        <v>250</v>
      </c>
      <c r="N179" s="100">
        <v>43</v>
      </c>
      <c r="O179" s="7">
        <f t="shared" si="127"/>
        <v>215</v>
      </c>
      <c r="P179" s="100">
        <v>23</v>
      </c>
      <c r="Q179" s="7">
        <f t="shared" si="128"/>
        <v>310.5</v>
      </c>
      <c r="R179" s="8">
        <f t="shared" si="131"/>
        <v>0.20705882352941177</v>
      </c>
      <c r="S179" s="127">
        <f t="shared" si="119"/>
        <v>112.66176470588235</v>
      </c>
      <c r="T179" s="152"/>
      <c r="U179" s="180"/>
      <c r="V179" s="180"/>
      <c r="W179" s="152"/>
      <c r="X179" s="100"/>
      <c r="Y179" s="7">
        <f t="shared" si="132"/>
        <v>0</v>
      </c>
      <c r="Z179" s="100"/>
      <c r="AA179" s="7">
        <f t="shared" si="133"/>
        <v>0</v>
      </c>
      <c r="AB179" s="2"/>
      <c r="AC179" s="2"/>
      <c r="AD179" s="2"/>
      <c r="AE179" s="2"/>
      <c r="AF179" s="2"/>
      <c r="AG179" s="1"/>
      <c r="AH179" s="1"/>
      <c r="AI179" s="1"/>
      <c r="AJ179" s="1"/>
      <c r="AK179" s="1"/>
      <c r="AL179" s="1"/>
      <c r="AM179" s="1"/>
      <c r="AN179" s="1"/>
      <c r="AO179" s="1"/>
      <c r="AP179" s="1"/>
      <c r="AQ179" s="1"/>
    </row>
    <row r="180" spans="1:43" ht="17.25" thickBot="1" x14ac:dyDescent="0.35">
      <c r="A180" s="147"/>
      <c r="B180" s="97">
        <v>43754</v>
      </c>
      <c r="C180" s="107">
        <v>30</v>
      </c>
      <c r="D180" s="150"/>
      <c r="E180" s="150"/>
      <c r="F180" s="100">
        <v>527</v>
      </c>
      <c r="G180" s="7">
        <f t="shared" si="129"/>
        <v>2635</v>
      </c>
      <c r="H180" s="100"/>
      <c r="I180" s="7">
        <f t="shared" si="130"/>
        <v>0</v>
      </c>
      <c r="J180" s="100"/>
      <c r="K180" s="7">
        <f t="shared" si="125"/>
        <v>0</v>
      </c>
      <c r="L180" s="100">
        <v>31</v>
      </c>
      <c r="M180" s="7">
        <f t="shared" si="126"/>
        <v>155</v>
      </c>
      <c r="N180" s="100">
        <v>24</v>
      </c>
      <c r="O180" s="7">
        <f t="shared" si="127"/>
        <v>120</v>
      </c>
      <c r="P180" s="100">
        <v>7</v>
      </c>
      <c r="Q180" s="7">
        <f t="shared" si="128"/>
        <v>94.5</v>
      </c>
      <c r="R180" s="8">
        <f t="shared" si="131"/>
        <v>0.17117647058823529</v>
      </c>
      <c r="S180" s="127">
        <f t="shared" si="119"/>
        <v>100.15</v>
      </c>
      <c r="T180" s="152"/>
      <c r="U180" s="180"/>
      <c r="V180" s="180"/>
      <c r="W180" s="152"/>
      <c r="X180" s="100"/>
      <c r="Y180" s="7">
        <f t="shared" si="132"/>
        <v>0</v>
      </c>
      <c r="Z180" s="100"/>
      <c r="AA180" s="7">
        <f t="shared" si="133"/>
        <v>0</v>
      </c>
      <c r="AB180" s="2"/>
      <c r="AC180" s="2"/>
      <c r="AD180" s="2"/>
      <c r="AE180" s="2"/>
      <c r="AF180" s="2"/>
      <c r="AG180" s="1"/>
      <c r="AH180" s="1"/>
      <c r="AI180" s="1"/>
      <c r="AJ180" s="1"/>
      <c r="AK180" s="1"/>
      <c r="AL180" s="1"/>
      <c r="AM180" s="1"/>
      <c r="AN180" s="1"/>
      <c r="AO180" s="1"/>
      <c r="AP180" s="1"/>
      <c r="AQ180" s="1"/>
    </row>
    <row r="181" spans="1:43" ht="17.25" thickBot="1" x14ac:dyDescent="0.35">
      <c r="A181" s="147"/>
      <c r="B181" s="97">
        <v>43755</v>
      </c>
      <c r="C181" s="107">
        <v>30</v>
      </c>
      <c r="D181" s="150"/>
      <c r="E181" s="150"/>
      <c r="F181" s="100">
        <v>539</v>
      </c>
      <c r="G181" s="7">
        <f t="shared" si="129"/>
        <v>2695</v>
      </c>
      <c r="H181" s="100"/>
      <c r="I181" s="7">
        <f t="shared" si="130"/>
        <v>0</v>
      </c>
      <c r="J181" s="100"/>
      <c r="K181" s="7">
        <f t="shared" si="125"/>
        <v>0</v>
      </c>
      <c r="L181" s="100">
        <v>24</v>
      </c>
      <c r="M181" s="7">
        <f t="shared" si="126"/>
        <v>120</v>
      </c>
      <c r="N181" s="100">
        <v>24</v>
      </c>
      <c r="O181" s="7">
        <f t="shared" si="127"/>
        <v>120</v>
      </c>
      <c r="P181" s="100">
        <v>12</v>
      </c>
      <c r="Q181" s="7">
        <f t="shared" si="128"/>
        <v>162</v>
      </c>
      <c r="R181" s="8">
        <f t="shared" si="131"/>
        <v>0.1726470588235294</v>
      </c>
      <c r="S181" s="127">
        <f t="shared" si="119"/>
        <v>103.23333333333333</v>
      </c>
      <c r="T181" s="152"/>
      <c r="U181" s="180"/>
      <c r="V181" s="180"/>
      <c r="W181" s="152"/>
      <c r="X181" s="100">
        <v>1.5</v>
      </c>
      <c r="Y181" s="7">
        <f t="shared" si="132"/>
        <v>7.5</v>
      </c>
      <c r="Z181" s="100">
        <v>3</v>
      </c>
      <c r="AA181" s="7">
        <f t="shared" si="133"/>
        <v>15</v>
      </c>
      <c r="AB181" s="2"/>
      <c r="AC181" s="2"/>
      <c r="AD181" s="2"/>
      <c r="AE181" s="2"/>
      <c r="AF181" s="2"/>
      <c r="AG181" s="1"/>
      <c r="AH181" s="1"/>
      <c r="AI181" s="1"/>
      <c r="AJ181" s="1"/>
      <c r="AK181" s="1"/>
      <c r="AL181" s="1"/>
      <c r="AM181" s="1"/>
      <c r="AN181" s="1"/>
      <c r="AO181" s="1"/>
      <c r="AP181" s="1"/>
      <c r="AQ181" s="1"/>
    </row>
    <row r="182" spans="1:43" ht="17.25" thickBot="1" x14ac:dyDescent="0.35">
      <c r="A182" s="147"/>
      <c r="B182" s="97">
        <v>43756</v>
      </c>
      <c r="C182" s="107">
        <v>24.75</v>
      </c>
      <c r="D182" s="150"/>
      <c r="E182" s="150"/>
      <c r="F182" s="100">
        <v>415</v>
      </c>
      <c r="G182" s="7">
        <f t="shared" si="129"/>
        <v>2075</v>
      </c>
      <c r="H182" s="100"/>
      <c r="I182" s="7">
        <f t="shared" si="130"/>
        <v>0</v>
      </c>
      <c r="J182" s="100"/>
      <c r="K182" s="7">
        <f t="shared" si="125"/>
        <v>0</v>
      </c>
      <c r="L182" s="100">
        <v>19</v>
      </c>
      <c r="M182" s="7">
        <f t="shared" si="126"/>
        <v>95</v>
      </c>
      <c r="N182" s="100">
        <v>16</v>
      </c>
      <c r="O182" s="7">
        <f t="shared" si="127"/>
        <v>80</v>
      </c>
      <c r="P182" s="100">
        <v>22</v>
      </c>
      <c r="Q182" s="7">
        <f t="shared" si="128"/>
        <v>297</v>
      </c>
      <c r="R182" s="8">
        <f t="shared" si="131"/>
        <v>0.13235294117647059</v>
      </c>
      <c r="S182" s="127">
        <f t="shared" si="119"/>
        <v>102.90909090909091</v>
      </c>
      <c r="T182" s="152"/>
      <c r="U182" s="180"/>
      <c r="V182" s="180"/>
      <c r="W182" s="152"/>
      <c r="X182" s="100"/>
      <c r="Y182" s="7">
        <f t="shared" si="132"/>
        <v>0</v>
      </c>
      <c r="Z182" s="100"/>
      <c r="AA182" s="7">
        <f t="shared" si="133"/>
        <v>0</v>
      </c>
      <c r="AB182" s="2"/>
      <c r="AC182" s="2"/>
      <c r="AD182" s="2"/>
      <c r="AE182" s="2"/>
      <c r="AF182" s="2"/>
      <c r="AG182" s="1"/>
      <c r="AH182" s="1"/>
      <c r="AI182" s="1"/>
      <c r="AJ182" s="1"/>
      <c r="AK182" s="1"/>
      <c r="AL182" s="1"/>
      <c r="AM182" s="1"/>
      <c r="AN182" s="1"/>
      <c r="AO182" s="1"/>
      <c r="AP182" s="1"/>
      <c r="AQ182" s="1"/>
    </row>
    <row r="183" spans="1:43" ht="17.25" thickBot="1" x14ac:dyDescent="0.35">
      <c r="A183" s="147"/>
      <c r="B183" s="98"/>
      <c r="C183" s="108"/>
      <c r="D183" s="151"/>
      <c r="E183" s="151"/>
      <c r="F183" s="101"/>
      <c r="G183" s="7">
        <f t="shared" si="129"/>
        <v>0</v>
      </c>
      <c r="H183" s="101"/>
      <c r="I183" s="7">
        <f t="shared" si="130"/>
        <v>0</v>
      </c>
      <c r="J183" s="101"/>
      <c r="K183" s="7">
        <f t="shared" si="125"/>
        <v>0</v>
      </c>
      <c r="L183" s="101"/>
      <c r="M183" s="7">
        <f t="shared" si="126"/>
        <v>0</v>
      </c>
      <c r="N183" s="101"/>
      <c r="O183" s="7">
        <f t="shared" si="127"/>
        <v>0</v>
      </c>
      <c r="P183" s="101"/>
      <c r="Q183" s="7">
        <f t="shared" si="128"/>
        <v>0</v>
      </c>
      <c r="R183" s="8">
        <f t="shared" si="131"/>
        <v>0</v>
      </c>
      <c r="S183" s="128" t="str">
        <f t="shared" si="119"/>
        <v/>
      </c>
      <c r="T183" s="152"/>
      <c r="U183" s="181"/>
      <c r="V183" s="181"/>
      <c r="W183" s="152"/>
      <c r="X183" s="101"/>
      <c r="Y183" s="7">
        <f t="shared" si="132"/>
        <v>0</v>
      </c>
      <c r="Z183" s="101"/>
      <c r="AA183" s="7">
        <f t="shared" si="133"/>
        <v>0</v>
      </c>
      <c r="AB183" s="2"/>
      <c r="AC183" s="2"/>
      <c r="AD183" s="2"/>
      <c r="AE183" s="2"/>
      <c r="AF183" s="2"/>
      <c r="AG183" s="1"/>
      <c r="AH183" s="1"/>
      <c r="AI183" s="1"/>
      <c r="AJ183" s="1"/>
      <c r="AK183" s="1"/>
      <c r="AL183" s="1"/>
      <c r="AM183" s="1"/>
      <c r="AN183" s="1"/>
      <c r="AO183" s="1"/>
      <c r="AP183" s="1"/>
      <c r="AQ183" s="1"/>
    </row>
    <row r="184" spans="1:43" ht="17.25" thickBot="1" x14ac:dyDescent="0.35">
      <c r="A184" s="146">
        <v>43</v>
      </c>
      <c r="B184" s="105">
        <v>43759</v>
      </c>
      <c r="C184" s="106">
        <v>33.5</v>
      </c>
      <c r="D184" s="149">
        <f t="shared" ref="D184" si="166">SUM(G184:G189,I184:I189,K184:K189)</f>
        <v>9500</v>
      </c>
      <c r="E184" s="149">
        <f t="shared" ref="E184" si="167">SUM(G184:G189,I184:I189,M184:M189,O184:O189,Q184:Q189,K184:K189)</f>
        <v>11489.5</v>
      </c>
      <c r="F184" s="99">
        <v>516</v>
      </c>
      <c r="G184" s="40">
        <f t="shared" si="129"/>
        <v>2580</v>
      </c>
      <c r="H184" s="99"/>
      <c r="I184" s="40">
        <f t="shared" si="130"/>
        <v>0</v>
      </c>
      <c r="J184" s="99"/>
      <c r="K184" s="40">
        <f t="shared" si="125"/>
        <v>0</v>
      </c>
      <c r="L184" s="99">
        <v>23</v>
      </c>
      <c r="M184" s="40">
        <f t="shared" si="126"/>
        <v>115</v>
      </c>
      <c r="N184" s="99">
        <v>3</v>
      </c>
      <c r="O184" s="40">
        <f t="shared" si="127"/>
        <v>15</v>
      </c>
      <c r="P184" s="99">
        <v>34</v>
      </c>
      <c r="Q184" s="40">
        <f t="shared" si="128"/>
        <v>459</v>
      </c>
      <c r="R184" s="34">
        <f>(G184+I184+M184+O184+K184)/F$1</f>
        <v>0.15941176470588236</v>
      </c>
      <c r="S184" s="126">
        <f t="shared" si="119"/>
        <v>94.597014925373131</v>
      </c>
      <c r="T184" s="152">
        <f t="shared" ref="T184" si="168">AVERAGE(S184:S189)</f>
        <v>94.024751811429667</v>
      </c>
      <c r="U184" s="179">
        <f t="shared" ref="U184" si="169">(SUM(G184:G189)+SUM(I184:I189))/$F$1</f>
        <v>0.55882352941176472</v>
      </c>
      <c r="V184" s="179">
        <f t="shared" ref="V184" si="170">SUM(R184:R189)</f>
        <v>0.59088235294117653</v>
      </c>
      <c r="W184" s="152">
        <v>0.69852941176470584</v>
      </c>
      <c r="X184" s="99"/>
      <c r="Y184" s="40">
        <f t="shared" si="132"/>
        <v>0</v>
      </c>
      <c r="Z184" s="99"/>
      <c r="AA184" s="40">
        <f t="shared" si="133"/>
        <v>0</v>
      </c>
      <c r="AB184" s="2"/>
      <c r="AC184" s="2"/>
      <c r="AD184" s="2"/>
      <c r="AE184" s="2"/>
      <c r="AF184" s="2"/>
      <c r="AG184" s="1"/>
      <c r="AH184" s="1"/>
      <c r="AI184" s="1"/>
      <c r="AJ184" s="1"/>
      <c r="AK184" s="1"/>
      <c r="AL184" s="1"/>
      <c r="AM184" s="1"/>
      <c r="AN184" s="1"/>
      <c r="AO184" s="1"/>
      <c r="AP184" s="1"/>
      <c r="AQ184" s="1"/>
    </row>
    <row r="185" spans="1:43" ht="17.25" thickBot="1" x14ac:dyDescent="0.35">
      <c r="A185" s="147"/>
      <c r="B185" s="97">
        <v>43760</v>
      </c>
      <c r="C185" s="107">
        <v>17</v>
      </c>
      <c r="D185" s="150"/>
      <c r="E185" s="150"/>
      <c r="F185" s="100">
        <v>269</v>
      </c>
      <c r="G185" s="7">
        <f t="shared" si="129"/>
        <v>1345</v>
      </c>
      <c r="H185" s="100"/>
      <c r="I185" s="7">
        <f t="shared" si="130"/>
        <v>0</v>
      </c>
      <c r="J185" s="100"/>
      <c r="K185" s="7">
        <f t="shared" si="125"/>
        <v>0</v>
      </c>
      <c r="L185" s="100">
        <v>19</v>
      </c>
      <c r="M185" s="7">
        <f t="shared" si="126"/>
        <v>95</v>
      </c>
      <c r="N185" s="100"/>
      <c r="O185" s="7">
        <f t="shared" si="127"/>
        <v>0</v>
      </c>
      <c r="P185" s="100">
        <v>25</v>
      </c>
      <c r="Q185" s="7">
        <f t="shared" si="128"/>
        <v>337.5</v>
      </c>
      <c r="R185" s="8">
        <f t="shared" si="131"/>
        <v>8.4705882352941173E-2</v>
      </c>
      <c r="S185" s="127">
        <f t="shared" si="119"/>
        <v>104.55882352941177</v>
      </c>
      <c r="T185" s="152"/>
      <c r="U185" s="180"/>
      <c r="V185" s="180"/>
      <c r="W185" s="152"/>
      <c r="X185" s="100"/>
      <c r="Y185" s="7">
        <f t="shared" si="132"/>
        <v>0</v>
      </c>
      <c r="Z185" s="100"/>
      <c r="AA185" s="7">
        <f t="shared" si="133"/>
        <v>0</v>
      </c>
      <c r="AB185" s="2"/>
      <c r="AC185" s="2"/>
      <c r="AD185" s="2"/>
      <c r="AE185" s="2"/>
      <c r="AF185" s="2"/>
      <c r="AG185" s="1"/>
      <c r="AH185" s="1"/>
      <c r="AI185" s="1"/>
      <c r="AJ185" s="1"/>
      <c r="AK185" s="1"/>
      <c r="AL185" s="1"/>
      <c r="AM185" s="1"/>
      <c r="AN185" s="1"/>
      <c r="AO185" s="1"/>
      <c r="AP185" s="1"/>
      <c r="AQ185" s="1"/>
    </row>
    <row r="186" spans="1:43" ht="17.25" thickBot="1" x14ac:dyDescent="0.35">
      <c r="A186" s="147"/>
      <c r="B186" s="97">
        <v>43761</v>
      </c>
      <c r="C186" s="107">
        <v>16</v>
      </c>
      <c r="D186" s="150"/>
      <c r="E186" s="150"/>
      <c r="F186" s="100">
        <v>239</v>
      </c>
      <c r="G186" s="7">
        <f t="shared" si="129"/>
        <v>1195</v>
      </c>
      <c r="H186" s="100"/>
      <c r="I186" s="7">
        <f t="shared" si="130"/>
        <v>0</v>
      </c>
      <c r="J186" s="100"/>
      <c r="K186" s="7">
        <f t="shared" si="125"/>
        <v>0</v>
      </c>
      <c r="L186" s="100">
        <v>7</v>
      </c>
      <c r="M186" s="7">
        <f t="shared" si="126"/>
        <v>35</v>
      </c>
      <c r="N186" s="100"/>
      <c r="O186" s="7">
        <f t="shared" si="127"/>
        <v>0</v>
      </c>
      <c r="P186" s="100">
        <v>14</v>
      </c>
      <c r="Q186" s="7">
        <f t="shared" si="128"/>
        <v>189</v>
      </c>
      <c r="R186" s="8">
        <f t="shared" si="131"/>
        <v>7.2352941176470592E-2</v>
      </c>
      <c r="S186" s="127">
        <f t="shared" si="119"/>
        <v>88.6875</v>
      </c>
      <c r="T186" s="152"/>
      <c r="U186" s="180"/>
      <c r="V186" s="180"/>
      <c r="W186" s="152"/>
      <c r="X186" s="100"/>
      <c r="Y186" s="7">
        <f t="shared" si="132"/>
        <v>0</v>
      </c>
      <c r="Z186" s="100"/>
      <c r="AA186" s="7">
        <f t="shared" si="133"/>
        <v>0</v>
      </c>
      <c r="AB186" s="2"/>
      <c r="AC186" s="2"/>
      <c r="AD186" s="2"/>
      <c r="AE186" s="2"/>
      <c r="AF186" s="2"/>
      <c r="AG186" s="1"/>
      <c r="AH186" s="1"/>
      <c r="AI186" s="1"/>
      <c r="AJ186" s="1"/>
      <c r="AK186" s="1"/>
      <c r="AL186" s="1"/>
      <c r="AM186" s="1"/>
      <c r="AN186" s="1"/>
      <c r="AO186" s="1"/>
      <c r="AP186" s="1"/>
      <c r="AQ186" s="1"/>
    </row>
    <row r="187" spans="1:43" ht="17.25" thickBot="1" x14ac:dyDescent="0.35">
      <c r="A187" s="147"/>
      <c r="B187" s="97">
        <v>43762</v>
      </c>
      <c r="C187" s="107">
        <v>20</v>
      </c>
      <c r="D187" s="150"/>
      <c r="E187" s="150"/>
      <c r="F187" s="100">
        <v>291</v>
      </c>
      <c r="G187" s="7">
        <f t="shared" si="129"/>
        <v>1455</v>
      </c>
      <c r="H187" s="100"/>
      <c r="I187" s="7">
        <f t="shared" si="130"/>
        <v>0</v>
      </c>
      <c r="J187" s="100"/>
      <c r="K187" s="7">
        <f t="shared" si="125"/>
        <v>0</v>
      </c>
      <c r="L187" s="100">
        <v>18</v>
      </c>
      <c r="M187" s="7">
        <f t="shared" si="126"/>
        <v>90</v>
      </c>
      <c r="N187" s="100"/>
      <c r="O187" s="7">
        <f t="shared" si="127"/>
        <v>0</v>
      </c>
      <c r="P187" s="100">
        <v>18</v>
      </c>
      <c r="Q187" s="7">
        <f t="shared" si="128"/>
        <v>243</v>
      </c>
      <c r="R187" s="8">
        <f t="shared" si="131"/>
        <v>9.088235294117647E-2</v>
      </c>
      <c r="S187" s="127">
        <f t="shared" si="119"/>
        <v>89.4</v>
      </c>
      <c r="T187" s="152"/>
      <c r="U187" s="180"/>
      <c r="V187" s="180"/>
      <c r="W187" s="152"/>
      <c r="X187" s="100">
        <v>1.5</v>
      </c>
      <c r="Y187" s="7">
        <f t="shared" si="132"/>
        <v>7.5</v>
      </c>
      <c r="Z187" s="100">
        <v>1</v>
      </c>
      <c r="AA187" s="7">
        <f t="shared" si="133"/>
        <v>5</v>
      </c>
      <c r="AB187" s="2"/>
      <c r="AC187" s="2"/>
      <c r="AD187" s="2"/>
      <c r="AE187" s="2"/>
      <c r="AF187" s="2"/>
      <c r="AG187" s="1"/>
      <c r="AH187" s="1"/>
      <c r="AI187" s="1"/>
      <c r="AJ187" s="1"/>
      <c r="AK187" s="1"/>
      <c r="AL187" s="1"/>
      <c r="AM187" s="1"/>
      <c r="AN187" s="1"/>
      <c r="AO187" s="1"/>
      <c r="AP187" s="1"/>
      <c r="AQ187" s="1"/>
    </row>
    <row r="188" spans="1:43" ht="17.25" thickBot="1" x14ac:dyDescent="0.35">
      <c r="A188" s="147"/>
      <c r="B188" s="97">
        <v>43763</v>
      </c>
      <c r="C188" s="107">
        <v>29</v>
      </c>
      <c r="D188" s="150"/>
      <c r="E188" s="150"/>
      <c r="F188" s="100">
        <v>447</v>
      </c>
      <c r="G188" s="7">
        <f t="shared" si="129"/>
        <v>2235</v>
      </c>
      <c r="H188" s="100"/>
      <c r="I188" s="7">
        <f t="shared" si="130"/>
        <v>0</v>
      </c>
      <c r="J188" s="100"/>
      <c r="K188" s="7">
        <f t="shared" si="125"/>
        <v>0</v>
      </c>
      <c r="L188" s="100">
        <v>29</v>
      </c>
      <c r="M188" s="7">
        <f t="shared" si="126"/>
        <v>145</v>
      </c>
      <c r="N188" s="100"/>
      <c r="O188" s="7">
        <f t="shared" si="127"/>
        <v>0</v>
      </c>
      <c r="P188" s="100">
        <v>12</v>
      </c>
      <c r="Q188" s="7">
        <f t="shared" si="128"/>
        <v>162</v>
      </c>
      <c r="R188" s="8">
        <f t="shared" si="131"/>
        <v>0.14000000000000001</v>
      </c>
      <c r="S188" s="127">
        <f t="shared" si="119"/>
        <v>87.65517241379311</v>
      </c>
      <c r="T188" s="152"/>
      <c r="U188" s="180"/>
      <c r="V188" s="180"/>
      <c r="W188" s="152"/>
      <c r="X188" s="100"/>
      <c r="Y188" s="7">
        <f t="shared" si="132"/>
        <v>0</v>
      </c>
      <c r="Z188" s="100"/>
      <c r="AA188" s="7">
        <f t="shared" si="133"/>
        <v>0</v>
      </c>
      <c r="AB188" s="2"/>
      <c r="AC188" s="2"/>
      <c r="AD188" s="2"/>
      <c r="AE188" s="2"/>
      <c r="AF188" s="2"/>
      <c r="AG188" s="1"/>
      <c r="AH188" s="1"/>
      <c r="AI188" s="1"/>
      <c r="AJ188" s="1"/>
      <c r="AK188" s="1"/>
      <c r="AL188" s="1"/>
      <c r="AM188" s="1"/>
      <c r="AN188" s="1"/>
      <c r="AO188" s="1"/>
      <c r="AP188" s="1"/>
      <c r="AQ188" s="1"/>
    </row>
    <row r="189" spans="1:43" ht="17.25" thickBot="1" x14ac:dyDescent="0.35">
      <c r="A189" s="148"/>
      <c r="B189" s="98">
        <v>43764</v>
      </c>
      <c r="C189" s="108">
        <v>8</v>
      </c>
      <c r="D189" s="151"/>
      <c r="E189" s="151"/>
      <c r="F189" s="101">
        <v>138</v>
      </c>
      <c r="G189" s="39">
        <f t="shared" si="129"/>
        <v>690</v>
      </c>
      <c r="H189" s="101"/>
      <c r="I189" s="39">
        <f t="shared" si="130"/>
        <v>0</v>
      </c>
      <c r="J189" s="101"/>
      <c r="K189" s="39">
        <f t="shared" si="125"/>
        <v>0</v>
      </c>
      <c r="L189" s="101">
        <v>10</v>
      </c>
      <c r="M189" s="39">
        <f t="shared" si="126"/>
        <v>50</v>
      </c>
      <c r="N189" s="101"/>
      <c r="O189" s="39">
        <f t="shared" si="127"/>
        <v>0</v>
      </c>
      <c r="P189" s="101">
        <v>4</v>
      </c>
      <c r="Q189" s="39">
        <f t="shared" si="128"/>
        <v>54</v>
      </c>
      <c r="R189" s="36">
        <f t="shared" si="131"/>
        <v>4.3529411764705879E-2</v>
      </c>
      <c r="S189" s="128">
        <f t="shared" si="119"/>
        <v>99.25</v>
      </c>
      <c r="T189" s="152"/>
      <c r="U189" s="181"/>
      <c r="V189" s="181"/>
      <c r="W189" s="152"/>
      <c r="X189" s="101"/>
      <c r="Y189" s="39">
        <f t="shared" si="132"/>
        <v>0</v>
      </c>
      <c r="Z189" s="101"/>
      <c r="AA189" s="39">
        <f t="shared" si="133"/>
        <v>0</v>
      </c>
      <c r="AB189" s="2"/>
      <c r="AC189" s="2"/>
      <c r="AD189" s="2"/>
      <c r="AE189" s="2"/>
      <c r="AF189" s="2"/>
      <c r="AG189" s="1"/>
      <c r="AH189" s="1"/>
      <c r="AI189" s="1"/>
      <c r="AJ189" s="1"/>
      <c r="AK189" s="1"/>
      <c r="AL189" s="1"/>
      <c r="AM189" s="1"/>
      <c r="AN189" s="1"/>
      <c r="AO189" s="1"/>
      <c r="AP189" s="1"/>
      <c r="AQ189" s="1"/>
    </row>
    <row r="190" spans="1:43" ht="17.25" thickBot="1" x14ac:dyDescent="0.35">
      <c r="A190" s="147">
        <v>44</v>
      </c>
      <c r="B190" s="105">
        <v>43766</v>
      </c>
      <c r="C190" s="106">
        <v>45.25</v>
      </c>
      <c r="D190" s="149">
        <f t="shared" ref="D190" si="171">SUM(G190:G195,I190:I195,K190:K195)</f>
        <v>30325</v>
      </c>
      <c r="E190" s="149">
        <f t="shared" ref="E190" si="172">SUM(G190:G195,I190:I195,M190:M195,O190:O195,Q190:Q195,K190:K195)</f>
        <v>34305</v>
      </c>
      <c r="F190" s="99">
        <v>813</v>
      </c>
      <c r="G190" s="7">
        <f t="shared" si="129"/>
        <v>4065</v>
      </c>
      <c r="H190" s="99"/>
      <c r="I190" s="7">
        <f t="shared" si="130"/>
        <v>0</v>
      </c>
      <c r="J190" s="99"/>
      <c r="K190" s="7">
        <f t="shared" si="125"/>
        <v>0</v>
      </c>
      <c r="L190" s="99">
        <v>94</v>
      </c>
      <c r="M190" s="7">
        <f t="shared" si="126"/>
        <v>470</v>
      </c>
      <c r="N190" s="99"/>
      <c r="O190" s="7">
        <f t="shared" si="127"/>
        <v>0</v>
      </c>
      <c r="P190" s="99">
        <v>22</v>
      </c>
      <c r="Q190" s="7">
        <f t="shared" si="128"/>
        <v>297</v>
      </c>
      <c r="R190" s="8">
        <f t="shared" si="131"/>
        <v>0.26676470588235296</v>
      </c>
      <c r="S190" s="126">
        <f t="shared" si="119"/>
        <v>106.78453038674033</v>
      </c>
      <c r="T190" s="152">
        <f>AVERAGE(S190:S195)</f>
        <v>114.56060418874679</v>
      </c>
      <c r="U190" s="179">
        <f t="shared" ref="U190" si="173">(SUM(G190:G195)+SUM(I190:I195))/$F$1</f>
        <v>1.7838235294117648</v>
      </c>
      <c r="V190" s="179">
        <f t="shared" ref="V190" si="174">SUM(R190:R195)</f>
        <v>1.9226470588235296</v>
      </c>
      <c r="W190" s="152">
        <v>0.47494117647058826</v>
      </c>
      <c r="X190" s="99"/>
      <c r="Y190" s="7">
        <f t="shared" si="132"/>
        <v>0</v>
      </c>
      <c r="Z190" s="99"/>
      <c r="AA190" s="7">
        <f t="shared" si="133"/>
        <v>0</v>
      </c>
      <c r="AB190" s="2"/>
      <c r="AC190" s="2"/>
      <c r="AD190" s="2"/>
      <c r="AE190" s="2"/>
      <c r="AF190" s="2"/>
      <c r="AG190" s="1"/>
      <c r="AH190" s="1"/>
      <c r="AI190" s="1"/>
      <c r="AJ190" s="1"/>
      <c r="AK190" s="1"/>
      <c r="AL190" s="1"/>
      <c r="AM190" s="1"/>
      <c r="AN190" s="1"/>
      <c r="AO190" s="1"/>
      <c r="AP190" s="1"/>
      <c r="AQ190" s="1"/>
    </row>
    <row r="191" spans="1:43" ht="17.25" thickBot="1" x14ac:dyDescent="0.35">
      <c r="A191" s="147"/>
      <c r="B191" s="97">
        <v>43767</v>
      </c>
      <c r="C191" s="107">
        <v>63</v>
      </c>
      <c r="D191" s="150"/>
      <c r="E191" s="150"/>
      <c r="F191" s="100">
        <v>1259</v>
      </c>
      <c r="G191" s="7">
        <f t="shared" si="129"/>
        <v>6295</v>
      </c>
      <c r="H191" s="100"/>
      <c r="I191" s="7">
        <f t="shared" si="130"/>
        <v>0</v>
      </c>
      <c r="J191" s="100"/>
      <c r="K191" s="7">
        <f t="shared" si="125"/>
        <v>0</v>
      </c>
      <c r="L191" s="100">
        <v>119</v>
      </c>
      <c r="M191" s="7">
        <f t="shared" si="126"/>
        <v>595</v>
      </c>
      <c r="N191" s="100"/>
      <c r="O191" s="7">
        <f t="shared" si="127"/>
        <v>0</v>
      </c>
      <c r="P191" s="100">
        <v>18</v>
      </c>
      <c r="Q191" s="7">
        <f t="shared" si="128"/>
        <v>243</v>
      </c>
      <c r="R191" s="8">
        <f t="shared" si="131"/>
        <v>0.4052941176470588</v>
      </c>
      <c r="S191" s="127">
        <f t="shared" si="119"/>
        <v>113.22222222222223</v>
      </c>
      <c r="T191" s="152"/>
      <c r="U191" s="180"/>
      <c r="V191" s="180"/>
      <c r="W191" s="152"/>
      <c r="X191" s="100"/>
      <c r="Y191" s="7">
        <f t="shared" si="132"/>
        <v>0</v>
      </c>
      <c r="Z191" s="100"/>
      <c r="AA191" s="7">
        <f t="shared" si="133"/>
        <v>0</v>
      </c>
      <c r="AB191" s="2"/>
      <c r="AC191" s="2"/>
      <c r="AD191" s="2"/>
      <c r="AE191" s="2"/>
      <c r="AF191" s="2"/>
      <c r="AG191" s="1"/>
      <c r="AH191" s="1"/>
      <c r="AI191" s="1"/>
      <c r="AJ191" s="1"/>
      <c r="AK191" s="1"/>
      <c r="AL191" s="1"/>
      <c r="AM191" s="1"/>
      <c r="AN191" s="1"/>
      <c r="AO191" s="1"/>
      <c r="AP191" s="1"/>
      <c r="AQ191" s="1"/>
    </row>
    <row r="192" spans="1:43" ht="17.25" thickBot="1" x14ac:dyDescent="0.35">
      <c r="A192" s="147"/>
      <c r="B192" s="97">
        <v>43768</v>
      </c>
      <c r="C192" s="107">
        <v>76</v>
      </c>
      <c r="D192" s="150"/>
      <c r="E192" s="150"/>
      <c r="F192" s="100">
        <v>1542</v>
      </c>
      <c r="G192" s="7">
        <f t="shared" si="129"/>
        <v>7710</v>
      </c>
      <c r="H192" s="100"/>
      <c r="I192" s="7">
        <f t="shared" si="130"/>
        <v>0</v>
      </c>
      <c r="J192" s="100"/>
      <c r="K192" s="7">
        <f t="shared" si="125"/>
        <v>0</v>
      </c>
      <c r="L192" s="100">
        <v>135</v>
      </c>
      <c r="M192" s="7">
        <f t="shared" si="126"/>
        <v>675</v>
      </c>
      <c r="N192" s="100"/>
      <c r="O192" s="7">
        <f t="shared" si="127"/>
        <v>0</v>
      </c>
      <c r="P192" s="100">
        <v>22</v>
      </c>
      <c r="Q192" s="7">
        <f t="shared" si="128"/>
        <v>297</v>
      </c>
      <c r="R192" s="8">
        <f t="shared" si="131"/>
        <v>0.49323529411764705</v>
      </c>
      <c r="S192" s="127">
        <f t="shared" si="119"/>
        <v>114.23684210526316</v>
      </c>
      <c r="T192" s="152"/>
      <c r="U192" s="180"/>
      <c r="V192" s="180"/>
      <c r="W192" s="152"/>
      <c r="X192" s="100">
        <v>2</v>
      </c>
      <c r="Y192" s="7">
        <f t="shared" si="132"/>
        <v>10</v>
      </c>
      <c r="Z192" s="100">
        <v>3</v>
      </c>
      <c r="AA192" s="7">
        <f t="shared" si="133"/>
        <v>15</v>
      </c>
      <c r="AB192" s="2"/>
      <c r="AC192" s="2"/>
      <c r="AD192" s="2"/>
      <c r="AE192" s="2"/>
      <c r="AF192" s="2"/>
      <c r="AG192" s="1"/>
      <c r="AH192" s="1"/>
      <c r="AI192" s="1"/>
      <c r="AJ192" s="1"/>
      <c r="AK192" s="1"/>
      <c r="AL192" s="1"/>
      <c r="AM192" s="1"/>
      <c r="AN192" s="1"/>
      <c r="AO192" s="1"/>
      <c r="AP192" s="1"/>
      <c r="AQ192" s="1"/>
    </row>
    <row r="193" spans="1:43" ht="17.25" thickBot="1" x14ac:dyDescent="0.35">
      <c r="A193" s="147"/>
      <c r="B193" s="97">
        <v>43769</v>
      </c>
      <c r="C193" s="107">
        <v>76.25</v>
      </c>
      <c r="D193" s="150"/>
      <c r="E193" s="150"/>
      <c r="F193" s="100">
        <v>1521</v>
      </c>
      <c r="G193" s="7">
        <f t="shared" si="129"/>
        <v>7605</v>
      </c>
      <c r="H193" s="100"/>
      <c r="I193" s="7">
        <f t="shared" si="130"/>
        <v>0</v>
      </c>
      <c r="J193" s="100"/>
      <c r="K193" s="7">
        <f t="shared" si="125"/>
        <v>0</v>
      </c>
      <c r="L193" s="100">
        <v>124</v>
      </c>
      <c r="M193" s="7">
        <f t="shared" si="126"/>
        <v>620</v>
      </c>
      <c r="N193" s="100"/>
      <c r="O193" s="7">
        <f t="shared" si="127"/>
        <v>0</v>
      </c>
      <c r="P193" s="100">
        <v>32</v>
      </c>
      <c r="Q193" s="7">
        <f t="shared" si="128"/>
        <v>432</v>
      </c>
      <c r="R193" s="8">
        <f t="shared" si="131"/>
        <v>0.48382352941176471</v>
      </c>
      <c r="S193" s="127">
        <f t="shared" si="119"/>
        <v>113.5344262295082</v>
      </c>
      <c r="T193" s="152"/>
      <c r="U193" s="180"/>
      <c r="V193" s="180"/>
      <c r="W193" s="152"/>
      <c r="X193" s="100"/>
      <c r="Y193" s="7">
        <f t="shared" si="132"/>
        <v>0</v>
      </c>
      <c r="Z193" s="100"/>
      <c r="AA193" s="7">
        <f t="shared" si="133"/>
        <v>0</v>
      </c>
      <c r="AB193" s="2"/>
      <c r="AC193" s="2"/>
      <c r="AD193" s="2"/>
      <c r="AE193" s="2"/>
      <c r="AF193" s="2"/>
      <c r="AG193" s="1"/>
      <c r="AH193" s="1"/>
      <c r="AI193" s="1"/>
      <c r="AJ193" s="1"/>
      <c r="AK193" s="1"/>
      <c r="AL193" s="1"/>
      <c r="AM193" s="1"/>
      <c r="AN193" s="1"/>
      <c r="AO193" s="1"/>
      <c r="AP193" s="1"/>
      <c r="AQ193" s="1"/>
    </row>
    <row r="194" spans="1:43" ht="17.25" thickBot="1" x14ac:dyDescent="0.35">
      <c r="A194" s="147"/>
      <c r="B194" s="97"/>
      <c r="C194" s="107"/>
      <c r="D194" s="150"/>
      <c r="E194" s="150"/>
      <c r="F194" s="100"/>
      <c r="G194" s="7">
        <f t="shared" si="129"/>
        <v>0</v>
      </c>
      <c r="H194" s="100"/>
      <c r="I194" s="7">
        <f t="shared" si="130"/>
        <v>0</v>
      </c>
      <c r="J194" s="100"/>
      <c r="K194" s="7">
        <f t="shared" si="125"/>
        <v>0</v>
      </c>
      <c r="L194" s="100"/>
      <c r="M194" s="7">
        <f t="shared" si="126"/>
        <v>0</v>
      </c>
      <c r="N194" s="100"/>
      <c r="O194" s="7">
        <f t="shared" si="127"/>
        <v>0</v>
      </c>
      <c r="P194" s="100"/>
      <c r="Q194" s="7">
        <f t="shared" si="128"/>
        <v>0</v>
      </c>
      <c r="R194" s="8">
        <f t="shared" si="131"/>
        <v>0</v>
      </c>
      <c r="S194" s="127" t="str">
        <f t="shared" si="119"/>
        <v/>
      </c>
      <c r="T194" s="152"/>
      <c r="U194" s="180"/>
      <c r="V194" s="180"/>
      <c r="W194" s="152"/>
      <c r="X194" s="100"/>
      <c r="Y194" s="7">
        <f t="shared" si="132"/>
        <v>0</v>
      </c>
      <c r="Z194" s="100"/>
      <c r="AA194" s="7">
        <f t="shared" si="133"/>
        <v>0</v>
      </c>
      <c r="AB194" s="2"/>
      <c r="AC194" s="2"/>
      <c r="AD194" s="2"/>
      <c r="AE194" s="2"/>
      <c r="AF194" s="2"/>
      <c r="AG194" s="1"/>
      <c r="AH194" s="1"/>
      <c r="AI194" s="1"/>
      <c r="AJ194" s="1"/>
      <c r="AK194" s="1"/>
      <c r="AL194" s="1"/>
      <c r="AM194" s="1"/>
      <c r="AN194" s="1"/>
      <c r="AO194" s="1"/>
      <c r="AP194" s="1"/>
      <c r="AQ194" s="1"/>
    </row>
    <row r="195" spans="1:43" ht="17.25" thickBot="1" x14ac:dyDescent="0.35">
      <c r="A195" s="147"/>
      <c r="B195" s="98">
        <v>43771</v>
      </c>
      <c r="C195" s="108">
        <v>40</v>
      </c>
      <c r="D195" s="151"/>
      <c r="E195" s="151"/>
      <c r="F195" s="101">
        <v>930</v>
      </c>
      <c r="G195" s="7">
        <f t="shared" si="129"/>
        <v>4650</v>
      </c>
      <c r="H195" s="101"/>
      <c r="I195" s="7">
        <f t="shared" si="130"/>
        <v>0</v>
      </c>
      <c r="J195" s="101"/>
      <c r="K195" s="7">
        <f t="shared" si="125"/>
        <v>0</v>
      </c>
      <c r="L195" s="101">
        <v>0</v>
      </c>
      <c r="M195" s="7">
        <f t="shared" si="126"/>
        <v>0</v>
      </c>
      <c r="N195" s="101"/>
      <c r="O195" s="7">
        <f t="shared" si="127"/>
        <v>0</v>
      </c>
      <c r="P195" s="101">
        <v>26</v>
      </c>
      <c r="Q195" s="7">
        <f t="shared" si="128"/>
        <v>351</v>
      </c>
      <c r="R195" s="8">
        <f t="shared" si="131"/>
        <v>0.27352941176470591</v>
      </c>
      <c r="S195" s="128">
        <f t="shared" si="119"/>
        <v>125.02500000000001</v>
      </c>
      <c r="T195" s="152"/>
      <c r="U195" s="181"/>
      <c r="V195" s="181"/>
      <c r="W195" s="152"/>
      <c r="X195" s="101"/>
      <c r="Y195" s="7">
        <f t="shared" si="132"/>
        <v>0</v>
      </c>
      <c r="Z195" s="101"/>
      <c r="AA195" s="7">
        <f t="shared" si="133"/>
        <v>0</v>
      </c>
      <c r="AB195" s="2"/>
      <c r="AC195" s="2"/>
      <c r="AD195" s="2"/>
      <c r="AE195" s="2"/>
      <c r="AF195" s="2"/>
      <c r="AG195" s="1"/>
      <c r="AH195" s="1"/>
      <c r="AI195" s="1"/>
      <c r="AJ195" s="1"/>
      <c r="AK195" s="1"/>
      <c r="AL195" s="1"/>
      <c r="AM195" s="1"/>
      <c r="AN195" s="1"/>
      <c r="AO195" s="1"/>
      <c r="AP195" s="1"/>
      <c r="AQ195" s="1"/>
    </row>
    <row r="196" spans="1:43" ht="17.25" thickBot="1" x14ac:dyDescent="0.35">
      <c r="A196" s="146">
        <v>45</v>
      </c>
      <c r="B196" s="105">
        <v>43773</v>
      </c>
      <c r="C196" s="106">
        <v>53.5</v>
      </c>
      <c r="D196" s="149">
        <f t="shared" ref="D196" si="175">SUM(G196:G201,I196:I201,K196:K201)</f>
        <v>10495</v>
      </c>
      <c r="E196" s="149">
        <f t="shared" ref="E196" si="176">SUM(G196:G201,I196:I201,M196:M201,O196:O201,Q196:Q201,K196:K201)</f>
        <v>11615.5</v>
      </c>
      <c r="F196" s="99">
        <v>992</v>
      </c>
      <c r="G196" s="40">
        <f t="shared" si="129"/>
        <v>4960</v>
      </c>
      <c r="H196" s="99"/>
      <c r="I196" s="40">
        <f t="shared" si="130"/>
        <v>0</v>
      </c>
      <c r="J196" s="99"/>
      <c r="K196" s="40">
        <f t="shared" si="125"/>
        <v>0</v>
      </c>
      <c r="L196" s="99"/>
      <c r="M196" s="40">
        <f t="shared" si="126"/>
        <v>0</v>
      </c>
      <c r="N196" s="99"/>
      <c r="O196" s="40">
        <f t="shared" si="127"/>
        <v>0</v>
      </c>
      <c r="P196" s="99">
        <v>50</v>
      </c>
      <c r="Q196" s="40">
        <f t="shared" si="128"/>
        <v>675</v>
      </c>
      <c r="R196" s="34">
        <f t="shared" si="131"/>
        <v>0.29176470588235293</v>
      </c>
      <c r="S196" s="126">
        <f t="shared" si="119"/>
        <v>105.32710280373831</v>
      </c>
      <c r="T196" s="152">
        <f t="shared" ref="T196" si="177">AVERAGE(S196:S201)</f>
        <v>83.502496327533365</v>
      </c>
      <c r="U196" s="179">
        <f t="shared" ref="U196" si="178">(SUM(G196:G201)+SUM(I196:I201))/$F$1</f>
        <v>0.61735294117647055</v>
      </c>
      <c r="V196" s="179">
        <f t="shared" ref="V196" si="179">SUM(R196:R201)</f>
        <v>0.61735294117647055</v>
      </c>
      <c r="W196" s="152">
        <v>0</v>
      </c>
      <c r="X196" s="99"/>
      <c r="Y196" s="40">
        <f t="shared" si="132"/>
        <v>0</v>
      </c>
      <c r="Z196" s="99"/>
      <c r="AA196" s="40">
        <f t="shared" si="133"/>
        <v>0</v>
      </c>
      <c r="AB196" s="2"/>
      <c r="AC196" s="2"/>
      <c r="AD196" s="2"/>
      <c r="AE196" s="2"/>
      <c r="AF196" s="2"/>
      <c r="AG196" s="1"/>
      <c r="AH196" s="1"/>
      <c r="AI196" s="1"/>
      <c r="AJ196" s="1"/>
      <c r="AK196" s="1"/>
      <c r="AL196" s="1"/>
      <c r="AM196" s="1"/>
      <c r="AN196" s="1"/>
      <c r="AO196" s="1"/>
      <c r="AP196" s="1"/>
      <c r="AQ196" s="1"/>
    </row>
    <row r="197" spans="1:43" ht="17.25" thickBot="1" x14ac:dyDescent="0.35">
      <c r="A197" s="147"/>
      <c r="B197" s="97">
        <v>43774</v>
      </c>
      <c r="C197" s="107">
        <v>48</v>
      </c>
      <c r="D197" s="150"/>
      <c r="E197" s="150"/>
      <c r="F197" s="100">
        <v>806</v>
      </c>
      <c r="G197" s="7">
        <f t="shared" si="129"/>
        <v>4030</v>
      </c>
      <c r="H197" s="100"/>
      <c r="I197" s="7">
        <f t="shared" si="130"/>
        <v>0</v>
      </c>
      <c r="J197" s="100"/>
      <c r="K197" s="7">
        <f t="shared" si="125"/>
        <v>0</v>
      </c>
      <c r="L197" s="100"/>
      <c r="M197" s="7">
        <f t="shared" si="126"/>
        <v>0</v>
      </c>
      <c r="N197" s="100"/>
      <c r="O197" s="7">
        <f t="shared" si="127"/>
        <v>0</v>
      </c>
      <c r="P197" s="100">
        <v>14</v>
      </c>
      <c r="Q197" s="7">
        <f t="shared" si="128"/>
        <v>189</v>
      </c>
      <c r="R197" s="8">
        <f t="shared" si="131"/>
        <v>0.23705882352941177</v>
      </c>
      <c r="S197" s="127">
        <f t="shared" ref="S197:S231" si="180">IF(C197=0,"",(G197+I197+M197+O197+Q197+K197)/C197)</f>
        <v>87.895833333333329</v>
      </c>
      <c r="T197" s="152"/>
      <c r="U197" s="180"/>
      <c r="V197" s="180"/>
      <c r="W197" s="152"/>
      <c r="X197" s="100">
        <v>1</v>
      </c>
      <c r="Y197" s="7">
        <f t="shared" si="132"/>
        <v>5</v>
      </c>
      <c r="Z197" s="100">
        <v>1</v>
      </c>
      <c r="AA197" s="7">
        <f t="shared" si="133"/>
        <v>5</v>
      </c>
      <c r="AB197" s="2"/>
      <c r="AC197" s="2"/>
      <c r="AD197" s="2"/>
      <c r="AE197" s="2"/>
      <c r="AF197" s="2"/>
      <c r="AG197" s="1"/>
      <c r="AH197" s="1"/>
      <c r="AI197" s="1"/>
      <c r="AJ197" s="1"/>
      <c r="AK197" s="1"/>
      <c r="AL197" s="1"/>
      <c r="AM197" s="1"/>
      <c r="AN197" s="1"/>
      <c r="AO197" s="1"/>
      <c r="AP197" s="1"/>
      <c r="AQ197" s="1"/>
    </row>
    <row r="198" spans="1:43" ht="17.25" thickBot="1" x14ac:dyDescent="0.35">
      <c r="A198" s="147"/>
      <c r="B198" s="97">
        <v>43775</v>
      </c>
      <c r="C198" s="107">
        <v>30.75</v>
      </c>
      <c r="D198" s="150"/>
      <c r="E198" s="150"/>
      <c r="F198" s="100">
        <v>301</v>
      </c>
      <c r="G198" s="7">
        <f t="shared" si="129"/>
        <v>1505</v>
      </c>
      <c r="H198" s="100"/>
      <c r="I198" s="7">
        <f t="shared" si="130"/>
        <v>0</v>
      </c>
      <c r="J198" s="100"/>
      <c r="K198" s="7">
        <f t="shared" si="125"/>
        <v>0</v>
      </c>
      <c r="L198" s="100"/>
      <c r="M198" s="7">
        <f t="shared" si="126"/>
        <v>0</v>
      </c>
      <c r="N198" s="100"/>
      <c r="O198" s="7">
        <f t="shared" si="127"/>
        <v>0</v>
      </c>
      <c r="P198" s="100">
        <v>19</v>
      </c>
      <c r="Q198" s="7">
        <f t="shared" si="128"/>
        <v>256.5</v>
      </c>
      <c r="R198" s="8">
        <f t="shared" si="131"/>
        <v>8.8529411764705884E-2</v>
      </c>
      <c r="S198" s="127">
        <f t="shared" si="180"/>
        <v>57.284552845528452</v>
      </c>
      <c r="T198" s="152"/>
      <c r="U198" s="180"/>
      <c r="V198" s="180"/>
      <c r="W198" s="152"/>
      <c r="X198" s="100"/>
      <c r="Y198" s="7">
        <f t="shared" si="132"/>
        <v>0</v>
      </c>
      <c r="Z198" s="100"/>
      <c r="AA198" s="7">
        <f t="shared" si="133"/>
        <v>0</v>
      </c>
      <c r="AB198" s="2"/>
      <c r="AC198" s="2"/>
      <c r="AD198" s="2"/>
      <c r="AE198" s="2"/>
      <c r="AF198" s="2"/>
      <c r="AG198" s="1"/>
      <c r="AH198" s="1"/>
      <c r="AI198" s="1"/>
      <c r="AJ198" s="1"/>
      <c r="AK198" s="1"/>
      <c r="AL198" s="1"/>
      <c r="AM198" s="1"/>
      <c r="AN198" s="1"/>
      <c r="AO198" s="1"/>
      <c r="AP198" s="1"/>
      <c r="AQ198" s="1"/>
    </row>
    <row r="199" spans="1:43" ht="17.25" thickBot="1" x14ac:dyDescent="0.35">
      <c r="A199" s="147"/>
      <c r="B199" s="97"/>
      <c r="C199" s="107"/>
      <c r="D199" s="150"/>
      <c r="E199" s="150"/>
      <c r="F199" s="100"/>
      <c r="G199" s="7">
        <f t="shared" si="129"/>
        <v>0</v>
      </c>
      <c r="H199" s="100"/>
      <c r="I199" s="7">
        <f t="shared" si="130"/>
        <v>0</v>
      </c>
      <c r="J199" s="100"/>
      <c r="K199" s="7">
        <f t="shared" si="125"/>
        <v>0</v>
      </c>
      <c r="L199" s="100"/>
      <c r="M199" s="7">
        <f t="shared" si="126"/>
        <v>0</v>
      </c>
      <c r="N199" s="100"/>
      <c r="O199" s="7">
        <f t="shared" si="127"/>
        <v>0</v>
      </c>
      <c r="P199" s="100"/>
      <c r="Q199" s="7">
        <f t="shared" si="128"/>
        <v>0</v>
      </c>
      <c r="R199" s="8">
        <f t="shared" si="131"/>
        <v>0</v>
      </c>
      <c r="S199" s="127" t="str">
        <f t="shared" si="180"/>
        <v/>
      </c>
      <c r="T199" s="152"/>
      <c r="U199" s="180"/>
      <c r="V199" s="180"/>
      <c r="W199" s="152"/>
      <c r="X199" s="100"/>
      <c r="Y199" s="7">
        <f t="shared" si="132"/>
        <v>0</v>
      </c>
      <c r="Z199" s="100"/>
      <c r="AA199" s="7">
        <f t="shared" si="133"/>
        <v>0</v>
      </c>
      <c r="AB199" s="2"/>
      <c r="AC199" s="2"/>
      <c r="AD199" s="2"/>
      <c r="AE199" s="2"/>
      <c r="AF199" s="2"/>
      <c r="AG199" s="1"/>
      <c r="AH199" s="1"/>
      <c r="AI199" s="1"/>
      <c r="AJ199" s="1"/>
      <c r="AK199" s="1"/>
      <c r="AL199" s="1"/>
      <c r="AM199" s="1"/>
      <c r="AN199" s="1"/>
      <c r="AO199" s="1"/>
      <c r="AP199" s="1"/>
      <c r="AQ199" s="1"/>
    </row>
    <row r="200" spans="1:43" ht="17.25" thickBot="1" x14ac:dyDescent="0.35">
      <c r="A200" s="147"/>
      <c r="B200" s="97"/>
      <c r="C200" s="107"/>
      <c r="D200" s="150"/>
      <c r="E200" s="150"/>
      <c r="F200" s="100"/>
      <c r="G200" s="7">
        <f t="shared" si="129"/>
        <v>0</v>
      </c>
      <c r="H200" s="100"/>
      <c r="I200" s="7">
        <f t="shared" si="130"/>
        <v>0</v>
      </c>
      <c r="J200" s="100"/>
      <c r="K200" s="7">
        <f t="shared" si="125"/>
        <v>0</v>
      </c>
      <c r="L200" s="100"/>
      <c r="M200" s="7">
        <f t="shared" si="126"/>
        <v>0</v>
      </c>
      <c r="N200" s="100"/>
      <c r="O200" s="7">
        <f t="shared" si="127"/>
        <v>0</v>
      </c>
      <c r="P200" s="100"/>
      <c r="Q200" s="7">
        <f t="shared" si="128"/>
        <v>0</v>
      </c>
      <c r="R200" s="8">
        <f t="shared" si="131"/>
        <v>0</v>
      </c>
      <c r="S200" s="127" t="str">
        <f t="shared" si="180"/>
        <v/>
      </c>
      <c r="T200" s="152"/>
      <c r="U200" s="180"/>
      <c r="V200" s="180"/>
      <c r="W200" s="152"/>
      <c r="X200" s="100"/>
      <c r="Y200" s="7">
        <f t="shared" si="132"/>
        <v>0</v>
      </c>
      <c r="Z200" s="100"/>
      <c r="AA200" s="7">
        <f t="shared" si="133"/>
        <v>0</v>
      </c>
      <c r="AB200" s="2"/>
      <c r="AC200" s="2"/>
      <c r="AD200" s="2"/>
      <c r="AE200" s="2"/>
      <c r="AF200" s="2"/>
      <c r="AG200" s="1"/>
      <c r="AH200" s="1"/>
      <c r="AI200" s="1"/>
      <c r="AJ200" s="1"/>
      <c r="AK200" s="1"/>
      <c r="AL200" s="1"/>
      <c r="AM200" s="1"/>
      <c r="AN200" s="1"/>
      <c r="AO200" s="1"/>
      <c r="AP200" s="1"/>
      <c r="AQ200" s="1"/>
    </row>
    <row r="201" spans="1:43" ht="17.25" thickBot="1" x14ac:dyDescent="0.35">
      <c r="A201" s="148"/>
      <c r="B201" s="98"/>
      <c r="C201" s="108"/>
      <c r="D201" s="151"/>
      <c r="E201" s="151"/>
      <c r="F201" s="101"/>
      <c r="G201" s="39">
        <f t="shared" si="129"/>
        <v>0</v>
      </c>
      <c r="H201" s="101"/>
      <c r="I201" s="39">
        <f t="shared" si="130"/>
        <v>0</v>
      </c>
      <c r="J201" s="101"/>
      <c r="K201" s="39">
        <f t="shared" si="125"/>
        <v>0</v>
      </c>
      <c r="L201" s="101"/>
      <c r="M201" s="39">
        <f t="shared" si="126"/>
        <v>0</v>
      </c>
      <c r="N201" s="101"/>
      <c r="O201" s="39">
        <f t="shared" si="127"/>
        <v>0</v>
      </c>
      <c r="P201" s="101"/>
      <c r="Q201" s="39">
        <f t="shared" si="128"/>
        <v>0</v>
      </c>
      <c r="R201" s="36">
        <f t="shared" si="131"/>
        <v>0</v>
      </c>
      <c r="S201" s="128" t="str">
        <f t="shared" si="180"/>
        <v/>
      </c>
      <c r="T201" s="152"/>
      <c r="U201" s="181"/>
      <c r="V201" s="181"/>
      <c r="W201" s="152"/>
      <c r="X201" s="101"/>
      <c r="Y201" s="39">
        <f t="shared" si="132"/>
        <v>0</v>
      </c>
      <c r="Z201" s="101"/>
      <c r="AA201" s="39">
        <f t="shared" si="133"/>
        <v>0</v>
      </c>
      <c r="AB201" s="2"/>
      <c r="AC201" s="2"/>
      <c r="AD201" s="2"/>
      <c r="AE201" s="2"/>
      <c r="AF201" s="2"/>
      <c r="AG201" s="1"/>
      <c r="AH201" s="1"/>
      <c r="AI201" s="1"/>
      <c r="AJ201" s="1"/>
      <c r="AK201" s="1"/>
      <c r="AL201" s="1"/>
      <c r="AM201" s="1"/>
      <c r="AN201" s="1"/>
      <c r="AO201" s="1"/>
      <c r="AP201" s="1"/>
      <c r="AQ201" s="1"/>
    </row>
    <row r="202" spans="1:43" ht="17.25" thickBot="1" x14ac:dyDescent="0.35">
      <c r="A202" s="146">
        <v>46</v>
      </c>
      <c r="B202" s="105"/>
      <c r="C202" s="106"/>
      <c r="D202" s="149">
        <f t="shared" ref="D202" si="181">SUM(G202:G207,I202:I207,K202:K207)</f>
        <v>0</v>
      </c>
      <c r="E202" s="149">
        <f t="shared" ref="E202" si="182">SUM(G202:G207,I202:I207,M202:M207,O202:O207,Q202:Q207,K202:K207)</f>
        <v>0</v>
      </c>
      <c r="F202" s="99"/>
      <c r="G202" s="40">
        <f t="shared" si="129"/>
        <v>0</v>
      </c>
      <c r="H202" s="99"/>
      <c r="I202" s="40">
        <f t="shared" si="130"/>
        <v>0</v>
      </c>
      <c r="J202" s="99"/>
      <c r="K202" s="40">
        <f t="shared" ref="K202:K231" si="183">J202*J$3</f>
        <v>0</v>
      </c>
      <c r="L202" s="99"/>
      <c r="M202" s="40">
        <f t="shared" ref="M202:M231" si="184">L202*L$3</f>
        <v>0</v>
      </c>
      <c r="N202" s="99"/>
      <c r="O202" s="40">
        <f t="shared" ref="O202:O231" si="185">N202*N$3</f>
        <v>0</v>
      </c>
      <c r="P202" s="99"/>
      <c r="Q202" s="40">
        <f t="shared" ref="Q202:Q231" si="186">P202*P$3</f>
        <v>0</v>
      </c>
      <c r="R202" s="34">
        <f t="shared" si="131"/>
        <v>0</v>
      </c>
      <c r="S202" s="126" t="str">
        <f t="shared" si="180"/>
        <v/>
      </c>
      <c r="T202" s="152" t="e">
        <f t="shared" ref="T202" si="187">AVERAGE(S202:S207)</f>
        <v>#DIV/0!</v>
      </c>
      <c r="U202" s="179">
        <f t="shared" ref="U202" si="188">(SUM(G202:G207)+SUM(I202:I207))/$F$1</f>
        <v>0</v>
      </c>
      <c r="V202" s="179">
        <f t="shared" ref="V202" si="189">SUM(R202:R207)</f>
        <v>0</v>
      </c>
      <c r="W202" s="152">
        <v>0</v>
      </c>
      <c r="X202" s="99"/>
      <c r="Y202" s="40">
        <f t="shared" si="132"/>
        <v>0</v>
      </c>
      <c r="Z202" s="99"/>
      <c r="AA202" s="40">
        <f t="shared" si="133"/>
        <v>0</v>
      </c>
      <c r="AB202" s="2"/>
      <c r="AC202" s="2"/>
      <c r="AD202" s="2"/>
      <c r="AE202" s="2"/>
      <c r="AF202" s="2"/>
      <c r="AG202" s="1"/>
      <c r="AH202" s="1"/>
      <c r="AI202" s="1"/>
      <c r="AJ202" s="1"/>
      <c r="AK202" s="1"/>
      <c r="AL202" s="1"/>
      <c r="AM202" s="1"/>
      <c r="AN202" s="1"/>
      <c r="AO202" s="1"/>
      <c r="AP202" s="1"/>
      <c r="AQ202" s="1"/>
    </row>
    <row r="203" spans="1:43" ht="17.25" thickBot="1" x14ac:dyDescent="0.35">
      <c r="A203" s="147"/>
      <c r="B203" s="97"/>
      <c r="C203" s="107"/>
      <c r="D203" s="150"/>
      <c r="E203" s="150"/>
      <c r="F203" s="100"/>
      <c r="G203" s="7">
        <f t="shared" ref="G203:G231" si="190">F203*F$3</f>
        <v>0</v>
      </c>
      <c r="H203" s="100"/>
      <c r="I203" s="7">
        <f t="shared" ref="I203:I231" si="191">H203*H$3</f>
        <v>0</v>
      </c>
      <c r="J203" s="100"/>
      <c r="K203" s="7">
        <f t="shared" si="183"/>
        <v>0</v>
      </c>
      <c r="L203" s="100"/>
      <c r="M203" s="7">
        <f t="shared" si="184"/>
        <v>0</v>
      </c>
      <c r="N203" s="100"/>
      <c r="O203" s="7">
        <f t="shared" si="185"/>
        <v>0</v>
      </c>
      <c r="P203" s="100"/>
      <c r="Q203" s="7">
        <f t="shared" si="186"/>
        <v>0</v>
      </c>
      <c r="R203" s="8">
        <f t="shared" ref="R203:R231" si="192">(G203+I203+M203+O203+K203)/F$1</f>
        <v>0</v>
      </c>
      <c r="S203" s="127" t="str">
        <f t="shared" si="180"/>
        <v/>
      </c>
      <c r="T203" s="152"/>
      <c r="U203" s="180"/>
      <c r="V203" s="180"/>
      <c r="W203" s="152"/>
      <c r="X203" s="100"/>
      <c r="Y203" s="7">
        <f t="shared" ref="Y203:Y231" si="193">X203*X$3</f>
        <v>0</v>
      </c>
      <c r="Z203" s="100"/>
      <c r="AA203" s="7">
        <f t="shared" ref="AA203:AA231" si="194">Z203*Z$3</f>
        <v>0</v>
      </c>
      <c r="AB203" s="2"/>
      <c r="AC203" s="2"/>
      <c r="AD203" s="2"/>
      <c r="AE203" s="2"/>
      <c r="AF203" s="2"/>
      <c r="AG203" s="1"/>
      <c r="AH203" s="1"/>
      <c r="AI203" s="1"/>
      <c r="AJ203" s="1"/>
      <c r="AK203" s="1"/>
      <c r="AL203" s="1"/>
      <c r="AM203" s="1"/>
      <c r="AN203" s="1"/>
      <c r="AO203" s="1"/>
      <c r="AP203" s="1"/>
      <c r="AQ203" s="1"/>
    </row>
    <row r="204" spans="1:43" ht="17.25" thickBot="1" x14ac:dyDescent="0.35">
      <c r="A204" s="147"/>
      <c r="B204" s="97"/>
      <c r="C204" s="107"/>
      <c r="D204" s="150"/>
      <c r="E204" s="150"/>
      <c r="F204" s="100"/>
      <c r="G204" s="7">
        <f t="shared" si="190"/>
        <v>0</v>
      </c>
      <c r="H204" s="100"/>
      <c r="I204" s="7">
        <f t="shared" si="191"/>
        <v>0</v>
      </c>
      <c r="J204" s="100"/>
      <c r="K204" s="7">
        <f t="shared" si="183"/>
        <v>0</v>
      </c>
      <c r="L204" s="100"/>
      <c r="M204" s="7">
        <f t="shared" si="184"/>
        <v>0</v>
      </c>
      <c r="N204" s="100"/>
      <c r="O204" s="7">
        <f t="shared" si="185"/>
        <v>0</v>
      </c>
      <c r="P204" s="100"/>
      <c r="Q204" s="7">
        <f t="shared" si="186"/>
        <v>0</v>
      </c>
      <c r="R204" s="8">
        <f t="shared" si="192"/>
        <v>0</v>
      </c>
      <c r="S204" s="127" t="str">
        <f t="shared" si="180"/>
        <v/>
      </c>
      <c r="T204" s="152"/>
      <c r="U204" s="180"/>
      <c r="V204" s="180"/>
      <c r="W204" s="152"/>
      <c r="X204" s="100"/>
      <c r="Y204" s="7">
        <f t="shared" si="193"/>
        <v>0</v>
      </c>
      <c r="Z204" s="100"/>
      <c r="AA204" s="7">
        <f t="shared" si="194"/>
        <v>0</v>
      </c>
      <c r="AB204" s="2"/>
      <c r="AC204" s="2"/>
      <c r="AD204" s="2"/>
      <c r="AE204" s="2"/>
      <c r="AF204" s="2"/>
      <c r="AG204" s="1"/>
      <c r="AH204" s="1"/>
      <c r="AI204" s="1"/>
      <c r="AJ204" s="1"/>
      <c r="AK204" s="1"/>
      <c r="AL204" s="1"/>
      <c r="AM204" s="1"/>
      <c r="AN204" s="1"/>
      <c r="AO204" s="1"/>
      <c r="AP204" s="1"/>
      <c r="AQ204" s="1"/>
    </row>
    <row r="205" spans="1:43" ht="17.25" thickBot="1" x14ac:dyDescent="0.35">
      <c r="A205" s="147"/>
      <c r="B205" s="97"/>
      <c r="C205" s="107"/>
      <c r="D205" s="150"/>
      <c r="E205" s="150"/>
      <c r="F205" s="100"/>
      <c r="G205" s="7">
        <f t="shared" si="190"/>
        <v>0</v>
      </c>
      <c r="H205" s="100"/>
      <c r="I205" s="7">
        <f t="shared" si="191"/>
        <v>0</v>
      </c>
      <c r="J205" s="100"/>
      <c r="K205" s="7">
        <f t="shared" si="183"/>
        <v>0</v>
      </c>
      <c r="L205" s="100"/>
      <c r="M205" s="7">
        <f t="shared" si="184"/>
        <v>0</v>
      </c>
      <c r="N205" s="100"/>
      <c r="O205" s="7">
        <f t="shared" si="185"/>
        <v>0</v>
      </c>
      <c r="P205" s="100"/>
      <c r="Q205" s="7">
        <f t="shared" si="186"/>
        <v>0</v>
      </c>
      <c r="R205" s="8">
        <f t="shared" si="192"/>
        <v>0</v>
      </c>
      <c r="S205" s="127" t="str">
        <f t="shared" si="180"/>
        <v/>
      </c>
      <c r="T205" s="152"/>
      <c r="U205" s="180"/>
      <c r="V205" s="180"/>
      <c r="W205" s="152"/>
      <c r="X205" s="100"/>
      <c r="Y205" s="7">
        <f t="shared" si="193"/>
        <v>0</v>
      </c>
      <c r="Z205" s="100"/>
      <c r="AA205" s="7">
        <f t="shared" si="194"/>
        <v>0</v>
      </c>
      <c r="AB205" s="2"/>
      <c r="AC205" s="2"/>
      <c r="AD205" s="2"/>
      <c r="AE205" s="2"/>
      <c r="AF205" s="2"/>
      <c r="AG205" s="1"/>
      <c r="AH205" s="1"/>
      <c r="AI205" s="1"/>
      <c r="AJ205" s="1"/>
      <c r="AK205" s="1"/>
      <c r="AL205" s="1"/>
      <c r="AM205" s="1"/>
      <c r="AN205" s="1"/>
      <c r="AO205" s="1"/>
      <c r="AP205" s="1"/>
      <c r="AQ205" s="1"/>
    </row>
    <row r="206" spans="1:43" ht="17.25" thickBot="1" x14ac:dyDescent="0.35">
      <c r="A206" s="147"/>
      <c r="B206" s="97"/>
      <c r="C206" s="107"/>
      <c r="D206" s="150"/>
      <c r="E206" s="150"/>
      <c r="F206" s="100"/>
      <c r="G206" s="7">
        <f t="shared" si="190"/>
        <v>0</v>
      </c>
      <c r="H206" s="100"/>
      <c r="I206" s="7">
        <f t="shared" si="191"/>
        <v>0</v>
      </c>
      <c r="J206" s="100"/>
      <c r="K206" s="7">
        <f t="shared" si="183"/>
        <v>0</v>
      </c>
      <c r="L206" s="100"/>
      <c r="M206" s="7">
        <f t="shared" si="184"/>
        <v>0</v>
      </c>
      <c r="N206" s="100"/>
      <c r="O206" s="7">
        <f t="shared" si="185"/>
        <v>0</v>
      </c>
      <c r="P206" s="100"/>
      <c r="Q206" s="7">
        <f t="shared" si="186"/>
        <v>0</v>
      </c>
      <c r="R206" s="8">
        <f t="shared" si="192"/>
        <v>0</v>
      </c>
      <c r="S206" s="127" t="str">
        <f t="shared" si="180"/>
        <v/>
      </c>
      <c r="T206" s="152"/>
      <c r="U206" s="180"/>
      <c r="V206" s="180"/>
      <c r="W206" s="152"/>
      <c r="X206" s="100"/>
      <c r="Y206" s="7">
        <f t="shared" si="193"/>
        <v>0</v>
      </c>
      <c r="Z206" s="100"/>
      <c r="AA206" s="7">
        <f t="shared" si="194"/>
        <v>0</v>
      </c>
      <c r="AB206" s="2"/>
      <c r="AC206" s="2"/>
      <c r="AD206" s="2"/>
      <c r="AE206" s="2"/>
      <c r="AF206" s="2"/>
      <c r="AG206" s="1"/>
      <c r="AH206" s="1"/>
      <c r="AI206" s="1"/>
      <c r="AJ206" s="1"/>
      <c r="AK206" s="1"/>
      <c r="AL206" s="1"/>
      <c r="AM206" s="1"/>
      <c r="AN206" s="1"/>
      <c r="AO206" s="1"/>
      <c r="AP206" s="1"/>
      <c r="AQ206" s="1"/>
    </row>
    <row r="207" spans="1:43" ht="17.25" thickBot="1" x14ac:dyDescent="0.35">
      <c r="A207" s="148"/>
      <c r="B207" s="98"/>
      <c r="C207" s="108"/>
      <c r="D207" s="151"/>
      <c r="E207" s="151"/>
      <c r="F207" s="101"/>
      <c r="G207" s="39">
        <f t="shared" si="190"/>
        <v>0</v>
      </c>
      <c r="H207" s="101"/>
      <c r="I207" s="39">
        <f t="shared" si="191"/>
        <v>0</v>
      </c>
      <c r="J207" s="101"/>
      <c r="K207" s="39">
        <f t="shared" si="183"/>
        <v>0</v>
      </c>
      <c r="L207" s="101"/>
      <c r="M207" s="39">
        <f t="shared" si="184"/>
        <v>0</v>
      </c>
      <c r="N207" s="101"/>
      <c r="O207" s="39">
        <f t="shared" si="185"/>
        <v>0</v>
      </c>
      <c r="P207" s="101"/>
      <c r="Q207" s="39">
        <f t="shared" si="186"/>
        <v>0</v>
      </c>
      <c r="R207" s="36">
        <f t="shared" si="192"/>
        <v>0</v>
      </c>
      <c r="S207" s="128" t="str">
        <f t="shared" si="180"/>
        <v/>
      </c>
      <c r="T207" s="152"/>
      <c r="U207" s="181"/>
      <c r="V207" s="181"/>
      <c r="W207" s="152"/>
      <c r="X207" s="101"/>
      <c r="Y207" s="39">
        <f t="shared" si="193"/>
        <v>0</v>
      </c>
      <c r="Z207" s="101"/>
      <c r="AA207" s="39">
        <f t="shared" si="194"/>
        <v>0</v>
      </c>
      <c r="AB207" s="2"/>
      <c r="AC207" s="2"/>
      <c r="AD207" s="2"/>
      <c r="AE207" s="2"/>
      <c r="AF207" s="2"/>
      <c r="AG207" s="1"/>
      <c r="AH207" s="1"/>
      <c r="AI207" s="1"/>
      <c r="AJ207" s="1"/>
      <c r="AK207" s="1"/>
      <c r="AL207" s="1"/>
      <c r="AM207" s="1"/>
      <c r="AN207" s="1"/>
      <c r="AO207" s="1"/>
      <c r="AP207" s="1"/>
      <c r="AQ207" s="1"/>
    </row>
    <row r="208" spans="1:43" ht="17.25" thickBot="1" x14ac:dyDescent="0.35">
      <c r="A208" s="147">
        <v>47</v>
      </c>
      <c r="B208" s="105"/>
      <c r="C208" s="106"/>
      <c r="D208" s="149">
        <f t="shared" ref="D208" si="195">SUM(G208:G213,I208:I213,K208:K213)</f>
        <v>0</v>
      </c>
      <c r="E208" s="149">
        <f t="shared" ref="E208" si="196">SUM(G208:G213,I208:I213,M208:M213,O208:O213,Q208:Q213,K208:K213)</f>
        <v>0</v>
      </c>
      <c r="F208" s="99"/>
      <c r="G208" s="7">
        <f t="shared" si="190"/>
        <v>0</v>
      </c>
      <c r="H208" s="99"/>
      <c r="I208" s="7">
        <f t="shared" si="191"/>
        <v>0</v>
      </c>
      <c r="J208" s="99"/>
      <c r="K208" s="7">
        <f t="shared" si="183"/>
        <v>0</v>
      </c>
      <c r="L208" s="99"/>
      <c r="M208" s="7">
        <f t="shared" si="184"/>
        <v>0</v>
      </c>
      <c r="N208" s="99"/>
      <c r="O208" s="7">
        <f t="shared" si="185"/>
        <v>0</v>
      </c>
      <c r="P208" s="99"/>
      <c r="Q208" s="7">
        <f t="shared" si="186"/>
        <v>0</v>
      </c>
      <c r="R208" s="8">
        <f t="shared" si="192"/>
        <v>0</v>
      </c>
      <c r="S208" s="126" t="str">
        <f t="shared" si="180"/>
        <v/>
      </c>
      <c r="T208" s="152" t="e">
        <f>AVERAGE(S208:S213)</f>
        <v>#DIV/0!</v>
      </c>
      <c r="U208" s="179">
        <f t="shared" ref="U208" si="197">(SUM(G208:G213)+SUM(I208:I213))/$F$1</f>
        <v>0</v>
      </c>
      <c r="V208" s="179">
        <f t="shared" ref="V208" si="198">SUM(R208:R213)</f>
        <v>0</v>
      </c>
      <c r="W208" s="152">
        <v>0</v>
      </c>
      <c r="X208" s="99"/>
      <c r="Y208" s="7">
        <f t="shared" si="193"/>
        <v>0</v>
      </c>
      <c r="Z208" s="99"/>
      <c r="AA208" s="7">
        <f t="shared" si="194"/>
        <v>0</v>
      </c>
      <c r="AB208" s="2"/>
      <c r="AC208" s="2"/>
      <c r="AD208" s="2"/>
      <c r="AE208" s="2"/>
      <c r="AF208" s="2"/>
      <c r="AG208" s="1"/>
      <c r="AH208" s="1"/>
      <c r="AI208" s="1"/>
      <c r="AJ208" s="1"/>
      <c r="AK208" s="1"/>
      <c r="AL208" s="1"/>
      <c r="AM208" s="1"/>
      <c r="AN208" s="1"/>
      <c r="AO208" s="1"/>
      <c r="AP208" s="1"/>
      <c r="AQ208" s="1"/>
    </row>
    <row r="209" spans="1:43" ht="17.25" thickBot="1" x14ac:dyDescent="0.35">
      <c r="A209" s="147"/>
      <c r="B209" s="97"/>
      <c r="C209" s="107"/>
      <c r="D209" s="150"/>
      <c r="E209" s="150"/>
      <c r="F209" s="100"/>
      <c r="G209" s="7">
        <f t="shared" si="190"/>
        <v>0</v>
      </c>
      <c r="H209" s="100"/>
      <c r="I209" s="7">
        <f t="shared" si="191"/>
        <v>0</v>
      </c>
      <c r="J209" s="100"/>
      <c r="K209" s="7">
        <f t="shared" si="183"/>
        <v>0</v>
      </c>
      <c r="L209" s="100"/>
      <c r="M209" s="7">
        <f t="shared" si="184"/>
        <v>0</v>
      </c>
      <c r="N209" s="100"/>
      <c r="O209" s="7">
        <f t="shared" si="185"/>
        <v>0</v>
      </c>
      <c r="P209" s="100"/>
      <c r="Q209" s="7">
        <f t="shared" si="186"/>
        <v>0</v>
      </c>
      <c r="R209" s="8">
        <f t="shared" si="192"/>
        <v>0</v>
      </c>
      <c r="S209" s="127" t="str">
        <f t="shared" si="180"/>
        <v/>
      </c>
      <c r="T209" s="152"/>
      <c r="U209" s="180"/>
      <c r="V209" s="180"/>
      <c r="W209" s="152"/>
      <c r="X209" s="100"/>
      <c r="Y209" s="7">
        <f t="shared" si="193"/>
        <v>0</v>
      </c>
      <c r="Z209" s="100"/>
      <c r="AA209" s="7">
        <f t="shared" si="194"/>
        <v>0</v>
      </c>
      <c r="AB209" s="2"/>
      <c r="AC209" s="2"/>
      <c r="AD209" s="2"/>
      <c r="AE209" s="2"/>
      <c r="AF209" s="2"/>
      <c r="AG209" s="1"/>
      <c r="AH209" s="1"/>
      <c r="AI209" s="1"/>
      <c r="AJ209" s="1"/>
      <c r="AK209" s="1"/>
      <c r="AL209" s="1"/>
      <c r="AM209" s="1"/>
      <c r="AN209" s="1"/>
      <c r="AO209" s="1"/>
      <c r="AP209" s="1"/>
      <c r="AQ209" s="1"/>
    </row>
    <row r="210" spans="1:43" ht="17.25" thickBot="1" x14ac:dyDescent="0.35">
      <c r="A210" s="147"/>
      <c r="B210" s="97"/>
      <c r="C210" s="107"/>
      <c r="D210" s="150"/>
      <c r="E210" s="150"/>
      <c r="F210" s="100"/>
      <c r="G210" s="7">
        <f t="shared" si="190"/>
        <v>0</v>
      </c>
      <c r="H210" s="100"/>
      <c r="I210" s="7">
        <f t="shared" si="191"/>
        <v>0</v>
      </c>
      <c r="J210" s="100"/>
      <c r="K210" s="7">
        <f t="shared" si="183"/>
        <v>0</v>
      </c>
      <c r="L210" s="100"/>
      <c r="M210" s="7">
        <f t="shared" si="184"/>
        <v>0</v>
      </c>
      <c r="N210" s="100"/>
      <c r="O210" s="7">
        <f t="shared" si="185"/>
        <v>0</v>
      </c>
      <c r="P210" s="100"/>
      <c r="Q210" s="7">
        <f t="shared" si="186"/>
        <v>0</v>
      </c>
      <c r="R210" s="8">
        <f t="shared" si="192"/>
        <v>0</v>
      </c>
      <c r="S210" s="127" t="str">
        <f t="shared" si="180"/>
        <v/>
      </c>
      <c r="T210" s="152"/>
      <c r="U210" s="180"/>
      <c r="V210" s="180"/>
      <c r="W210" s="152"/>
      <c r="X210" s="100"/>
      <c r="Y210" s="7">
        <f t="shared" si="193"/>
        <v>0</v>
      </c>
      <c r="Z210" s="100"/>
      <c r="AA210" s="7">
        <f t="shared" si="194"/>
        <v>0</v>
      </c>
      <c r="AB210" s="2"/>
      <c r="AC210" s="2"/>
      <c r="AD210" s="2"/>
      <c r="AE210" s="2"/>
      <c r="AF210" s="2"/>
      <c r="AG210" s="1"/>
      <c r="AH210" s="1"/>
      <c r="AI210" s="1"/>
      <c r="AJ210" s="1"/>
      <c r="AK210" s="1"/>
      <c r="AL210" s="1"/>
      <c r="AM210" s="1"/>
      <c r="AN210" s="1"/>
      <c r="AO210" s="1"/>
      <c r="AP210" s="1"/>
      <c r="AQ210" s="1"/>
    </row>
    <row r="211" spans="1:43" ht="17.25" thickBot="1" x14ac:dyDescent="0.35">
      <c r="A211" s="147"/>
      <c r="B211" s="97"/>
      <c r="C211" s="107"/>
      <c r="D211" s="150"/>
      <c r="E211" s="150"/>
      <c r="F211" s="100"/>
      <c r="G211" s="7">
        <f t="shared" si="190"/>
        <v>0</v>
      </c>
      <c r="H211" s="100"/>
      <c r="I211" s="7">
        <f t="shared" si="191"/>
        <v>0</v>
      </c>
      <c r="J211" s="100"/>
      <c r="K211" s="7">
        <f t="shared" si="183"/>
        <v>0</v>
      </c>
      <c r="L211" s="100"/>
      <c r="M211" s="7">
        <f t="shared" si="184"/>
        <v>0</v>
      </c>
      <c r="N211" s="100"/>
      <c r="O211" s="7">
        <f t="shared" si="185"/>
        <v>0</v>
      </c>
      <c r="P211" s="100"/>
      <c r="Q211" s="7">
        <f t="shared" si="186"/>
        <v>0</v>
      </c>
      <c r="R211" s="8">
        <f t="shared" si="192"/>
        <v>0</v>
      </c>
      <c r="S211" s="127" t="str">
        <f t="shared" si="180"/>
        <v/>
      </c>
      <c r="T211" s="152"/>
      <c r="U211" s="180"/>
      <c r="V211" s="180"/>
      <c r="W211" s="152"/>
      <c r="X211" s="100"/>
      <c r="Y211" s="7">
        <f t="shared" si="193"/>
        <v>0</v>
      </c>
      <c r="Z211" s="100"/>
      <c r="AA211" s="7">
        <f t="shared" si="194"/>
        <v>0</v>
      </c>
      <c r="AB211" s="2"/>
      <c r="AC211" s="2"/>
      <c r="AD211" s="2"/>
      <c r="AE211" s="2"/>
      <c r="AF211" s="2"/>
      <c r="AG211" s="1"/>
      <c r="AH211" s="1"/>
      <c r="AI211" s="1"/>
      <c r="AJ211" s="1"/>
      <c r="AK211" s="1"/>
      <c r="AL211" s="1"/>
      <c r="AM211" s="1"/>
      <c r="AN211" s="1"/>
      <c r="AO211" s="1"/>
      <c r="AP211" s="1"/>
      <c r="AQ211" s="1"/>
    </row>
    <row r="212" spans="1:43" ht="17.25" thickBot="1" x14ac:dyDescent="0.35">
      <c r="A212" s="147"/>
      <c r="B212" s="97"/>
      <c r="C212" s="107"/>
      <c r="D212" s="150"/>
      <c r="E212" s="150"/>
      <c r="F212" s="100"/>
      <c r="G212" s="7">
        <f t="shared" si="190"/>
        <v>0</v>
      </c>
      <c r="H212" s="100"/>
      <c r="I212" s="7">
        <f t="shared" si="191"/>
        <v>0</v>
      </c>
      <c r="J212" s="100"/>
      <c r="K212" s="7">
        <f t="shared" si="183"/>
        <v>0</v>
      </c>
      <c r="L212" s="100"/>
      <c r="M212" s="7">
        <f t="shared" si="184"/>
        <v>0</v>
      </c>
      <c r="N212" s="100"/>
      <c r="O212" s="7">
        <f t="shared" si="185"/>
        <v>0</v>
      </c>
      <c r="P212" s="100"/>
      <c r="Q212" s="7">
        <f t="shared" si="186"/>
        <v>0</v>
      </c>
      <c r="R212" s="8">
        <f t="shared" si="192"/>
        <v>0</v>
      </c>
      <c r="S212" s="127" t="str">
        <f t="shared" si="180"/>
        <v/>
      </c>
      <c r="T212" s="152"/>
      <c r="U212" s="180"/>
      <c r="V212" s="180"/>
      <c r="W212" s="152"/>
      <c r="X212" s="100"/>
      <c r="Y212" s="7">
        <f t="shared" si="193"/>
        <v>0</v>
      </c>
      <c r="Z212" s="100"/>
      <c r="AA212" s="7">
        <f t="shared" si="194"/>
        <v>0</v>
      </c>
      <c r="AB212" s="2"/>
      <c r="AC212" s="2"/>
      <c r="AD212" s="2"/>
      <c r="AE212" s="2"/>
      <c r="AF212" s="2"/>
      <c r="AG212" s="1"/>
      <c r="AH212" s="1"/>
      <c r="AI212" s="1"/>
      <c r="AJ212" s="1"/>
      <c r="AK212" s="1"/>
      <c r="AL212" s="1"/>
      <c r="AM212" s="1"/>
      <c r="AN212" s="1"/>
      <c r="AO212" s="1"/>
      <c r="AP212" s="1"/>
      <c r="AQ212" s="1"/>
    </row>
    <row r="213" spans="1:43" ht="17.25" thickBot="1" x14ac:dyDescent="0.35">
      <c r="A213" s="147"/>
      <c r="B213" s="98"/>
      <c r="C213" s="108"/>
      <c r="D213" s="151"/>
      <c r="E213" s="151"/>
      <c r="F213" s="101"/>
      <c r="G213" s="7">
        <f t="shared" si="190"/>
        <v>0</v>
      </c>
      <c r="H213" s="101"/>
      <c r="I213" s="7">
        <f t="shared" si="191"/>
        <v>0</v>
      </c>
      <c r="J213" s="101"/>
      <c r="K213" s="7">
        <f t="shared" si="183"/>
        <v>0</v>
      </c>
      <c r="L213" s="101"/>
      <c r="M213" s="7">
        <f t="shared" si="184"/>
        <v>0</v>
      </c>
      <c r="N213" s="101"/>
      <c r="O213" s="7">
        <f t="shared" si="185"/>
        <v>0</v>
      </c>
      <c r="P213" s="101"/>
      <c r="Q213" s="7">
        <f t="shared" si="186"/>
        <v>0</v>
      </c>
      <c r="R213" s="8">
        <f t="shared" si="192"/>
        <v>0</v>
      </c>
      <c r="S213" s="128" t="str">
        <f t="shared" si="180"/>
        <v/>
      </c>
      <c r="T213" s="152"/>
      <c r="U213" s="181"/>
      <c r="V213" s="181"/>
      <c r="W213" s="152"/>
      <c r="X213" s="101"/>
      <c r="Y213" s="7">
        <f t="shared" si="193"/>
        <v>0</v>
      </c>
      <c r="Z213" s="101"/>
      <c r="AA213" s="7">
        <f t="shared" si="194"/>
        <v>0</v>
      </c>
      <c r="AB213" s="2"/>
      <c r="AC213" s="2"/>
      <c r="AD213" s="2"/>
      <c r="AE213" s="2"/>
      <c r="AF213" s="2"/>
      <c r="AG213" s="1"/>
      <c r="AH213" s="1"/>
      <c r="AI213" s="1"/>
      <c r="AJ213" s="1"/>
      <c r="AK213" s="1"/>
      <c r="AL213" s="1"/>
      <c r="AM213" s="1"/>
      <c r="AN213" s="1"/>
      <c r="AO213" s="1"/>
      <c r="AP213" s="1"/>
      <c r="AQ213" s="1"/>
    </row>
    <row r="214" spans="1:43" ht="17.25" thickBot="1" x14ac:dyDescent="0.35">
      <c r="A214" s="146">
        <v>48</v>
      </c>
      <c r="B214" s="95"/>
      <c r="C214" s="106"/>
      <c r="D214" s="149">
        <f t="shared" ref="D214" si="199">SUM(G214:G219,I214:I219,K214:K219)</f>
        <v>0</v>
      </c>
      <c r="E214" s="149">
        <f t="shared" ref="E214" si="200">SUM(G214:G219,I214:I219,M214:M219,O214:O219,Q214:Q219,K214:K219)</f>
        <v>0</v>
      </c>
      <c r="F214" s="99"/>
      <c r="G214" s="40">
        <f t="shared" si="190"/>
        <v>0</v>
      </c>
      <c r="H214" s="99"/>
      <c r="I214" s="40">
        <f t="shared" si="191"/>
        <v>0</v>
      </c>
      <c r="J214" s="99"/>
      <c r="K214" s="40">
        <f t="shared" si="183"/>
        <v>0</v>
      </c>
      <c r="L214" s="99"/>
      <c r="M214" s="40">
        <f t="shared" si="184"/>
        <v>0</v>
      </c>
      <c r="N214" s="99"/>
      <c r="O214" s="40">
        <f t="shared" si="185"/>
        <v>0</v>
      </c>
      <c r="P214" s="99"/>
      <c r="Q214" s="40">
        <f t="shared" si="186"/>
        <v>0</v>
      </c>
      <c r="R214" s="34">
        <f t="shared" si="192"/>
        <v>0</v>
      </c>
      <c r="S214" s="126" t="str">
        <f t="shared" si="180"/>
        <v/>
      </c>
      <c r="T214" s="152" t="e">
        <f t="shared" ref="T214" si="201">AVERAGE(S214:S219)</f>
        <v>#DIV/0!</v>
      </c>
      <c r="U214" s="179">
        <f t="shared" ref="U214" si="202">(SUM(G214:G219)+SUM(I214:I219))/$F$1</f>
        <v>0</v>
      </c>
      <c r="V214" s="179">
        <f t="shared" ref="V214" si="203">SUM(R214:R219)</f>
        <v>0</v>
      </c>
      <c r="W214" s="152">
        <v>0</v>
      </c>
      <c r="X214" s="99"/>
      <c r="Y214" s="40">
        <f t="shared" si="193"/>
        <v>0</v>
      </c>
      <c r="Z214" s="99"/>
      <c r="AA214" s="40">
        <f t="shared" si="194"/>
        <v>0</v>
      </c>
      <c r="AB214" s="2"/>
      <c r="AC214" s="2"/>
      <c r="AD214" s="2"/>
      <c r="AE214" s="2"/>
      <c r="AF214" s="2"/>
      <c r="AG214" s="1"/>
      <c r="AH214" s="1"/>
      <c r="AI214" s="1"/>
      <c r="AJ214" s="1"/>
      <c r="AK214" s="1"/>
      <c r="AL214" s="1"/>
      <c r="AM214" s="1"/>
      <c r="AN214" s="1"/>
      <c r="AO214" s="1"/>
      <c r="AP214" s="1"/>
      <c r="AQ214" s="1"/>
    </row>
    <row r="215" spans="1:43" ht="17.25" thickBot="1" x14ac:dyDescent="0.35">
      <c r="A215" s="147"/>
      <c r="B215" s="96"/>
      <c r="C215" s="107"/>
      <c r="D215" s="150"/>
      <c r="E215" s="150"/>
      <c r="F215" s="100"/>
      <c r="G215" s="7">
        <f t="shared" si="190"/>
        <v>0</v>
      </c>
      <c r="H215" s="100"/>
      <c r="I215" s="7">
        <f t="shared" si="191"/>
        <v>0</v>
      </c>
      <c r="J215" s="100"/>
      <c r="K215" s="7">
        <f t="shared" si="183"/>
        <v>0</v>
      </c>
      <c r="L215" s="100"/>
      <c r="M215" s="7">
        <f t="shared" si="184"/>
        <v>0</v>
      </c>
      <c r="N215" s="100"/>
      <c r="O215" s="7">
        <f t="shared" si="185"/>
        <v>0</v>
      </c>
      <c r="P215" s="100"/>
      <c r="Q215" s="7">
        <f t="shared" si="186"/>
        <v>0</v>
      </c>
      <c r="R215" s="8">
        <f t="shared" si="192"/>
        <v>0</v>
      </c>
      <c r="S215" s="127" t="str">
        <f t="shared" si="180"/>
        <v/>
      </c>
      <c r="T215" s="152"/>
      <c r="U215" s="180"/>
      <c r="V215" s="180"/>
      <c r="W215" s="152"/>
      <c r="X215" s="100"/>
      <c r="Y215" s="7">
        <f t="shared" si="193"/>
        <v>0</v>
      </c>
      <c r="Z215" s="100"/>
      <c r="AA215" s="7">
        <f t="shared" si="194"/>
        <v>0</v>
      </c>
      <c r="AB215" s="2"/>
      <c r="AC215" s="2"/>
      <c r="AD215" s="2"/>
      <c r="AE215" s="2"/>
      <c r="AF215" s="2"/>
      <c r="AG215" s="1"/>
      <c r="AH215" s="1"/>
      <c r="AI215" s="1"/>
      <c r="AJ215" s="1"/>
      <c r="AK215" s="1"/>
      <c r="AL215" s="1"/>
      <c r="AM215" s="1"/>
      <c r="AN215" s="1"/>
      <c r="AO215" s="1"/>
      <c r="AP215" s="1"/>
      <c r="AQ215" s="1"/>
    </row>
    <row r="216" spans="1:43" ht="17.25" thickBot="1" x14ac:dyDescent="0.35">
      <c r="A216" s="147"/>
      <c r="B216" s="97"/>
      <c r="C216" s="107"/>
      <c r="D216" s="150"/>
      <c r="E216" s="150"/>
      <c r="F216" s="100"/>
      <c r="G216" s="7">
        <f t="shared" si="190"/>
        <v>0</v>
      </c>
      <c r="H216" s="100"/>
      <c r="I216" s="7">
        <f t="shared" si="191"/>
        <v>0</v>
      </c>
      <c r="J216" s="100"/>
      <c r="K216" s="7">
        <f t="shared" si="183"/>
        <v>0</v>
      </c>
      <c r="L216" s="100"/>
      <c r="M216" s="7">
        <f t="shared" si="184"/>
        <v>0</v>
      </c>
      <c r="N216" s="100"/>
      <c r="O216" s="7">
        <f t="shared" si="185"/>
        <v>0</v>
      </c>
      <c r="P216" s="100"/>
      <c r="Q216" s="7">
        <f t="shared" si="186"/>
        <v>0</v>
      </c>
      <c r="R216" s="8">
        <f t="shared" si="192"/>
        <v>0</v>
      </c>
      <c r="S216" s="127" t="str">
        <f t="shared" si="180"/>
        <v/>
      </c>
      <c r="T216" s="152"/>
      <c r="U216" s="180"/>
      <c r="V216" s="180"/>
      <c r="W216" s="152"/>
      <c r="X216" s="100"/>
      <c r="Y216" s="7">
        <f t="shared" si="193"/>
        <v>0</v>
      </c>
      <c r="Z216" s="100"/>
      <c r="AA216" s="7">
        <f t="shared" si="194"/>
        <v>0</v>
      </c>
      <c r="AB216" s="2"/>
      <c r="AC216" s="2"/>
      <c r="AD216" s="2"/>
      <c r="AE216" s="2"/>
      <c r="AF216" s="2"/>
      <c r="AG216" s="1"/>
      <c r="AH216" s="1"/>
      <c r="AI216" s="1"/>
      <c r="AJ216" s="1"/>
      <c r="AK216" s="1"/>
      <c r="AL216" s="1"/>
      <c r="AM216" s="1"/>
      <c r="AN216" s="1"/>
      <c r="AO216" s="1"/>
      <c r="AP216" s="1"/>
      <c r="AQ216" s="1"/>
    </row>
    <row r="217" spans="1:43" ht="17.25" thickBot="1" x14ac:dyDescent="0.35">
      <c r="A217" s="147"/>
      <c r="B217" s="97"/>
      <c r="C217" s="107"/>
      <c r="D217" s="150"/>
      <c r="E217" s="150"/>
      <c r="F217" s="100"/>
      <c r="G217" s="7">
        <f t="shared" si="190"/>
        <v>0</v>
      </c>
      <c r="H217" s="100"/>
      <c r="I217" s="7">
        <f t="shared" si="191"/>
        <v>0</v>
      </c>
      <c r="J217" s="100"/>
      <c r="K217" s="7">
        <f t="shared" si="183"/>
        <v>0</v>
      </c>
      <c r="L217" s="100"/>
      <c r="M217" s="7">
        <f t="shared" si="184"/>
        <v>0</v>
      </c>
      <c r="N217" s="100"/>
      <c r="O217" s="7">
        <f t="shared" si="185"/>
        <v>0</v>
      </c>
      <c r="P217" s="100"/>
      <c r="Q217" s="7">
        <f t="shared" si="186"/>
        <v>0</v>
      </c>
      <c r="R217" s="8">
        <f t="shared" si="192"/>
        <v>0</v>
      </c>
      <c r="S217" s="127" t="str">
        <f t="shared" si="180"/>
        <v/>
      </c>
      <c r="T217" s="152"/>
      <c r="U217" s="180"/>
      <c r="V217" s="180"/>
      <c r="W217" s="152"/>
      <c r="X217" s="100"/>
      <c r="Y217" s="7">
        <f t="shared" si="193"/>
        <v>0</v>
      </c>
      <c r="Z217" s="100"/>
      <c r="AA217" s="7">
        <f t="shared" si="194"/>
        <v>0</v>
      </c>
      <c r="AB217" s="2"/>
      <c r="AC217" s="2"/>
      <c r="AD217" s="2"/>
      <c r="AE217" s="2"/>
      <c r="AF217" s="2"/>
      <c r="AG217" s="1"/>
      <c r="AH217" s="1"/>
      <c r="AI217" s="1"/>
      <c r="AJ217" s="1"/>
      <c r="AK217" s="1"/>
      <c r="AL217" s="1"/>
      <c r="AM217" s="1"/>
      <c r="AN217" s="1"/>
      <c r="AO217" s="1"/>
      <c r="AP217" s="1"/>
      <c r="AQ217" s="1"/>
    </row>
    <row r="218" spans="1:43" ht="17.25" thickBot="1" x14ac:dyDescent="0.35">
      <c r="A218" s="147"/>
      <c r="B218" s="97"/>
      <c r="C218" s="107"/>
      <c r="D218" s="150"/>
      <c r="E218" s="150"/>
      <c r="F218" s="100"/>
      <c r="G218" s="7">
        <f t="shared" si="190"/>
        <v>0</v>
      </c>
      <c r="H218" s="100"/>
      <c r="I218" s="7">
        <f t="shared" si="191"/>
        <v>0</v>
      </c>
      <c r="J218" s="100"/>
      <c r="K218" s="7">
        <f t="shared" si="183"/>
        <v>0</v>
      </c>
      <c r="L218" s="100"/>
      <c r="M218" s="7">
        <f t="shared" si="184"/>
        <v>0</v>
      </c>
      <c r="N218" s="100"/>
      <c r="O218" s="7">
        <f t="shared" si="185"/>
        <v>0</v>
      </c>
      <c r="P218" s="100"/>
      <c r="Q218" s="7">
        <f t="shared" si="186"/>
        <v>0</v>
      </c>
      <c r="R218" s="8">
        <f t="shared" si="192"/>
        <v>0</v>
      </c>
      <c r="S218" s="127" t="str">
        <f t="shared" si="180"/>
        <v/>
      </c>
      <c r="T218" s="152"/>
      <c r="U218" s="180"/>
      <c r="V218" s="180"/>
      <c r="W218" s="152"/>
      <c r="X218" s="100"/>
      <c r="Y218" s="7">
        <f t="shared" si="193"/>
        <v>0</v>
      </c>
      <c r="Z218" s="100"/>
      <c r="AA218" s="7">
        <f t="shared" si="194"/>
        <v>0</v>
      </c>
      <c r="AB218" s="2"/>
      <c r="AC218" s="2"/>
      <c r="AD218" s="2"/>
      <c r="AE218" s="2"/>
      <c r="AF218" s="2"/>
      <c r="AG218" s="1"/>
      <c r="AH218" s="1"/>
      <c r="AI218" s="1"/>
      <c r="AJ218" s="1"/>
      <c r="AK218" s="1"/>
      <c r="AL218" s="1"/>
      <c r="AM218" s="1"/>
      <c r="AN218" s="1"/>
      <c r="AO218" s="1"/>
      <c r="AP218" s="1"/>
      <c r="AQ218" s="1"/>
    </row>
    <row r="219" spans="1:43" ht="17.25" thickBot="1" x14ac:dyDescent="0.35">
      <c r="A219" s="148"/>
      <c r="B219" s="98"/>
      <c r="C219" s="108"/>
      <c r="D219" s="151"/>
      <c r="E219" s="151"/>
      <c r="F219" s="101"/>
      <c r="G219" s="39">
        <f t="shared" si="190"/>
        <v>0</v>
      </c>
      <c r="H219" s="101"/>
      <c r="I219" s="39">
        <f t="shared" si="191"/>
        <v>0</v>
      </c>
      <c r="J219" s="101"/>
      <c r="K219" s="39">
        <f t="shared" si="183"/>
        <v>0</v>
      </c>
      <c r="L219" s="101"/>
      <c r="M219" s="39">
        <f t="shared" si="184"/>
        <v>0</v>
      </c>
      <c r="N219" s="101"/>
      <c r="O219" s="39">
        <f t="shared" si="185"/>
        <v>0</v>
      </c>
      <c r="P219" s="101"/>
      <c r="Q219" s="39">
        <f t="shared" si="186"/>
        <v>0</v>
      </c>
      <c r="R219" s="36">
        <f t="shared" si="192"/>
        <v>0</v>
      </c>
      <c r="S219" s="128" t="str">
        <f t="shared" si="180"/>
        <v/>
      </c>
      <c r="T219" s="152"/>
      <c r="U219" s="181"/>
      <c r="V219" s="181"/>
      <c r="W219" s="152"/>
      <c r="X219" s="101"/>
      <c r="Y219" s="39">
        <f t="shared" si="193"/>
        <v>0</v>
      </c>
      <c r="Z219" s="101"/>
      <c r="AA219" s="39">
        <f t="shared" si="194"/>
        <v>0</v>
      </c>
      <c r="AB219" s="2"/>
      <c r="AC219" s="2"/>
      <c r="AD219" s="2"/>
      <c r="AE219" s="2"/>
      <c r="AF219" s="2"/>
      <c r="AG219" s="1"/>
      <c r="AH219" s="1"/>
      <c r="AI219" s="1"/>
      <c r="AJ219" s="1"/>
      <c r="AK219" s="1"/>
      <c r="AL219" s="1"/>
      <c r="AM219" s="1"/>
      <c r="AN219" s="1"/>
      <c r="AO219" s="1"/>
      <c r="AP219" s="1"/>
      <c r="AQ219" s="1"/>
    </row>
    <row r="220" spans="1:43" ht="17.25" thickBot="1" x14ac:dyDescent="0.35">
      <c r="A220" s="146">
        <v>49</v>
      </c>
      <c r="B220" s="95"/>
      <c r="C220" s="106"/>
      <c r="D220" s="149">
        <f t="shared" ref="D220" si="204">SUM(G220:G225,I220:I225,K220:K225)</f>
        <v>0</v>
      </c>
      <c r="E220" s="149">
        <f t="shared" ref="E220" si="205">SUM(G220:G225,I220:I225,M220:M225,O220:O225,Q220:Q225,K220:K225)</f>
        <v>0</v>
      </c>
      <c r="F220" s="99"/>
      <c r="G220" s="40">
        <f t="shared" si="190"/>
        <v>0</v>
      </c>
      <c r="H220" s="99"/>
      <c r="I220" s="40">
        <f t="shared" si="191"/>
        <v>0</v>
      </c>
      <c r="J220" s="99"/>
      <c r="K220" s="40">
        <f t="shared" si="183"/>
        <v>0</v>
      </c>
      <c r="L220" s="99"/>
      <c r="M220" s="40">
        <f t="shared" si="184"/>
        <v>0</v>
      </c>
      <c r="N220" s="99"/>
      <c r="O220" s="40">
        <f t="shared" si="185"/>
        <v>0</v>
      </c>
      <c r="P220" s="99"/>
      <c r="Q220" s="40">
        <f t="shared" si="186"/>
        <v>0</v>
      </c>
      <c r="R220" s="34">
        <f t="shared" si="192"/>
        <v>0</v>
      </c>
      <c r="S220" s="126" t="str">
        <f t="shared" si="180"/>
        <v/>
      </c>
      <c r="T220" s="152" t="e">
        <f t="shared" ref="T220" si="206">AVERAGE(S220:S225)</f>
        <v>#DIV/0!</v>
      </c>
      <c r="U220" s="179">
        <f t="shared" ref="U220" si="207">(SUM(G220:G225)+SUM(I220:I225))/$F$1</f>
        <v>0</v>
      </c>
      <c r="V220" s="179">
        <f t="shared" ref="V220" si="208">SUM(R220:R225)</f>
        <v>0</v>
      </c>
      <c r="W220" s="152">
        <v>0</v>
      </c>
      <c r="X220" s="99"/>
      <c r="Y220" s="40">
        <f t="shared" si="193"/>
        <v>0</v>
      </c>
      <c r="Z220" s="99"/>
      <c r="AA220" s="40">
        <f t="shared" si="194"/>
        <v>0</v>
      </c>
      <c r="AB220" s="2"/>
      <c r="AC220" s="2"/>
      <c r="AD220" s="2"/>
      <c r="AE220" s="2"/>
      <c r="AF220" s="2"/>
      <c r="AG220" s="1"/>
      <c r="AH220" s="1"/>
      <c r="AI220" s="1"/>
      <c r="AJ220" s="1"/>
      <c r="AK220" s="1"/>
      <c r="AL220" s="1"/>
      <c r="AM220" s="1"/>
      <c r="AN220" s="1"/>
      <c r="AO220" s="1"/>
      <c r="AP220" s="1"/>
      <c r="AQ220" s="1"/>
    </row>
    <row r="221" spans="1:43" ht="17.25" thickBot="1" x14ac:dyDescent="0.35">
      <c r="A221" s="147"/>
      <c r="B221" s="96"/>
      <c r="C221" s="107"/>
      <c r="D221" s="150"/>
      <c r="E221" s="150"/>
      <c r="F221" s="100"/>
      <c r="G221" s="7">
        <f t="shared" si="190"/>
        <v>0</v>
      </c>
      <c r="H221" s="100"/>
      <c r="I221" s="7">
        <f t="shared" si="191"/>
        <v>0</v>
      </c>
      <c r="J221" s="100"/>
      <c r="K221" s="7">
        <f t="shared" si="183"/>
        <v>0</v>
      </c>
      <c r="L221" s="100"/>
      <c r="M221" s="7">
        <f t="shared" si="184"/>
        <v>0</v>
      </c>
      <c r="N221" s="100"/>
      <c r="O221" s="7">
        <f t="shared" si="185"/>
        <v>0</v>
      </c>
      <c r="P221" s="100"/>
      <c r="Q221" s="7">
        <f t="shared" si="186"/>
        <v>0</v>
      </c>
      <c r="R221" s="8">
        <f t="shared" si="192"/>
        <v>0</v>
      </c>
      <c r="S221" s="127" t="str">
        <f t="shared" si="180"/>
        <v/>
      </c>
      <c r="T221" s="152"/>
      <c r="U221" s="180"/>
      <c r="V221" s="180"/>
      <c r="W221" s="152"/>
      <c r="X221" s="100"/>
      <c r="Y221" s="7">
        <f t="shared" si="193"/>
        <v>0</v>
      </c>
      <c r="Z221" s="100"/>
      <c r="AA221" s="7">
        <f t="shared" si="194"/>
        <v>0</v>
      </c>
      <c r="AB221" s="2"/>
      <c r="AC221" s="2"/>
      <c r="AD221" s="2"/>
      <c r="AE221" s="2"/>
      <c r="AF221" s="2"/>
      <c r="AG221" s="1"/>
      <c r="AH221" s="1"/>
      <c r="AI221" s="1"/>
      <c r="AJ221" s="1"/>
      <c r="AK221" s="1"/>
      <c r="AL221" s="1"/>
      <c r="AM221" s="1"/>
      <c r="AN221" s="1"/>
      <c r="AO221" s="1"/>
      <c r="AP221" s="1"/>
      <c r="AQ221" s="1"/>
    </row>
    <row r="222" spans="1:43" ht="17.25" thickBot="1" x14ac:dyDescent="0.35">
      <c r="A222" s="147"/>
      <c r="B222" s="97"/>
      <c r="C222" s="107"/>
      <c r="D222" s="150"/>
      <c r="E222" s="150"/>
      <c r="F222" s="100"/>
      <c r="G222" s="7">
        <f t="shared" si="190"/>
        <v>0</v>
      </c>
      <c r="H222" s="100"/>
      <c r="I222" s="7">
        <f t="shared" si="191"/>
        <v>0</v>
      </c>
      <c r="J222" s="100"/>
      <c r="K222" s="7">
        <f t="shared" si="183"/>
        <v>0</v>
      </c>
      <c r="L222" s="100"/>
      <c r="M222" s="7">
        <f t="shared" si="184"/>
        <v>0</v>
      </c>
      <c r="N222" s="100"/>
      <c r="O222" s="7">
        <f t="shared" si="185"/>
        <v>0</v>
      </c>
      <c r="P222" s="100"/>
      <c r="Q222" s="7">
        <f t="shared" si="186"/>
        <v>0</v>
      </c>
      <c r="R222" s="8">
        <f t="shared" si="192"/>
        <v>0</v>
      </c>
      <c r="S222" s="127" t="str">
        <f t="shared" si="180"/>
        <v/>
      </c>
      <c r="T222" s="152"/>
      <c r="U222" s="180"/>
      <c r="V222" s="180"/>
      <c r="W222" s="152"/>
      <c r="X222" s="100"/>
      <c r="Y222" s="7">
        <f t="shared" si="193"/>
        <v>0</v>
      </c>
      <c r="Z222" s="100"/>
      <c r="AA222" s="7">
        <f t="shared" si="194"/>
        <v>0</v>
      </c>
      <c r="AB222" s="2"/>
      <c r="AC222" s="2"/>
      <c r="AD222" s="2"/>
      <c r="AE222" s="2"/>
      <c r="AF222" s="2"/>
      <c r="AG222" s="1"/>
      <c r="AH222" s="1"/>
      <c r="AI222" s="1"/>
      <c r="AJ222" s="1"/>
      <c r="AK222" s="1"/>
      <c r="AL222" s="1"/>
      <c r="AM222" s="1"/>
      <c r="AN222" s="1"/>
      <c r="AO222" s="1"/>
      <c r="AP222" s="1"/>
      <c r="AQ222" s="1"/>
    </row>
    <row r="223" spans="1:43" ht="17.25" thickBot="1" x14ac:dyDescent="0.35">
      <c r="A223" s="147"/>
      <c r="B223" s="97"/>
      <c r="C223" s="107"/>
      <c r="D223" s="150"/>
      <c r="E223" s="150"/>
      <c r="F223" s="100"/>
      <c r="G223" s="7">
        <f t="shared" si="190"/>
        <v>0</v>
      </c>
      <c r="H223" s="100"/>
      <c r="I223" s="7">
        <f t="shared" si="191"/>
        <v>0</v>
      </c>
      <c r="J223" s="100"/>
      <c r="K223" s="7">
        <f t="shared" si="183"/>
        <v>0</v>
      </c>
      <c r="L223" s="100"/>
      <c r="M223" s="7">
        <f t="shared" si="184"/>
        <v>0</v>
      </c>
      <c r="N223" s="100"/>
      <c r="O223" s="7">
        <f t="shared" si="185"/>
        <v>0</v>
      </c>
      <c r="P223" s="100"/>
      <c r="Q223" s="7">
        <f t="shared" si="186"/>
        <v>0</v>
      </c>
      <c r="R223" s="8">
        <f t="shared" si="192"/>
        <v>0</v>
      </c>
      <c r="S223" s="127" t="str">
        <f t="shared" si="180"/>
        <v/>
      </c>
      <c r="T223" s="152"/>
      <c r="U223" s="180"/>
      <c r="V223" s="180"/>
      <c r="W223" s="152"/>
      <c r="X223" s="100"/>
      <c r="Y223" s="7">
        <f t="shared" si="193"/>
        <v>0</v>
      </c>
      <c r="Z223" s="100"/>
      <c r="AA223" s="7">
        <f t="shared" si="194"/>
        <v>0</v>
      </c>
      <c r="AB223" s="2"/>
      <c r="AC223" s="2"/>
      <c r="AD223" s="2"/>
      <c r="AE223" s="2"/>
      <c r="AF223" s="2"/>
      <c r="AG223" s="1"/>
      <c r="AH223" s="1"/>
      <c r="AI223" s="1"/>
      <c r="AJ223" s="1"/>
      <c r="AK223" s="1"/>
      <c r="AL223" s="1"/>
      <c r="AM223" s="1"/>
      <c r="AN223" s="1"/>
      <c r="AO223" s="1"/>
      <c r="AP223" s="1"/>
      <c r="AQ223" s="1"/>
    </row>
    <row r="224" spans="1:43" ht="17.25" thickBot="1" x14ac:dyDescent="0.35">
      <c r="A224" s="147"/>
      <c r="B224" s="97"/>
      <c r="C224" s="107"/>
      <c r="D224" s="150"/>
      <c r="E224" s="150"/>
      <c r="F224" s="100"/>
      <c r="G224" s="7">
        <f t="shared" si="190"/>
        <v>0</v>
      </c>
      <c r="H224" s="100"/>
      <c r="I224" s="7">
        <f t="shared" si="191"/>
        <v>0</v>
      </c>
      <c r="J224" s="100"/>
      <c r="K224" s="7">
        <f t="shared" si="183"/>
        <v>0</v>
      </c>
      <c r="L224" s="100"/>
      <c r="M224" s="7">
        <f t="shared" si="184"/>
        <v>0</v>
      </c>
      <c r="N224" s="100"/>
      <c r="O224" s="7">
        <f t="shared" si="185"/>
        <v>0</v>
      </c>
      <c r="P224" s="100"/>
      <c r="Q224" s="7">
        <f t="shared" si="186"/>
        <v>0</v>
      </c>
      <c r="R224" s="8">
        <f t="shared" si="192"/>
        <v>0</v>
      </c>
      <c r="S224" s="127" t="str">
        <f t="shared" si="180"/>
        <v/>
      </c>
      <c r="T224" s="152"/>
      <c r="U224" s="180"/>
      <c r="V224" s="180"/>
      <c r="W224" s="152"/>
      <c r="X224" s="100"/>
      <c r="Y224" s="7">
        <f t="shared" si="193"/>
        <v>0</v>
      </c>
      <c r="Z224" s="100"/>
      <c r="AA224" s="7">
        <f t="shared" si="194"/>
        <v>0</v>
      </c>
      <c r="AB224" s="2"/>
      <c r="AC224" s="2"/>
      <c r="AD224" s="2"/>
      <c r="AE224" s="2"/>
      <c r="AF224" s="2"/>
      <c r="AG224" s="1"/>
      <c r="AH224" s="1"/>
      <c r="AI224" s="1"/>
      <c r="AJ224" s="1"/>
      <c r="AK224" s="1"/>
      <c r="AL224" s="1"/>
      <c r="AM224" s="1"/>
      <c r="AN224" s="1"/>
      <c r="AO224" s="1"/>
      <c r="AP224" s="1"/>
      <c r="AQ224" s="1"/>
    </row>
    <row r="225" spans="1:43" ht="17.25" thickBot="1" x14ac:dyDescent="0.35">
      <c r="A225" s="148"/>
      <c r="B225" s="98"/>
      <c r="C225" s="108"/>
      <c r="D225" s="151"/>
      <c r="E225" s="151"/>
      <c r="F225" s="101"/>
      <c r="G225" s="39">
        <f t="shared" si="190"/>
        <v>0</v>
      </c>
      <c r="H225" s="101"/>
      <c r="I225" s="39">
        <f t="shared" si="191"/>
        <v>0</v>
      </c>
      <c r="J225" s="101"/>
      <c r="K225" s="39">
        <f t="shared" si="183"/>
        <v>0</v>
      </c>
      <c r="L225" s="101"/>
      <c r="M225" s="39">
        <f t="shared" si="184"/>
        <v>0</v>
      </c>
      <c r="N225" s="101"/>
      <c r="O225" s="39">
        <f t="shared" si="185"/>
        <v>0</v>
      </c>
      <c r="P225" s="101"/>
      <c r="Q225" s="39">
        <f t="shared" si="186"/>
        <v>0</v>
      </c>
      <c r="R225" s="36">
        <f t="shared" si="192"/>
        <v>0</v>
      </c>
      <c r="S225" s="128" t="str">
        <f t="shared" si="180"/>
        <v/>
      </c>
      <c r="T225" s="152"/>
      <c r="U225" s="181"/>
      <c r="V225" s="181"/>
      <c r="W225" s="152"/>
      <c r="X225" s="101"/>
      <c r="Y225" s="39">
        <f t="shared" si="193"/>
        <v>0</v>
      </c>
      <c r="Z225" s="101"/>
      <c r="AA225" s="39">
        <f t="shared" si="194"/>
        <v>0</v>
      </c>
      <c r="AB225" s="2"/>
      <c r="AC225" s="2"/>
      <c r="AD225" s="2"/>
      <c r="AE225" s="2"/>
      <c r="AF225" s="2"/>
      <c r="AG225" s="1"/>
      <c r="AH225" s="1"/>
      <c r="AI225" s="1"/>
      <c r="AJ225" s="1"/>
      <c r="AK225" s="1"/>
      <c r="AL225" s="1"/>
      <c r="AM225" s="1"/>
      <c r="AN225" s="1"/>
      <c r="AO225" s="1"/>
      <c r="AP225" s="1"/>
      <c r="AQ225" s="1"/>
    </row>
    <row r="226" spans="1:43" ht="17.25" thickBot="1" x14ac:dyDescent="0.35">
      <c r="A226" s="146">
        <v>50</v>
      </c>
      <c r="B226" s="95"/>
      <c r="C226" s="106"/>
      <c r="D226" s="149">
        <f t="shared" ref="D226" si="209">SUM(G226:G231,I226:I231,K226:K231)</f>
        <v>0</v>
      </c>
      <c r="E226" s="149">
        <f t="shared" ref="E226" si="210">SUM(G226:G231,I226:I231,M226:M231,O226:O231,Q226:Q231,K226:K231)</f>
        <v>0</v>
      </c>
      <c r="F226" s="99"/>
      <c r="G226" s="40">
        <f t="shared" si="190"/>
        <v>0</v>
      </c>
      <c r="H226" s="99"/>
      <c r="I226" s="40">
        <f t="shared" si="191"/>
        <v>0</v>
      </c>
      <c r="J226" s="99"/>
      <c r="K226" s="40">
        <f t="shared" si="183"/>
        <v>0</v>
      </c>
      <c r="L226" s="99"/>
      <c r="M226" s="40">
        <f t="shared" si="184"/>
        <v>0</v>
      </c>
      <c r="N226" s="99"/>
      <c r="O226" s="40">
        <f t="shared" si="185"/>
        <v>0</v>
      </c>
      <c r="P226" s="99"/>
      <c r="Q226" s="40">
        <f t="shared" si="186"/>
        <v>0</v>
      </c>
      <c r="R226" s="8">
        <f t="shared" si="192"/>
        <v>0</v>
      </c>
      <c r="S226" s="126" t="str">
        <f t="shared" si="180"/>
        <v/>
      </c>
      <c r="T226" s="152" t="e">
        <f>AVERAGE(S226:S231)</f>
        <v>#DIV/0!</v>
      </c>
      <c r="U226" s="179">
        <f t="shared" ref="U226" si="211">(SUM(G226:G231)+SUM(I226:I231))/$F$1</f>
        <v>0</v>
      </c>
      <c r="V226" s="179">
        <f t="shared" ref="V226" si="212">SUM(R226:R231)</f>
        <v>0</v>
      </c>
      <c r="W226" s="152">
        <v>0</v>
      </c>
      <c r="X226" s="99"/>
      <c r="Y226" s="40">
        <f t="shared" si="193"/>
        <v>0</v>
      </c>
      <c r="Z226" s="99"/>
      <c r="AA226" s="40">
        <f t="shared" si="194"/>
        <v>0</v>
      </c>
      <c r="AB226" s="2"/>
      <c r="AC226" s="2"/>
      <c r="AD226" s="2"/>
      <c r="AE226" s="2"/>
      <c r="AF226" s="2"/>
      <c r="AG226" s="1"/>
      <c r="AH226" s="1"/>
      <c r="AI226" s="1"/>
      <c r="AJ226" s="1"/>
      <c r="AK226" s="1"/>
      <c r="AL226" s="1"/>
      <c r="AM226" s="1"/>
      <c r="AN226" s="1"/>
      <c r="AO226" s="1"/>
      <c r="AP226" s="1"/>
      <c r="AQ226" s="1"/>
    </row>
    <row r="227" spans="1:43" ht="17.25" thickBot="1" x14ac:dyDescent="0.35">
      <c r="A227" s="147"/>
      <c r="B227" s="96"/>
      <c r="C227" s="107"/>
      <c r="D227" s="150"/>
      <c r="E227" s="150"/>
      <c r="F227" s="100"/>
      <c r="G227" s="7">
        <f t="shared" si="190"/>
        <v>0</v>
      </c>
      <c r="H227" s="100"/>
      <c r="I227" s="7">
        <f t="shared" si="191"/>
        <v>0</v>
      </c>
      <c r="J227" s="100"/>
      <c r="K227" s="7">
        <f t="shared" si="183"/>
        <v>0</v>
      </c>
      <c r="L227" s="100"/>
      <c r="M227" s="7">
        <f t="shared" si="184"/>
        <v>0</v>
      </c>
      <c r="N227" s="100"/>
      <c r="O227" s="7">
        <f t="shared" si="185"/>
        <v>0</v>
      </c>
      <c r="P227" s="100"/>
      <c r="Q227" s="7">
        <f t="shared" si="186"/>
        <v>0</v>
      </c>
      <c r="R227" s="8">
        <f t="shared" si="192"/>
        <v>0</v>
      </c>
      <c r="S227" s="127" t="str">
        <f t="shared" si="180"/>
        <v/>
      </c>
      <c r="T227" s="152"/>
      <c r="U227" s="180"/>
      <c r="V227" s="180"/>
      <c r="W227" s="152"/>
      <c r="X227" s="100"/>
      <c r="Y227" s="7">
        <f t="shared" si="193"/>
        <v>0</v>
      </c>
      <c r="Z227" s="100"/>
      <c r="AA227" s="7">
        <f t="shared" si="194"/>
        <v>0</v>
      </c>
      <c r="AB227" s="2"/>
      <c r="AC227" s="2"/>
      <c r="AD227" s="2"/>
      <c r="AE227" s="2"/>
      <c r="AF227" s="2"/>
      <c r="AG227" s="1"/>
      <c r="AH227" s="1"/>
      <c r="AI227" s="1"/>
      <c r="AJ227" s="1"/>
      <c r="AK227" s="1"/>
      <c r="AL227" s="1"/>
      <c r="AM227" s="1"/>
      <c r="AN227" s="1"/>
      <c r="AO227" s="1"/>
      <c r="AP227" s="1"/>
      <c r="AQ227" s="1"/>
    </row>
    <row r="228" spans="1:43" ht="17.25" thickBot="1" x14ac:dyDescent="0.35">
      <c r="A228" s="147"/>
      <c r="B228" s="97"/>
      <c r="C228" s="107"/>
      <c r="D228" s="150"/>
      <c r="E228" s="150"/>
      <c r="F228" s="100"/>
      <c r="G228" s="7">
        <f t="shared" si="190"/>
        <v>0</v>
      </c>
      <c r="H228" s="100"/>
      <c r="I228" s="7">
        <f t="shared" si="191"/>
        <v>0</v>
      </c>
      <c r="J228" s="100"/>
      <c r="K228" s="7">
        <f t="shared" si="183"/>
        <v>0</v>
      </c>
      <c r="L228" s="100"/>
      <c r="M228" s="7">
        <f t="shared" si="184"/>
        <v>0</v>
      </c>
      <c r="N228" s="100"/>
      <c r="O228" s="7">
        <f t="shared" si="185"/>
        <v>0</v>
      </c>
      <c r="P228" s="100"/>
      <c r="Q228" s="7">
        <f t="shared" si="186"/>
        <v>0</v>
      </c>
      <c r="R228" s="8">
        <f t="shared" si="192"/>
        <v>0</v>
      </c>
      <c r="S228" s="127" t="str">
        <f t="shared" si="180"/>
        <v/>
      </c>
      <c r="T228" s="152"/>
      <c r="U228" s="180"/>
      <c r="V228" s="180"/>
      <c r="W228" s="152"/>
      <c r="X228" s="100"/>
      <c r="Y228" s="7">
        <f t="shared" si="193"/>
        <v>0</v>
      </c>
      <c r="Z228" s="100"/>
      <c r="AA228" s="7">
        <f t="shared" si="194"/>
        <v>0</v>
      </c>
      <c r="AB228" s="2"/>
      <c r="AC228" s="2"/>
      <c r="AD228" s="2"/>
      <c r="AE228" s="2"/>
      <c r="AF228" s="2"/>
      <c r="AG228" s="1"/>
      <c r="AH228" s="1"/>
      <c r="AI228" s="1"/>
      <c r="AJ228" s="1"/>
      <c r="AK228" s="1"/>
      <c r="AL228" s="1"/>
      <c r="AM228" s="1"/>
      <c r="AN228" s="1"/>
      <c r="AO228" s="1"/>
      <c r="AP228" s="1"/>
      <c r="AQ228" s="1"/>
    </row>
    <row r="229" spans="1:43" ht="17.25" thickBot="1" x14ac:dyDescent="0.35">
      <c r="A229" s="147"/>
      <c r="B229" s="97"/>
      <c r="C229" s="107"/>
      <c r="D229" s="150"/>
      <c r="E229" s="150"/>
      <c r="F229" s="100"/>
      <c r="G229" s="7">
        <f t="shared" si="190"/>
        <v>0</v>
      </c>
      <c r="H229" s="100"/>
      <c r="I229" s="7">
        <f t="shared" si="191"/>
        <v>0</v>
      </c>
      <c r="J229" s="100"/>
      <c r="K229" s="7">
        <f t="shared" si="183"/>
        <v>0</v>
      </c>
      <c r="L229" s="100"/>
      <c r="M229" s="7">
        <f t="shared" si="184"/>
        <v>0</v>
      </c>
      <c r="N229" s="100"/>
      <c r="O229" s="7">
        <f t="shared" si="185"/>
        <v>0</v>
      </c>
      <c r="P229" s="100"/>
      <c r="Q229" s="7">
        <f t="shared" si="186"/>
        <v>0</v>
      </c>
      <c r="R229" s="8">
        <f t="shared" si="192"/>
        <v>0</v>
      </c>
      <c r="S229" s="127" t="str">
        <f t="shared" si="180"/>
        <v/>
      </c>
      <c r="T229" s="152"/>
      <c r="U229" s="180"/>
      <c r="V229" s="180"/>
      <c r="W229" s="152"/>
      <c r="X229" s="100"/>
      <c r="Y229" s="7">
        <f t="shared" si="193"/>
        <v>0</v>
      </c>
      <c r="Z229" s="100"/>
      <c r="AA229" s="7">
        <f t="shared" si="194"/>
        <v>0</v>
      </c>
      <c r="AB229" s="2"/>
      <c r="AC229" s="2"/>
      <c r="AD229" s="2"/>
      <c r="AE229" s="2"/>
      <c r="AF229" s="2"/>
      <c r="AG229" s="1"/>
      <c r="AH229" s="1"/>
      <c r="AI229" s="1"/>
      <c r="AJ229" s="1"/>
      <c r="AK229" s="1"/>
      <c r="AL229" s="1"/>
      <c r="AM229" s="1"/>
      <c r="AN229" s="1"/>
      <c r="AO229" s="1"/>
      <c r="AP229" s="1"/>
      <c r="AQ229" s="1"/>
    </row>
    <row r="230" spans="1:43" ht="17.25" thickBot="1" x14ac:dyDescent="0.35">
      <c r="A230" s="147"/>
      <c r="B230" s="97"/>
      <c r="C230" s="107"/>
      <c r="D230" s="150"/>
      <c r="E230" s="150"/>
      <c r="F230" s="100"/>
      <c r="G230" s="7">
        <f t="shared" si="190"/>
        <v>0</v>
      </c>
      <c r="H230" s="100"/>
      <c r="I230" s="7">
        <f t="shared" si="191"/>
        <v>0</v>
      </c>
      <c r="J230" s="100"/>
      <c r="K230" s="7">
        <f t="shared" si="183"/>
        <v>0</v>
      </c>
      <c r="L230" s="100"/>
      <c r="M230" s="7">
        <f t="shared" si="184"/>
        <v>0</v>
      </c>
      <c r="N230" s="100"/>
      <c r="O230" s="7">
        <f t="shared" si="185"/>
        <v>0</v>
      </c>
      <c r="P230" s="100"/>
      <c r="Q230" s="7">
        <f t="shared" si="186"/>
        <v>0</v>
      </c>
      <c r="R230" s="8">
        <f t="shared" si="192"/>
        <v>0</v>
      </c>
      <c r="S230" s="127" t="str">
        <f t="shared" si="180"/>
        <v/>
      </c>
      <c r="T230" s="152"/>
      <c r="U230" s="180"/>
      <c r="V230" s="180"/>
      <c r="W230" s="152"/>
      <c r="X230" s="100"/>
      <c r="Y230" s="7">
        <f t="shared" si="193"/>
        <v>0</v>
      </c>
      <c r="Z230" s="100"/>
      <c r="AA230" s="7">
        <f t="shared" si="194"/>
        <v>0</v>
      </c>
      <c r="AB230" s="2"/>
      <c r="AC230" s="2"/>
      <c r="AD230" s="2"/>
      <c r="AE230" s="2"/>
      <c r="AF230" s="2"/>
      <c r="AG230" s="1"/>
      <c r="AH230" s="1"/>
      <c r="AI230" s="1"/>
      <c r="AJ230" s="1"/>
      <c r="AK230" s="1"/>
      <c r="AL230" s="1"/>
      <c r="AM230" s="1"/>
      <c r="AN230" s="1"/>
      <c r="AO230" s="1"/>
      <c r="AP230" s="1"/>
      <c r="AQ230" s="1"/>
    </row>
    <row r="231" spans="1:43" ht="17.25" thickBot="1" x14ac:dyDescent="0.35">
      <c r="A231" s="148"/>
      <c r="B231" s="98"/>
      <c r="C231" s="108"/>
      <c r="D231" s="151"/>
      <c r="E231" s="151"/>
      <c r="F231" s="101"/>
      <c r="G231" s="39">
        <f t="shared" si="190"/>
        <v>0</v>
      </c>
      <c r="H231" s="101"/>
      <c r="I231" s="39">
        <f t="shared" si="191"/>
        <v>0</v>
      </c>
      <c r="J231" s="101"/>
      <c r="K231" s="39">
        <f t="shared" si="183"/>
        <v>0</v>
      </c>
      <c r="L231" s="101"/>
      <c r="M231" s="39">
        <f t="shared" si="184"/>
        <v>0</v>
      </c>
      <c r="N231" s="101"/>
      <c r="O231" s="39">
        <f t="shared" si="185"/>
        <v>0</v>
      </c>
      <c r="P231" s="101"/>
      <c r="Q231" s="39">
        <f t="shared" si="186"/>
        <v>0</v>
      </c>
      <c r="R231" s="36">
        <f t="shared" si="192"/>
        <v>0</v>
      </c>
      <c r="S231" s="128" t="str">
        <f t="shared" si="180"/>
        <v/>
      </c>
      <c r="T231" s="152"/>
      <c r="U231" s="181"/>
      <c r="V231" s="181"/>
      <c r="W231" s="152"/>
      <c r="X231" s="101"/>
      <c r="Y231" s="39">
        <f t="shared" si="193"/>
        <v>0</v>
      </c>
      <c r="Z231" s="101"/>
      <c r="AA231" s="39">
        <f t="shared" si="194"/>
        <v>0</v>
      </c>
      <c r="AB231" s="1"/>
      <c r="AC231" s="1"/>
      <c r="AD231" s="1"/>
      <c r="AE231" s="1"/>
      <c r="AF231" s="1"/>
      <c r="AG231" s="1"/>
      <c r="AH231" s="1"/>
      <c r="AI231" s="1"/>
      <c r="AJ231" s="1"/>
      <c r="AK231" s="1"/>
      <c r="AL231" s="1"/>
      <c r="AM231" s="1"/>
      <c r="AN231" s="1"/>
      <c r="AO231" s="1"/>
      <c r="AP231" s="1"/>
      <c r="AQ231" s="1"/>
    </row>
    <row r="232" spans="1:43" ht="16.5" x14ac:dyDescent="0.3">
      <c r="A232" s="41"/>
      <c r="B232" s="42"/>
      <c r="C232" s="42"/>
      <c r="D232" s="42"/>
      <c r="E232" s="42"/>
      <c r="F232" s="42"/>
      <c r="G232" s="42"/>
      <c r="H232" s="42"/>
      <c r="I232" s="42"/>
      <c r="J232" s="42"/>
      <c r="K232" s="42"/>
      <c r="L232" s="42"/>
      <c r="M232" s="42"/>
      <c r="N232" s="42"/>
      <c r="O232" s="42"/>
      <c r="P232" s="42"/>
      <c r="Q232" s="42" t="s">
        <v>39</v>
      </c>
      <c r="R232" s="42">
        <f>AVERAGEIF(R10:R231,"&gt;0",R10:R231)</f>
        <v>0.25655542986425339</v>
      </c>
      <c r="S232" s="42" t="s">
        <v>40</v>
      </c>
      <c r="T232" s="2"/>
      <c r="U232" s="2"/>
      <c r="V232" s="2"/>
      <c r="W232" s="2"/>
      <c r="X232" s="42"/>
      <c r="Y232" s="42"/>
      <c r="Z232" s="42"/>
      <c r="AA232" s="42"/>
      <c r="AB232" s="1"/>
      <c r="AC232" s="1"/>
      <c r="AD232" s="1"/>
      <c r="AE232" s="1"/>
      <c r="AF232" s="1"/>
      <c r="AG232" s="1"/>
      <c r="AH232" s="1"/>
      <c r="AI232" s="1"/>
      <c r="AJ232" s="1"/>
      <c r="AK232" s="1"/>
      <c r="AL232" s="1"/>
      <c r="AM232" s="1"/>
      <c r="AN232" s="1"/>
      <c r="AO232" s="1"/>
      <c r="AP232" s="1"/>
      <c r="AQ232" s="1"/>
    </row>
    <row r="233" spans="1:43" ht="16.5" x14ac:dyDescent="0.3">
      <c r="A233" s="43"/>
      <c r="B233" s="44"/>
      <c r="C233" s="44"/>
      <c r="D233" s="44"/>
      <c r="E233" s="44"/>
      <c r="F233" s="44"/>
      <c r="G233" s="44"/>
      <c r="H233" s="44"/>
      <c r="I233" s="44"/>
      <c r="J233" s="44"/>
      <c r="K233" s="44"/>
      <c r="L233" s="44"/>
      <c r="M233" s="44"/>
      <c r="N233" s="44"/>
      <c r="O233" s="44"/>
      <c r="P233" s="44"/>
      <c r="Q233" s="44"/>
      <c r="R233" s="44"/>
      <c r="S233" s="44"/>
      <c r="T233" s="2"/>
      <c r="U233" s="2"/>
      <c r="V233" s="2"/>
      <c r="W233" s="2"/>
      <c r="X233" s="44"/>
      <c r="Y233" s="44"/>
      <c r="Z233" s="44"/>
      <c r="AA233" s="44"/>
      <c r="AB233" s="1"/>
      <c r="AC233" s="1"/>
      <c r="AD233" s="1"/>
      <c r="AE233" s="1"/>
      <c r="AF233" s="1"/>
      <c r="AG233" s="1"/>
      <c r="AH233" s="1"/>
      <c r="AI233" s="1"/>
      <c r="AJ233" s="1"/>
      <c r="AK233" s="1"/>
      <c r="AL233" s="1"/>
      <c r="AM233" s="1"/>
      <c r="AN233" s="1"/>
      <c r="AO233" s="1"/>
      <c r="AP233" s="1"/>
      <c r="AQ233" s="1"/>
    </row>
    <row r="234" spans="1:43" ht="16.5" x14ac:dyDescent="0.3">
      <c r="A234" s="43"/>
      <c r="B234" s="44"/>
      <c r="C234" s="44"/>
      <c r="D234" s="44"/>
      <c r="E234" s="44"/>
      <c r="F234" s="44"/>
      <c r="G234" s="44"/>
      <c r="H234" s="44"/>
      <c r="I234" s="44"/>
      <c r="J234" s="44"/>
      <c r="K234" s="44"/>
      <c r="L234" s="44"/>
      <c r="M234" s="44"/>
      <c r="N234" s="44"/>
      <c r="O234" s="44"/>
      <c r="P234" s="44"/>
      <c r="Q234" s="44"/>
      <c r="R234" s="44"/>
      <c r="S234" s="44"/>
      <c r="T234" s="2"/>
      <c r="U234" s="2"/>
      <c r="V234" s="2"/>
      <c r="W234" s="2"/>
      <c r="X234" s="44"/>
      <c r="Y234" s="44"/>
      <c r="Z234" s="44"/>
      <c r="AA234" s="44"/>
      <c r="AB234" s="1"/>
      <c r="AC234" s="1"/>
      <c r="AD234" s="1"/>
      <c r="AE234" s="1"/>
      <c r="AF234" s="1"/>
      <c r="AG234" s="1"/>
      <c r="AH234" s="1"/>
      <c r="AI234" s="1"/>
      <c r="AJ234" s="1"/>
      <c r="AK234" s="1"/>
      <c r="AL234" s="1"/>
      <c r="AM234" s="1"/>
      <c r="AN234" s="1"/>
      <c r="AO234" s="1"/>
      <c r="AP234" s="1"/>
      <c r="AQ234" s="1"/>
    </row>
    <row r="235" spans="1:43" ht="16.5" x14ac:dyDescent="0.3">
      <c r="A235" s="43"/>
      <c r="B235" s="44"/>
      <c r="C235" s="44"/>
      <c r="D235" s="44"/>
      <c r="E235" s="44"/>
      <c r="F235" s="44"/>
      <c r="G235" s="44"/>
      <c r="H235" s="44"/>
      <c r="I235" s="44"/>
      <c r="J235" s="44"/>
      <c r="K235" s="44"/>
      <c r="L235" s="44"/>
      <c r="M235" s="44"/>
      <c r="N235" s="44"/>
      <c r="O235" s="44"/>
      <c r="P235" s="44"/>
      <c r="Q235" s="44"/>
      <c r="R235" s="44"/>
      <c r="S235" s="44"/>
      <c r="T235" s="2"/>
      <c r="U235" s="2"/>
      <c r="V235" s="2"/>
      <c r="W235" s="2"/>
      <c r="X235" s="44"/>
      <c r="Y235" s="44"/>
      <c r="Z235" s="44"/>
      <c r="AA235" s="44"/>
      <c r="AB235" s="1"/>
      <c r="AC235" s="1"/>
      <c r="AD235" s="1"/>
      <c r="AE235" s="1"/>
      <c r="AF235" s="1"/>
      <c r="AG235" s="1"/>
      <c r="AH235" s="1"/>
      <c r="AI235" s="1"/>
      <c r="AJ235" s="1"/>
      <c r="AK235" s="1"/>
      <c r="AL235" s="1"/>
      <c r="AM235" s="1"/>
      <c r="AN235" s="1"/>
      <c r="AO235" s="1"/>
      <c r="AP235" s="1"/>
      <c r="AQ235" s="1"/>
    </row>
    <row r="236" spans="1:43" ht="16.5" x14ac:dyDescent="0.3">
      <c r="A236" s="43"/>
      <c r="B236" s="44"/>
      <c r="C236" s="44"/>
      <c r="D236" s="44"/>
      <c r="E236" s="44"/>
      <c r="F236" s="44"/>
      <c r="G236" s="44"/>
      <c r="H236" s="44"/>
      <c r="I236" s="44"/>
      <c r="J236" s="44"/>
      <c r="K236" s="44"/>
      <c r="L236" s="44"/>
      <c r="M236" s="44"/>
      <c r="N236" s="44"/>
      <c r="O236" s="44"/>
      <c r="P236" s="44"/>
      <c r="Q236" s="44"/>
      <c r="R236" s="44"/>
      <c r="S236" s="44"/>
      <c r="T236" s="2"/>
      <c r="U236" s="2"/>
      <c r="V236" s="2"/>
      <c r="W236" s="2"/>
      <c r="X236" s="44"/>
      <c r="Y236" s="44"/>
      <c r="Z236" s="44"/>
      <c r="AA236" s="44"/>
      <c r="AB236" s="1"/>
      <c r="AC236" s="1"/>
      <c r="AD236" s="1"/>
      <c r="AE236" s="1"/>
      <c r="AF236" s="1"/>
      <c r="AG236" s="1"/>
      <c r="AH236" s="1"/>
      <c r="AI236" s="1"/>
      <c r="AJ236" s="1"/>
      <c r="AK236" s="1"/>
      <c r="AL236" s="1"/>
      <c r="AM236" s="1"/>
      <c r="AN236" s="1"/>
      <c r="AO236" s="1"/>
      <c r="AP236" s="1"/>
      <c r="AQ236" s="1"/>
    </row>
    <row r="237" spans="1:43" ht="16.5" x14ac:dyDescent="0.3">
      <c r="A237" s="43"/>
      <c r="B237" s="44"/>
      <c r="C237" s="44"/>
      <c r="D237" s="44"/>
      <c r="E237" s="44"/>
      <c r="F237" s="44"/>
      <c r="G237" s="44"/>
      <c r="H237" s="44"/>
      <c r="I237" s="44"/>
      <c r="J237" s="44"/>
      <c r="K237" s="44"/>
      <c r="L237" s="44"/>
      <c r="M237" s="44"/>
      <c r="N237" s="44"/>
      <c r="O237" s="44"/>
      <c r="P237" s="44"/>
      <c r="Q237" s="44"/>
      <c r="R237" s="44"/>
      <c r="S237" s="44"/>
      <c r="T237" s="2"/>
      <c r="U237" s="2"/>
      <c r="V237" s="2"/>
      <c r="W237" s="2"/>
      <c r="X237" s="44"/>
      <c r="Y237" s="44"/>
      <c r="Z237" s="44"/>
      <c r="AA237" s="44"/>
      <c r="AB237" s="1"/>
      <c r="AC237" s="1"/>
      <c r="AD237" s="1"/>
      <c r="AE237" s="1"/>
      <c r="AF237" s="1"/>
      <c r="AG237" s="1"/>
      <c r="AH237" s="1"/>
      <c r="AI237" s="1"/>
      <c r="AJ237" s="1"/>
      <c r="AK237" s="1"/>
      <c r="AL237" s="1"/>
      <c r="AM237" s="1"/>
      <c r="AN237" s="1"/>
      <c r="AO237" s="1"/>
      <c r="AP237" s="1"/>
      <c r="AQ237" s="1"/>
    </row>
    <row r="238" spans="1:43" ht="16.5" x14ac:dyDescent="0.3">
      <c r="A238" s="43"/>
      <c r="B238" s="44"/>
      <c r="C238" s="44"/>
      <c r="D238" s="44"/>
      <c r="E238" s="44"/>
      <c r="F238" s="44"/>
      <c r="G238" s="44"/>
      <c r="H238" s="44"/>
      <c r="I238" s="44"/>
      <c r="J238" s="44"/>
      <c r="K238" s="44"/>
      <c r="L238" s="44"/>
      <c r="M238" s="44"/>
      <c r="N238" s="44"/>
      <c r="O238" s="44"/>
      <c r="P238" s="44"/>
      <c r="Q238" s="44"/>
      <c r="R238" s="44"/>
      <c r="S238" s="44"/>
      <c r="T238" s="2"/>
      <c r="U238" s="2"/>
      <c r="V238" s="2"/>
      <c r="W238" s="2"/>
      <c r="X238" s="44"/>
      <c r="Y238" s="44"/>
      <c r="Z238" s="44"/>
      <c r="AA238" s="44"/>
      <c r="AB238" s="1"/>
      <c r="AC238" s="1"/>
      <c r="AD238" s="1"/>
      <c r="AE238" s="1"/>
      <c r="AF238" s="1"/>
      <c r="AG238" s="1"/>
      <c r="AH238" s="1"/>
      <c r="AI238" s="1"/>
      <c r="AJ238" s="1"/>
      <c r="AK238" s="1"/>
      <c r="AL238" s="1"/>
      <c r="AM238" s="1"/>
      <c r="AN238" s="1"/>
      <c r="AO238" s="1"/>
      <c r="AP238" s="1"/>
      <c r="AQ238" s="1"/>
    </row>
    <row r="239" spans="1:43" ht="16.5" x14ac:dyDescent="0.3">
      <c r="A239" s="43"/>
      <c r="B239" s="44"/>
      <c r="C239" s="44"/>
      <c r="D239" s="44"/>
      <c r="E239" s="44"/>
      <c r="F239" s="44"/>
      <c r="G239" s="44"/>
      <c r="H239" s="44"/>
      <c r="I239" s="44"/>
      <c r="J239" s="44"/>
      <c r="K239" s="44"/>
      <c r="L239" s="44"/>
      <c r="M239" s="44"/>
      <c r="N239" s="44"/>
      <c r="O239" s="44"/>
      <c r="P239" s="44"/>
      <c r="Q239" s="44"/>
      <c r="R239" s="44"/>
      <c r="S239" s="44"/>
      <c r="T239" s="2"/>
      <c r="U239" s="2"/>
      <c r="V239" s="2"/>
      <c r="W239" s="2"/>
      <c r="X239" s="44"/>
      <c r="Y239" s="44"/>
      <c r="Z239" s="44"/>
      <c r="AA239" s="44"/>
      <c r="AB239" s="1"/>
      <c r="AC239" s="1"/>
      <c r="AD239" s="1"/>
      <c r="AE239" s="1"/>
      <c r="AF239" s="1"/>
      <c r="AG239" s="1"/>
      <c r="AH239" s="1"/>
      <c r="AI239" s="1"/>
      <c r="AJ239" s="1"/>
      <c r="AK239" s="1"/>
      <c r="AL239" s="1"/>
      <c r="AM239" s="1"/>
      <c r="AN239" s="1"/>
      <c r="AO239" s="1"/>
      <c r="AP239" s="1"/>
      <c r="AQ239" s="1"/>
    </row>
    <row r="240" spans="1:43" ht="16.5" x14ac:dyDescent="0.3">
      <c r="A240" s="43"/>
      <c r="B240" s="44"/>
      <c r="C240" s="44"/>
      <c r="D240" s="44"/>
      <c r="E240" s="44"/>
      <c r="F240" s="44"/>
      <c r="G240" s="44"/>
      <c r="H240" s="44"/>
      <c r="I240" s="44"/>
      <c r="J240" s="44"/>
      <c r="K240" s="44"/>
      <c r="L240" s="44"/>
      <c r="M240" s="44"/>
      <c r="N240" s="44"/>
      <c r="O240" s="44"/>
      <c r="P240" s="44"/>
      <c r="Q240" s="44"/>
      <c r="R240" s="44"/>
      <c r="S240" s="44"/>
      <c r="T240" s="2"/>
      <c r="U240" s="2"/>
      <c r="V240" s="2"/>
      <c r="W240" s="2"/>
      <c r="X240" s="44"/>
      <c r="Y240" s="44"/>
      <c r="Z240" s="44"/>
      <c r="AA240" s="44"/>
      <c r="AB240" s="1"/>
      <c r="AC240" s="1"/>
      <c r="AD240" s="1"/>
      <c r="AE240" s="1"/>
      <c r="AF240" s="1"/>
      <c r="AG240" s="1"/>
      <c r="AH240" s="1"/>
      <c r="AI240" s="1"/>
      <c r="AJ240" s="1"/>
      <c r="AK240" s="1"/>
      <c r="AL240" s="1"/>
      <c r="AM240" s="1"/>
      <c r="AN240" s="1"/>
      <c r="AO240" s="1"/>
      <c r="AP240" s="1"/>
      <c r="AQ240" s="1"/>
    </row>
    <row r="241" spans="1:43" ht="16.5" x14ac:dyDescent="0.3">
      <c r="A241" s="43"/>
      <c r="B241" s="44"/>
      <c r="C241" s="44"/>
      <c r="D241" s="44"/>
      <c r="E241" s="44"/>
      <c r="F241" s="44"/>
      <c r="G241" s="44"/>
      <c r="H241" s="44"/>
      <c r="I241" s="44"/>
      <c r="J241" s="44"/>
      <c r="K241" s="44"/>
      <c r="L241" s="44"/>
      <c r="M241" s="44"/>
      <c r="N241" s="44"/>
      <c r="O241" s="44"/>
      <c r="P241" s="44"/>
      <c r="Q241" s="44"/>
      <c r="R241" s="44"/>
      <c r="S241" s="44"/>
      <c r="T241" s="2"/>
      <c r="U241" s="2"/>
      <c r="V241" s="2"/>
      <c r="W241" s="2"/>
      <c r="X241" s="44"/>
      <c r="Y241" s="44"/>
      <c r="Z241" s="44"/>
      <c r="AA241" s="44"/>
      <c r="AB241" s="1"/>
      <c r="AC241" s="1"/>
      <c r="AD241" s="1"/>
      <c r="AE241" s="1"/>
      <c r="AF241" s="1"/>
      <c r="AG241" s="1"/>
      <c r="AH241" s="1"/>
      <c r="AI241" s="1"/>
      <c r="AJ241" s="1"/>
      <c r="AK241" s="1"/>
      <c r="AL241" s="1"/>
      <c r="AM241" s="1"/>
      <c r="AN241" s="1"/>
      <c r="AO241" s="1"/>
      <c r="AP241" s="1"/>
      <c r="AQ241" s="1"/>
    </row>
    <row r="242" spans="1:43" ht="16.5" x14ac:dyDescent="0.3">
      <c r="A242" s="43"/>
      <c r="B242" s="44"/>
      <c r="C242" s="44"/>
      <c r="D242" s="44"/>
      <c r="E242" s="44"/>
      <c r="F242" s="44"/>
      <c r="G242" s="44"/>
      <c r="H242" s="44"/>
      <c r="I242" s="44"/>
      <c r="J242" s="44"/>
      <c r="K242" s="44"/>
      <c r="L242" s="44"/>
      <c r="M242" s="44"/>
      <c r="N242" s="44"/>
      <c r="O242" s="44"/>
      <c r="P242" s="44"/>
      <c r="Q242" s="44"/>
      <c r="R242" s="44"/>
      <c r="S242" s="44"/>
      <c r="T242" s="2"/>
      <c r="U242" s="2"/>
      <c r="V242" s="2"/>
      <c r="W242" s="2"/>
      <c r="X242" s="44"/>
      <c r="Y242" s="44"/>
      <c r="Z242" s="44"/>
      <c r="AA242" s="44"/>
      <c r="AB242" s="1"/>
      <c r="AC242" s="1"/>
      <c r="AD242" s="1"/>
      <c r="AE242" s="1"/>
      <c r="AF242" s="1"/>
      <c r="AG242" s="1"/>
      <c r="AH242" s="1"/>
      <c r="AI242" s="1"/>
      <c r="AJ242" s="1"/>
      <c r="AK242" s="1"/>
      <c r="AL242" s="1"/>
      <c r="AM242" s="1"/>
      <c r="AN242" s="1"/>
      <c r="AO242" s="1"/>
      <c r="AP242" s="1"/>
      <c r="AQ242" s="1"/>
    </row>
    <row r="243" spans="1:43" ht="16.5" x14ac:dyDescent="0.3">
      <c r="A243" s="43"/>
      <c r="B243" s="44"/>
      <c r="C243" s="44"/>
      <c r="D243" s="44"/>
      <c r="E243" s="44"/>
      <c r="F243" s="44"/>
      <c r="G243" s="44"/>
      <c r="H243" s="44"/>
      <c r="I243" s="44"/>
      <c r="J243" s="44"/>
      <c r="K243" s="44"/>
      <c r="L243" s="44"/>
      <c r="M243" s="44"/>
      <c r="N243" s="44"/>
      <c r="O243" s="44"/>
      <c r="P243" s="44"/>
      <c r="Q243" s="44"/>
      <c r="R243" s="44"/>
      <c r="S243" s="44"/>
      <c r="T243" s="2"/>
      <c r="U243" s="2"/>
      <c r="V243" s="2"/>
      <c r="W243" s="2"/>
      <c r="X243" s="44"/>
      <c r="Y243" s="44"/>
      <c r="Z243" s="44"/>
      <c r="AA243" s="44"/>
      <c r="AB243" s="1"/>
      <c r="AC243" s="1"/>
      <c r="AD243" s="1"/>
      <c r="AE243" s="1"/>
      <c r="AF243" s="1"/>
      <c r="AG243" s="1"/>
      <c r="AH243" s="1"/>
      <c r="AI243" s="1"/>
      <c r="AJ243" s="1"/>
      <c r="AK243" s="1"/>
      <c r="AL243" s="1"/>
      <c r="AM243" s="1"/>
      <c r="AN243" s="1"/>
      <c r="AO243" s="1"/>
      <c r="AP243" s="1"/>
      <c r="AQ243" s="1"/>
    </row>
    <row r="244" spans="1:43" ht="16.5" x14ac:dyDescent="0.3">
      <c r="A244" s="43"/>
      <c r="B244" s="44"/>
      <c r="C244" s="44"/>
      <c r="D244" s="44"/>
      <c r="E244" s="44"/>
      <c r="F244" s="44"/>
      <c r="G244" s="44"/>
      <c r="H244" s="44"/>
      <c r="I244" s="44"/>
      <c r="J244" s="44"/>
      <c r="K244" s="44"/>
      <c r="L244" s="44"/>
      <c r="M244" s="44"/>
      <c r="N244" s="44"/>
      <c r="O244" s="44"/>
      <c r="P244" s="44"/>
      <c r="Q244" s="44"/>
      <c r="R244" s="44"/>
      <c r="S244" s="44"/>
      <c r="T244" s="2"/>
      <c r="U244" s="2"/>
      <c r="V244" s="2"/>
      <c r="W244" s="2"/>
      <c r="X244" s="44"/>
      <c r="Y244" s="44"/>
      <c r="Z244" s="44"/>
      <c r="AA244" s="44"/>
      <c r="AB244" s="1"/>
      <c r="AC244" s="1"/>
      <c r="AD244" s="1"/>
      <c r="AE244" s="1"/>
      <c r="AF244" s="1"/>
      <c r="AG244" s="1"/>
      <c r="AH244" s="1"/>
      <c r="AI244" s="1"/>
      <c r="AJ244" s="1"/>
      <c r="AK244" s="1"/>
      <c r="AL244" s="1"/>
      <c r="AM244" s="1"/>
      <c r="AN244" s="1"/>
      <c r="AO244" s="1"/>
      <c r="AP244" s="1"/>
      <c r="AQ244" s="1"/>
    </row>
    <row r="245" spans="1:43" ht="16.5" x14ac:dyDescent="0.3">
      <c r="A245" s="43"/>
      <c r="B245" s="44"/>
      <c r="C245" s="44"/>
      <c r="D245" s="44"/>
      <c r="E245" s="44"/>
      <c r="F245" s="44"/>
      <c r="G245" s="44"/>
      <c r="H245" s="44"/>
      <c r="I245" s="44"/>
      <c r="J245" s="44"/>
      <c r="K245" s="44"/>
      <c r="L245" s="44"/>
      <c r="M245" s="44"/>
      <c r="N245" s="44"/>
      <c r="O245" s="44"/>
      <c r="P245" s="44"/>
      <c r="Q245" s="44"/>
      <c r="R245" s="44"/>
      <c r="S245" s="44"/>
      <c r="T245" s="2"/>
      <c r="U245" s="2"/>
      <c r="V245" s="2"/>
      <c r="W245" s="2"/>
      <c r="X245" s="44"/>
      <c r="Y245" s="44"/>
      <c r="Z245" s="44"/>
      <c r="AA245" s="44"/>
      <c r="AB245" s="1"/>
      <c r="AC245" s="1"/>
      <c r="AD245" s="1"/>
      <c r="AE245" s="1"/>
      <c r="AF245" s="1"/>
      <c r="AG245" s="1"/>
      <c r="AH245" s="1"/>
      <c r="AI245" s="1"/>
      <c r="AJ245" s="1"/>
      <c r="AK245" s="1"/>
      <c r="AL245" s="1"/>
      <c r="AM245" s="1"/>
      <c r="AN245" s="1"/>
      <c r="AO245" s="1"/>
      <c r="AP245" s="1"/>
      <c r="AQ245" s="1"/>
    </row>
    <row r="246" spans="1:43" ht="16.5" x14ac:dyDescent="0.3">
      <c r="A246" s="43"/>
      <c r="B246" s="44"/>
      <c r="C246" s="44"/>
      <c r="D246" s="44"/>
      <c r="E246" s="44"/>
      <c r="F246" s="44"/>
      <c r="G246" s="44"/>
      <c r="H246" s="44"/>
      <c r="I246" s="44"/>
      <c r="J246" s="44"/>
      <c r="K246" s="44"/>
      <c r="L246" s="44"/>
      <c r="M246" s="44"/>
      <c r="N246" s="44"/>
      <c r="O246" s="44"/>
      <c r="P246" s="44"/>
      <c r="Q246" s="44"/>
      <c r="R246" s="44"/>
      <c r="S246" s="44"/>
      <c r="T246" s="2"/>
      <c r="U246" s="2"/>
      <c r="V246" s="2"/>
      <c r="W246" s="2"/>
      <c r="X246" s="44"/>
      <c r="Y246" s="44"/>
      <c r="Z246" s="44"/>
      <c r="AA246" s="44"/>
      <c r="AB246" s="1"/>
      <c r="AC246" s="1"/>
      <c r="AD246" s="1"/>
      <c r="AE246" s="1"/>
      <c r="AF246" s="1"/>
      <c r="AG246" s="1"/>
      <c r="AH246" s="1"/>
      <c r="AI246" s="1"/>
      <c r="AJ246" s="1"/>
      <c r="AK246" s="1"/>
      <c r="AL246" s="1"/>
      <c r="AM246" s="1"/>
      <c r="AN246" s="1"/>
      <c r="AO246" s="1"/>
      <c r="AP246" s="1"/>
      <c r="AQ246" s="1"/>
    </row>
    <row r="247" spans="1:43" ht="16.5" x14ac:dyDescent="0.3">
      <c r="A247" s="43"/>
      <c r="B247" s="44"/>
      <c r="C247" s="44"/>
      <c r="D247" s="44"/>
      <c r="E247" s="44"/>
      <c r="F247" s="44"/>
      <c r="G247" s="44"/>
      <c r="H247" s="44"/>
      <c r="I247" s="44"/>
      <c r="J247" s="44"/>
      <c r="K247" s="44"/>
      <c r="L247" s="44"/>
      <c r="M247" s="44"/>
      <c r="N247" s="44"/>
      <c r="O247" s="44"/>
      <c r="P247" s="44"/>
      <c r="Q247" s="44"/>
      <c r="R247" s="44"/>
      <c r="S247" s="44"/>
      <c r="T247" s="2"/>
      <c r="U247" s="2"/>
      <c r="V247" s="2"/>
      <c r="W247" s="2"/>
      <c r="X247" s="44"/>
      <c r="Y247" s="44"/>
      <c r="Z247" s="44"/>
      <c r="AA247" s="44"/>
      <c r="AB247" s="1"/>
      <c r="AC247" s="1"/>
      <c r="AD247" s="1"/>
      <c r="AE247" s="1"/>
      <c r="AF247" s="1"/>
      <c r="AG247" s="1"/>
      <c r="AH247" s="1"/>
      <c r="AI247" s="1"/>
      <c r="AJ247" s="1"/>
      <c r="AK247" s="1"/>
      <c r="AL247" s="1"/>
      <c r="AM247" s="1"/>
      <c r="AN247" s="1"/>
      <c r="AO247" s="1"/>
      <c r="AP247" s="1"/>
      <c r="AQ247" s="1"/>
    </row>
    <row r="248" spans="1:43" ht="16.5" x14ac:dyDescent="0.3">
      <c r="A248" s="43"/>
      <c r="B248" s="44"/>
      <c r="C248" s="44"/>
      <c r="D248" s="44"/>
      <c r="E248" s="44"/>
      <c r="F248" s="44"/>
      <c r="G248" s="44"/>
      <c r="H248" s="44"/>
      <c r="I248" s="44"/>
      <c r="J248" s="44"/>
      <c r="K248" s="44"/>
      <c r="L248" s="44"/>
      <c r="M248" s="44"/>
      <c r="N248" s="44"/>
      <c r="O248" s="44"/>
      <c r="P248" s="44"/>
      <c r="Q248" s="44"/>
      <c r="R248" s="44"/>
      <c r="S248" s="44"/>
      <c r="T248" s="2"/>
      <c r="U248" s="2"/>
      <c r="V248" s="2"/>
      <c r="W248" s="2"/>
      <c r="X248" s="44"/>
      <c r="Y248" s="44"/>
      <c r="Z248" s="44"/>
      <c r="AA248" s="44"/>
      <c r="AB248" s="1"/>
      <c r="AC248" s="1"/>
      <c r="AD248" s="1"/>
      <c r="AE248" s="1"/>
      <c r="AF248" s="1"/>
      <c r="AG248" s="1"/>
      <c r="AH248" s="1"/>
      <c r="AI248" s="1"/>
      <c r="AJ248" s="1"/>
      <c r="AK248" s="1"/>
      <c r="AL248" s="1"/>
      <c r="AM248" s="1"/>
      <c r="AN248" s="1"/>
      <c r="AO248" s="1"/>
      <c r="AP248" s="1"/>
      <c r="AQ248" s="1"/>
    </row>
    <row r="249" spans="1:43" ht="16.5" x14ac:dyDescent="0.3">
      <c r="A249" s="43"/>
      <c r="B249" s="44"/>
      <c r="C249" s="44"/>
      <c r="D249" s="44"/>
      <c r="E249" s="44"/>
      <c r="F249" s="44"/>
      <c r="G249" s="44"/>
      <c r="H249" s="44"/>
      <c r="I249" s="44"/>
      <c r="J249" s="44"/>
      <c r="K249" s="44"/>
      <c r="L249" s="44"/>
      <c r="M249" s="44"/>
      <c r="N249" s="44"/>
      <c r="O249" s="44"/>
      <c r="P249" s="44"/>
      <c r="Q249" s="44"/>
      <c r="R249" s="44"/>
      <c r="S249" s="44"/>
      <c r="T249" s="2"/>
      <c r="U249" s="2"/>
      <c r="V249" s="2"/>
      <c r="W249" s="2"/>
      <c r="X249" s="44"/>
      <c r="Y249" s="44"/>
      <c r="Z249" s="44"/>
      <c r="AA249" s="44"/>
      <c r="AB249" s="1"/>
      <c r="AC249" s="1"/>
      <c r="AD249" s="1"/>
      <c r="AE249" s="1"/>
      <c r="AF249" s="1"/>
      <c r="AG249" s="1"/>
      <c r="AH249" s="1"/>
      <c r="AI249" s="1"/>
      <c r="AJ249" s="1"/>
      <c r="AK249" s="1"/>
      <c r="AL249" s="1"/>
      <c r="AM249" s="1"/>
      <c r="AN249" s="1"/>
      <c r="AO249" s="1"/>
      <c r="AP249" s="1"/>
      <c r="AQ249" s="1"/>
    </row>
    <row r="250" spans="1:43" ht="16.5" x14ac:dyDescent="0.3">
      <c r="A250" s="43"/>
      <c r="B250" s="44"/>
      <c r="C250" s="44"/>
      <c r="D250" s="44"/>
      <c r="E250" s="44"/>
      <c r="F250" s="44"/>
      <c r="G250" s="44"/>
      <c r="H250" s="44"/>
      <c r="I250" s="44"/>
      <c r="J250" s="44"/>
      <c r="K250" s="44"/>
      <c r="L250" s="44"/>
      <c r="M250" s="44"/>
      <c r="N250" s="44"/>
      <c r="O250" s="44"/>
      <c r="P250" s="44"/>
      <c r="Q250" s="44"/>
      <c r="R250" s="44"/>
      <c r="S250" s="44"/>
      <c r="T250" s="2"/>
      <c r="U250" s="2"/>
      <c r="V250" s="2"/>
      <c r="W250" s="2"/>
      <c r="X250" s="44"/>
      <c r="Y250" s="44"/>
      <c r="Z250" s="44"/>
      <c r="AA250" s="44"/>
      <c r="AB250" s="1"/>
      <c r="AC250" s="1"/>
      <c r="AD250" s="1"/>
      <c r="AE250" s="1"/>
      <c r="AF250" s="1"/>
      <c r="AG250" s="1"/>
      <c r="AH250" s="1"/>
      <c r="AI250" s="1"/>
      <c r="AJ250" s="1"/>
      <c r="AK250" s="1"/>
      <c r="AL250" s="1"/>
      <c r="AM250" s="1"/>
      <c r="AN250" s="1"/>
      <c r="AO250" s="1"/>
      <c r="AP250" s="1"/>
      <c r="AQ250" s="1"/>
    </row>
    <row r="251" spans="1:43" ht="16.5" x14ac:dyDescent="0.3">
      <c r="A251" s="43"/>
      <c r="B251" s="44"/>
      <c r="C251" s="44"/>
      <c r="D251" s="44"/>
      <c r="E251" s="44"/>
      <c r="F251" s="44"/>
      <c r="G251" s="44"/>
      <c r="H251" s="44"/>
      <c r="I251" s="44"/>
      <c r="J251" s="44"/>
      <c r="K251" s="44"/>
      <c r="L251" s="44"/>
      <c r="M251" s="44"/>
      <c r="N251" s="44"/>
      <c r="O251" s="44"/>
      <c r="P251" s="44"/>
      <c r="Q251" s="44"/>
      <c r="R251" s="44"/>
      <c r="S251" s="44"/>
      <c r="T251" s="2"/>
      <c r="U251" s="2"/>
      <c r="V251" s="2"/>
      <c r="W251" s="2"/>
      <c r="X251" s="44"/>
      <c r="Y251" s="44"/>
      <c r="Z251" s="44"/>
      <c r="AA251" s="44"/>
      <c r="AB251" s="1"/>
      <c r="AC251" s="1"/>
      <c r="AD251" s="1"/>
      <c r="AE251" s="1"/>
      <c r="AF251" s="1"/>
      <c r="AG251" s="1"/>
      <c r="AH251" s="1"/>
      <c r="AI251" s="1"/>
      <c r="AJ251" s="1"/>
      <c r="AK251" s="1"/>
      <c r="AL251" s="1"/>
      <c r="AM251" s="1"/>
      <c r="AN251" s="1"/>
      <c r="AO251" s="1"/>
      <c r="AP251" s="1"/>
      <c r="AQ251" s="1"/>
    </row>
    <row r="252" spans="1:43" ht="16.5" x14ac:dyDescent="0.3">
      <c r="A252" s="43"/>
      <c r="B252" s="44"/>
      <c r="C252" s="44"/>
      <c r="D252" s="44"/>
      <c r="E252" s="44"/>
      <c r="F252" s="44"/>
      <c r="G252" s="44"/>
      <c r="H252" s="44"/>
      <c r="I252" s="44"/>
      <c r="J252" s="44"/>
      <c r="K252" s="44"/>
      <c r="L252" s="44"/>
      <c r="M252" s="44"/>
      <c r="N252" s="44"/>
      <c r="O252" s="44"/>
      <c r="P252" s="44"/>
      <c r="Q252" s="44"/>
      <c r="R252" s="44"/>
      <c r="S252" s="44"/>
      <c r="T252" s="2"/>
      <c r="U252" s="2"/>
      <c r="V252" s="2"/>
      <c r="W252" s="2"/>
      <c r="X252" s="44"/>
      <c r="Y252" s="44"/>
      <c r="Z252" s="44"/>
      <c r="AA252" s="44"/>
      <c r="AB252" s="1"/>
      <c r="AC252" s="1"/>
      <c r="AD252" s="1"/>
      <c r="AE252" s="1"/>
      <c r="AF252" s="1"/>
      <c r="AG252" s="1"/>
      <c r="AH252" s="1"/>
      <c r="AI252" s="1"/>
      <c r="AJ252" s="1"/>
      <c r="AK252" s="1"/>
      <c r="AL252" s="1"/>
      <c r="AM252" s="1"/>
      <c r="AN252" s="1"/>
      <c r="AO252" s="1"/>
      <c r="AP252" s="1"/>
      <c r="AQ252" s="1"/>
    </row>
    <row r="253" spans="1:43" ht="16.5" x14ac:dyDescent="0.3">
      <c r="A253" s="43"/>
      <c r="B253" s="44"/>
      <c r="C253" s="44"/>
      <c r="D253" s="44"/>
      <c r="E253" s="44"/>
      <c r="F253" s="44"/>
      <c r="G253" s="44"/>
      <c r="H253" s="44"/>
      <c r="I253" s="44"/>
      <c r="J253" s="44"/>
      <c r="K253" s="44"/>
      <c r="L253" s="44"/>
      <c r="M253" s="44"/>
      <c r="N253" s="44"/>
      <c r="O253" s="44"/>
      <c r="P253" s="44"/>
      <c r="Q253" s="44"/>
      <c r="R253" s="44"/>
      <c r="S253" s="44"/>
      <c r="T253" s="2"/>
      <c r="U253" s="2"/>
      <c r="V253" s="2"/>
      <c r="W253" s="2"/>
      <c r="X253" s="44"/>
      <c r="Y253" s="44"/>
      <c r="Z253" s="44"/>
      <c r="AA253" s="44"/>
      <c r="AB253" s="1"/>
      <c r="AC253" s="1"/>
      <c r="AD253" s="1"/>
      <c r="AE253" s="1"/>
      <c r="AF253" s="1"/>
      <c r="AG253" s="1"/>
      <c r="AH253" s="1"/>
      <c r="AI253" s="1"/>
      <c r="AJ253" s="1"/>
      <c r="AK253" s="1"/>
      <c r="AL253" s="1"/>
      <c r="AM253" s="1"/>
      <c r="AN253" s="1"/>
      <c r="AO253" s="1"/>
      <c r="AP253" s="1"/>
      <c r="AQ253" s="1"/>
    </row>
    <row r="254" spans="1:43" ht="16.5" x14ac:dyDescent="0.3">
      <c r="A254" s="43"/>
      <c r="B254" s="44"/>
      <c r="C254" s="44"/>
      <c r="D254" s="44"/>
      <c r="E254" s="44"/>
      <c r="F254" s="44"/>
      <c r="G254" s="45"/>
      <c r="H254" s="45"/>
      <c r="I254" s="45"/>
      <c r="J254" s="45"/>
      <c r="K254" s="45"/>
      <c r="L254" s="45"/>
      <c r="M254" s="45"/>
      <c r="N254" s="45"/>
      <c r="O254" s="45"/>
      <c r="P254" s="45"/>
      <c r="Q254" s="45"/>
      <c r="R254" s="45"/>
      <c r="S254" s="44"/>
      <c r="T254" s="2"/>
      <c r="U254" s="2"/>
      <c r="V254" s="2"/>
      <c r="W254" s="2"/>
      <c r="X254" s="44"/>
      <c r="Y254" s="45"/>
      <c r="Z254" s="44"/>
      <c r="AA254" s="45"/>
      <c r="AB254" s="1"/>
      <c r="AC254" s="1"/>
      <c r="AD254" s="1"/>
      <c r="AE254" s="1"/>
      <c r="AF254" s="1"/>
      <c r="AG254" s="1"/>
      <c r="AH254" s="1"/>
      <c r="AI254" s="1"/>
      <c r="AJ254" s="1"/>
      <c r="AK254" s="1"/>
      <c r="AL254" s="1"/>
      <c r="AM254" s="1"/>
      <c r="AN254" s="1"/>
      <c r="AO254" s="1"/>
      <c r="AP254" s="1"/>
      <c r="AQ254" s="1"/>
    </row>
    <row r="255" spans="1:43" ht="16.5" x14ac:dyDescent="0.3">
      <c r="A255" s="43"/>
      <c r="B255" s="45"/>
      <c r="C255" s="45"/>
      <c r="D255" s="45"/>
      <c r="E255" s="45"/>
      <c r="F255" s="45"/>
      <c r="G255" s="45"/>
      <c r="H255" s="45"/>
      <c r="I255" s="45"/>
      <c r="J255" s="45"/>
      <c r="K255" s="45"/>
      <c r="L255" s="45"/>
      <c r="M255" s="45"/>
      <c r="N255" s="45"/>
      <c r="O255" s="45"/>
      <c r="P255" s="45"/>
      <c r="Q255" s="45"/>
      <c r="R255" s="45"/>
      <c r="S255" s="45"/>
      <c r="T255" s="1"/>
      <c r="U255" s="1"/>
      <c r="V255" s="1"/>
      <c r="W255" s="1"/>
      <c r="X255" s="45"/>
      <c r="Y255" s="45"/>
      <c r="Z255" s="45"/>
      <c r="AA255" s="45"/>
      <c r="AB255" s="1"/>
      <c r="AC255" s="1"/>
      <c r="AD255" s="1"/>
      <c r="AE255" s="1"/>
      <c r="AF255" s="1"/>
      <c r="AG255" s="1"/>
      <c r="AH255" s="1"/>
      <c r="AI255" s="1"/>
      <c r="AJ255" s="1"/>
      <c r="AK255" s="1"/>
      <c r="AL255" s="1"/>
      <c r="AM255" s="1"/>
      <c r="AN255" s="1"/>
      <c r="AO255" s="1"/>
      <c r="AP255" s="1"/>
      <c r="AQ255" s="1"/>
    </row>
    <row r="256" spans="1:43" ht="16.5" x14ac:dyDescent="0.3">
      <c r="A256" s="43"/>
      <c r="B256" s="45"/>
      <c r="C256" s="45"/>
      <c r="D256" s="45"/>
      <c r="E256" s="45"/>
      <c r="F256" s="45"/>
      <c r="G256" s="45"/>
      <c r="H256" s="45"/>
      <c r="I256" s="45"/>
      <c r="J256" s="45"/>
      <c r="K256" s="45"/>
      <c r="L256" s="45"/>
      <c r="M256" s="45"/>
      <c r="N256" s="45"/>
      <c r="O256" s="45"/>
      <c r="P256" s="45"/>
      <c r="Q256" s="45"/>
      <c r="R256" s="45"/>
      <c r="S256" s="45"/>
      <c r="T256" s="1"/>
      <c r="U256" s="1"/>
      <c r="V256" s="1"/>
      <c r="W256" s="1"/>
      <c r="X256" s="45"/>
      <c r="Y256" s="45"/>
      <c r="Z256" s="45"/>
      <c r="AA256" s="45"/>
      <c r="AB256" s="1"/>
      <c r="AC256" s="1"/>
      <c r="AD256" s="1"/>
      <c r="AE256" s="1"/>
      <c r="AF256" s="1"/>
      <c r="AG256" s="1"/>
      <c r="AH256" s="1"/>
      <c r="AI256" s="1"/>
      <c r="AJ256" s="1"/>
      <c r="AK256" s="1"/>
      <c r="AL256" s="1"/>
      <c r="AM256" s="1"/>
      <c r="AN256" s="1"/>
      <c r="AO256" s="1"/>
      <c r="AP256" s="1"/>
      <c r="AQ256" s="1"/>
    </row>
    <row r="257" spans="1:43" ht="16.5" x14ac:dyDescent="0.3">
      <c r="A257" s="43"/>
      <c r="B257" s="45"/>
      <c r="C257" s="45"/>
      <c r="D257" s="45"/>
      <c r="E257" s="45"/>
      <c r="F257" s="45"/>
      <c r="G257" s="45"/>
      <c r="H257" s="45"/>
      <c r="I257" s="45"/>
      <c r="J257" s="45"/>
      <c r="K257" s="45"/>
      <c r="L257" s="45"/>
      <c r="M257" s="45"/>
      <c r="N257" s="45"/>
      <c r="O257" s="45"/>
      <c r="P257" s="45"/>
      <c r="Q257" s="45"/>
      <c r="R257" s="45"/>
      <c r="S257" s="45"/>
      <c r="T257" s="1"/>
      <c r="U257" s="1"/>
      <c r="V257" s="1"/>
      <c r="W257" s="1"/>
      <c r="X257" s="45"/>
      <c r="Y257" s="45"/>
      <c r="Z257" s="45"/>
      <c r="AA257" s="45"/>
      <c r="AB257" s="1"/>
      <c r="AC257" s="1"/>
      <c r="AD257" s="1"/>
      <c r="AE257" s="1"/>
      <c r="AF257" s="1"/>
      <c r="AG257" s="1"/>
      <c r="AH257" s="1"/>
      <c r="AI257" s="1"/>
      <c r="AJ257" s="1"/>
      <c r="AK257" s="1"/>
      <c r="AL257" s="1"/>
      <c r="AM257" s="1"/>
      <c r="AN257" s="1"/>
      <c r="AO257" s="1"/>
      <c r="AP257" s="1"/>
      <c r="AQ257" s="1"/>
    </row>
    <row r="258" spans="1:43" ht="16.5" x14ac:dyDescent="0.3">
      <c r="A258" s="43"/>
      <c r="B258" s="45"/>
      <c r="C258" s="45"/>
      <c r="D258" s="45"/>
      <c r="E258" s="45"/>
      <c r="F258" s="45"/>
      <c r="G258" s="45"/>
      <c r="H258" s="45"/>
      <c r="I258" s="45"/>
      <c r="J258" s="45"/>
      <c r="K258" s="45"/>
      <c r="L258" s="45"/>
      <c r="M258" s="45"/>
      <c r="N258" s="45"/>
      <c r="O258" s="45"/>
      <c r="P258" s="45"/>
      <c r="Q258" s="45"/>
      <c r="R258" s="45"/>
      <c r="S258" s="45"/>
      <c r="T258" s="1"/>
      <c r="U258" s="1"/>
      <c r="V258" s="1"/>
      <c r="W258" s="1"/>
      <c r="X258" s="45"/>
      <c r="Y258" s="45"/>
      <c r="Z258" s="45"/>
      <c r="AA258" s="45"/>
      <c r="AB258" s="1"/>
      <c r="AC258" s="1"/>
      <c r="AD258" s="1"/>
      <c r="AE258" s="1"/>
      <c r="AF258" s="1"/>
      <c r="AG258" s="1"/>
      <c r="AH258" s="1"/>
      <c r="AI258" s="1"/>
      <c r="AJ258" s="1"/>
      <c r="AK258" s="1"/>
      <c r="AL258" s="1"/>
      <c r="AM258" s="1"/>
      <c r="AN258" s="1"/>
      <c r="AO258" s="1"/>
      <c r="AP258" s="1"/>
      <c r="AQ258" s="1"/>
    </row>
    <row r="259" spans="1:43" ht="16.5" x14ac:dyDescent="0.3">
      <c r="A259" s="43"/>
      <c r="B259" s="45"/>
      <c r="C259" s="45"/>
      <c r="D259" s="45"/>
      <c r="E259" s="45"/>
      <c r="F259" s="45"/>
      <c r="G259" s="45"/>
      <c r="H259" s="45"/>
      <c r="I259" s="45"/>
      <c r="J259" s="45"/>
      <c r="K259" s="45"/>
      <c r="L259" s="45"/>
      <c r="M259" s="45"/>
      <c r="N259" s="45"/>
      <c r="O259" s="45"/>
      <c r="P259" s="45"/>
      <c r="Q259" s="45"/>
      <c r="R259" s="45"/>
      <c r="S259" s="45"/>
      <c r="T259" s="1"/>
      <c r="U259" s="1"/>
      <c r="V259" s="1"/>
      <c r="W259" s="1"/>
      <c r="X259" s="45"/>
      <c r="Y259" s="45"/>
      <c r="Z259" s="45"/>
      <c r="AA259" s="45"/>
      <c r="AB259" s="1"/>
      <c r="AC259" s="1"/>
      <c r="AD259" s="1"/>
      <c r="AE259" s="1"/>
      <c r="AF259" s="1"/>
      <c r="AG259" s="1"/>
      <c r="AH259" s="1"/>
      <c r="AI259" s="1"/>
      <c r="AJ259" s="1"/>
      <c r="AK259" s="1"/>
      <c r="AL259" s="1"/>
      <c r="AM259" s="1"/>
      <c r="AN259" s="1"/>
      <c r="AO259" s="1"/>
      <c r="AP259" s="1"/>
      <c r="AQ259" s="1"/>
    </row>
    <row r="260" spans="1:43" ht="16.5" x14ac:dyDescent="0.3">
      <c r="A260" s="43"/>
      <c r="B260" s="45"/>
      <c r="C260" s="45"/>
      <c r="D260" s="45"/>
      <c r="E260" s="45"/>
      <c r="F260" s="45"/>
      <c r="G260" s="45"/>
      <c r="H260" s="45"/>
      <c r="I260" s="45"/>
      <c r="J260" s="45"/>
      <c r="K260" s="45"/>
      <c r="L260" s="45"/>
      <c r="M260" s="45"/>
      <c r="N260" s="45"/>
      <c r="O260" s="45"/>
      <c r="P260" s="45"/>
      <c r="Q260" s="45"/>
      <c r="R260" s="45"/>
      <c r="S260" s="45"/>
      <c r="T260" s="1"/>
      <c r="U260" s="1"/>
      <c r="V260" s="1"/>
      <c r="W260" s="1"/>
      <c r="X260" s="45"/>
      <c r="Y260" s="45"/>
      <c r="Z260" s="45"/>
      <c r="AA260" s="45"/>
      <c r="AB260" s="1"/>
      <c r="AC260" s="1"/>
      <c r="AD260" s="1"/>
      <c r="AE260" s="1"/>
      <c r="AF260" s="1"/>
      <c r="AG260" s="1"/>
      <c r="AH260" s="1"/>
      <c r="AI260" s="1"/>
      <c r="AJ260" s="1"/>
      <c r="AK260" s="1"/>
      <c r="AL260" s="1"/>
      <c r="AM260" s="1"/>
      <c r="AN260" s="1"/>
      <c r="AO260" s="1"/>
      <c r="AP260" s="1"/>
      <c r="AQ260" s="1"/>
    </row>
    <row r="261" spans="1:43" ht="16.5" x14ac:dyDescent="0.3">
      <c r="A261" s="43"/>
      <c r="B261" s="45"/>
      <c r="C261" s="45"/>
      <c r="D261" s="45"/>
      <c r="E261" s="45"/>
      <c r="F261" s="45"/>
      <c r="G261" s="45"/>
      <c r="H261" s="45"/>
      <c r="I261" s="45"/>
      <c r="J261" s="45"/>
      <c r="K261" s="45"/>
      <c r="L261" s="45"/>
      <c r="M261" s="45"/>
      <c r="N261" s="45"/>
      <c r="O261" s="45"/>
      <c r="P261" s="45"/>
      <c r="Q261" s="45"/>
      <c r="R261" s="45"/>
      <c r="S261" s="45"/>
      <c r="T261" s="1"/>
      <c r="U261" s="1"/>
      <c r="V261" s="1"/>
      <c r="W261" s="1"/>
      <c r="X261" s="45"/>
      <c r="Y261" s="45"/>
      <c r="Z261" s="45"/>
      <c r="AA261" s="45"/>
      <c r="AB261" s="1"/>
      <c r="AC261" s="1"/>
      <c r="AD261" s="1"/>
      <c r="AE261" s="1"/>
      <c r="AF261" s="1"/>
      <c r="AG261" s="1"/>
      <c r="AH261" s="1"/>
      <c r="AI261" s="1"/>
      <c r="AJ261" s="1"/>
      <c r="AK261" s="1"/>
      <c r="AL261" s="1"/>
      <c r="AM261" s="1"/>
      <c r="AN261" s="1"/>
      <c r="AO261" s="1"/>
      <c r="AP261" s="1"/>
      <c r="AQ261" s="1"/>
    </row>
    <row r="262" spans="1:43" ht="16.5" x14ac:dyDescent="0.3">
      <c r="A262" s="43"/>
      <c r="B262" s="45"/>
      <c r="C262" s="45"/>
      <c r="D262" s="45"/>
      <c r="E262" s="45"/>
      <c r="F262" s="45"/>
      <c r="G262" s="45"/>
      <c r="H262" s="45"/>
      <c r="I262" s="45"/>
      <c r="J262" s="45"/>
      <c r="K262" s="45"/>
      <c r="L262" s="45"/>
      <c r="M262" s="45"/>
      <c r="N262" s="45"/>
      <c r="O262" s="45"/>
      <c r="P262" s="45"/>
      <c r="Q262" s="45"/>
      <c r="R262" s="45"/>
      <c r="S262" s="45"/>
      <c r="T262" s="1"/>
      <c r="U262" s="1"/>
      <c r="V262" s="1"/>
      <c r="W262" s="1"/>
      <c r="X262" s="45"/>
      <c r="Y262" s="45"/>
      <c r="Z262" s="45"/>
      <c r="AA262" s="45"/>
      <c r="AB262" s="1"/>
      <c r="AC262" s="1"/>
      <c r="AD262" s="1"/>
      <c r="AE262" s="1"/>
      <c r="AF262" s="1"/>
      <c r="AG262" s="1"/>
      <c r="AH262" s="1"/>
      <c r="AI262" s="1"/>
      <c r="AJ262" s="1"/>
      <c r="AK262" s="1"/>
      <c r="AL262" s="1"/>
      <c r="AM262" s="1"/>
      <c r="AN262" s="1"/>
      <c r="AO262" s="1"/>
      <c r="AP262" s="1"/>
      <c r="AQ262" s="1"/>
    </row>
    <row r="263" spans="1:43" ht="16.5" x14ac:dyDescent="0.3">
      <c r="A263" s="43"/>
      <c r="B263" s="45"/>
      <c r="C263" s="45"/>
      <c r="D263" s="45"/>
      <c r="E263" s="45"/>
      <c r="F263" s="45"/>
      <c r="G263" s="45"/>
      <c r="H263" s="45"/>
      <c r="I263" s="45"/>
      <c r="J263" s="45"/>
      <c r="K263" s="45"/>
      <c r="L263" s="45"/>
      <c r="M263" s="45"/>
      <c r="N263" s="45"/>
      <c r="O263" s="45"/>
      <c r="P263" s="45"/>
      <c r="Q263" s="45"/>
      <c r="R263" s="45"/>
      <c r="S263" s="45"/>
      <c r="T263" s="1"/>
      <c r="U263" s="1"/>
      <c r="V263" s="1"/>
      <c r="W263" s="1"/>
      <c r="X263" s="45"/>
      <c r="Y263" s="45"/>
      <c r="Z263" s="45"/>
      <c r="AA263" s="45"/>
      <c r="AB263" s="1"/>
      <c r="AC263" s="1"/>
      <c r="AD263" s="1"/>
      <c r="AE263" s="1"/>
      <c r="AF263" s="1"/>
      <c r="AG263" s="1"/>
      <c r="AH263" s="1"/>
      <c r="AI263" s="1"/>
      <c r="AJ263" s="1"/>
      <c r="AK263" s="1"/>
      <c r="AL263" s="1"/>
      <c r="AM263" s="1"/>
      <c r="AN263" s="1"/>
      <c r="AO263" s="1"/>
      <c r="AP263" s="1"/>
      <c r="AQ263" s="1"/>
    </row>
    <row r="264" spans="1:43" ht="16.5" x14ac:dyDescent="0.3">
      <c r="A264" s="43"/>
      <c r="B264" s="45"/>
      <c r="C264" s="45"/>
      <c r="D264" s="45"/>
      <c r="E264" s="45"/>
      <c r="F264" s="45"/>
      <c r="G264" s="45"/>
      <c r="H264" s="45"/>
      <c r="I264" s="45"/>
      <c r="J264" s="45"/>
      <c r="K264" s="45"/>
      <c r="L264" s="45"/>
      <c r="M264" s="45"/>
      <c r="N264" s="45"/>
      <c r="O264" s="45"/>
      <c r="P264" s="45"/>
      <c r="Q264" s="45"/>
      <c r="R264" s="45"/>
      <c r="S264" s="45"/>
      <c r="T264" s="1"/>
      <c r="U264" s="1"/>
      <c r="V264" s="1"/>
      <c r="W264" s="1"/>
      <c r="X264" s="45"/>
      <c r="Y264" s="45"/>
      <c r="Z264" s="45"/>
      <c r="AA264" s="45"/>
      <c r="AB264" s="1"/>
      <c r="AC264" s="1"/>
      <c r="AD264" s="1"/>
      <c r="AE264" s="1"/>
      <c r="AF264" s="1"/>
      <c r="AG264" s="1"/>
      <c r="AH264" s="1"/>
      <c r="AI264" s="1"/>
      <c r="AJ264" s="1"/>
      <c r="AK264" s="1"/>
      <c r="AL264" s="1"/>
      <c r="AM264" s="1"/>
      <c r="AN264" s="1"/>
      <c r="AO264" s="1"/>
      <c r="AP264" s="1"/>
      <c r="AQ264" s="1"/>
    </row>
    <row r="265" spans="1:43" ht="16.5" x14ac:dyDescent="0.3">
      <c r="A265" s="43"/>
      <c r="B265" s="45"/>
      <c r="C265" s="45"/>
      <c r="D265" s="45"/>
      <c r="E265" s="45"/>
      <c r="F265" s="45"/>
      <c r="G265" s="45"/>
      <c r="H265" s="45"/>
      <c r="I265" s="45"/>
      <c r="J265" s="45"/>
      <c r="K265" s="45"/>
      <c r="L265" s="45"/>
      <c r="M265" s="45"/>
      <c r="N265" s="45"/>
      <c r="O265" s="45"/>
      <c r="P265" s="45"/>
      <c r="Q265" s="45"/>
      <c r="R265" s="45"/>
      <c r="S265" s="45"/>
      <c r="T265" s="1"/>
      <c r="U265" s="1"/>
      <c r="V265" s="1"/>
      <c r="W265" s="1"/>
      <c r="X265" s="45"/>
      <c r="Y265" s="45"/>
      <c r="Z265" s="45"/>
      <c r="AA265" s="45"/>
      <c r="AB265" s="1"/>
      <c r="AC265" s="1"/>
      <c r="AD265" s="1"/>
      <c r="AE265" s="1"/>
      <c r="AF265" s="1"/>
      <c r="AG265" s="1"/>
      <c r="AH265" s="1"/>
      <c r="AI265" s="1"/>
      <c r="AJ265" s="1"/>
      <c r="AK265" s="1"/>
      <c r="AL265" s="1"/>
      <c r="AM265" s="1"/>
      <c r="AN265" s="1"/>
      <c r="AO265" s="1"/>
      <c r="AP265" s="1"/>
      <c r="AQ265" s="1"/>
    </row>
    <row r="266" spans="1:43" ht="16.5" x14ac:dyDescent="0.3">
      <c r="A266" s="43"/>
      <c r="B266" s="45"/>
      <c r="C266" s="45"/>
      <c r="D266" s="45"/>
      <c r="E266" s="45"/>
      <c r="F266" s="45"/>
      <c r="G266" s="45"/>
      <c r="H266" s="45"/>
      <c r="I266" s="45"/>
      <c r="J266" s="45"/>
      <c r="K266" s="45"/>
      <c r="L266" s="45"/>
      <c r="M266" s="45"/>
      <c r="N266" s="45"/>
      <c r="O266" s="45"/>
      <c r="P266" s="45"/>
      <c r="Q266" s="45"/>
      <c r="R266" s="45"/>
      <c r="S266" s="45"/>
      <c r="T266" s="1"/>
      <c r="U266" s="1"/>
      <c r="V266" s="1"/>
      <c r="W266" s="1"/>
      <c r="X266" s="45"/>
      <c r="Y266" s="45"/>
      <c r="Z266" s="45"/>
      <c r="AA266" s="45"/>
      <c r="AB266" s="1"/>
      <c r="AC266" s="1"/>
      <c r="AD266" s="1"/>
      <c r="AE266" s="1"/>
      <c r="AF266" s="1"/>
      <c r="AG266" s="1"/>
      <c r="AH266" s="1"/>
      <c r="AI266" s="1"/>
      <c r="AJ266" s="1"/>
      <c r="AK266" s="1"/>
      <c r="AL266" s="1"/>
      <c r="AM266" s="1"/>
      <c r="AN266" s="1"/>
      <c r="AO266" s="1"/>
      <c r="AP266" s="1"/>
      <c r="AQ266" s="1"/>
    </row>
    <row r="267" spans="1:43" ht="16.5" x14ac:dyDescent="0.3">
      <c r="A267" s="43"/>
      <c r="B267" s="45"/>
      <c r="C267" s="45"/>
      <c r="D267" s="45"/>
      <c r="E267" s="45"/>
      <c r="F267" s="45"/>
      <c r="G267" s="45"/>
      <c r="H267" s="45"/>
      <c r="I267" s="45"/>
      <c r="J267" s="45"/>
      <c r="K267" s="45"/>
      <c r="L267" s="45"/>
      <c r="M267" s="45"/>
      <c r="N267" s="45"/>
      <c r="O267" s="45"/>
      <c r="P267" s="45"/>
      <c r="Q267" s="45"/>
      <c r="R267" s="45"/>
      <c r="S267" s="45"/>
      <c r="T267" s="1"/>
      <c r="U267" s="1"/>
      <c r="V267" s="1"/>
      <c r="W267" s="1"/>
      <c r="X267" s="45"/>
      <c r="Y267" s="45"/>
      <c r="Z267" s="45"/>
      <c r="AA267" s="45"/>
      <c r="AB267" s="1"/>
      <c r="AC267" s="1"/>
      <c r="AD267" s="1"/>
      <c r="AE267" s="1"/>
      <c r="AF267" s="1"/>
      <c r="AG267" s="1"/>
      <c r="AH267" s="1"/>
      <c r="AI267" s="1"/>
      <c r="AJ267" s="1"/>
      <c r="AK267" s="1"/>
      <c r="AL267" s="1"/>
      <c r="AM267" s="1"/>
      <c r="AN267" s="1"/>
      <c r="AO267" s="1"/>
      <c r="AP267" s="1"/>
      <c r="AQ267" s="1"/>
    </row>
    <row r="268" spans="1:43" ht="16.5" x14ac:dyDescent="0.3">
      <c r="A268" s="43"/>
      <c r="B268" s="45"/>
      <c r="C268" s="45"/>
      <c r="D268" s="45"/>
      <c r="E268" s="45"/>
      <c r="F268" s="45"/>
      <c r="G268" s="45"/>
      <c r="H268" s="45"/>
      <c r="I268" s="45"/>
      <c r="J268" s="45"/>
      <c r="K268" s="45"/>
      <c r="L268" s="45"/>
      <c r="M268" s="45"/>
      <c r="N268" s="45"/>
      <c r="O268" s="45"/>
      <c r="P268" s="45"/>
      <c r="Q268" s="45"/>
      <c r="R268" s="45"/>
      <c r="S268" s="45"/>
      <c r="T268" s="1"/>
      <c r="U268" s="1"/>
      <c r="V268" s="1"/>
      <c r="W268" s="1"/>
      <c r="X268" s="45"/>
      <c r="Y268" s="45"/>
      <c r="Z268" s="45"/>
      <c r="AA268" s="45"/>
      <c r="AB268" s="1"/>
      <c r="AC268" s="1"/>
      <c r="AD268" s="1"/>
      <c r="AE268" s="1"/>
      <c r="AF268" s="1"/>
      <c r="AG268" s="1"/>
      <c r="AH268" s="1"/>
      <c r="AI268" s="1"/>
      <c r="AJ268" s="1"/>
      <c r="AK268" s="1"/>
      <c r="AL268" s="1"/>
      <c r="AM268" s="1"/>
      <c r="AN268" s="1"/>
      <c r="AO268" s="1"/>
      <c r="AP268" s="1"/>
      <c r="AQ268" s="1"/>
    </row>
    <row r="269" spans="1:43" ht="16.5" x14ac:dyDescent="0.3">
      <c r="A269" s="43"/>
      <c r="B269" s="45"/>
      <c r="C269" s="45"/>
      <c r="D269" s="45"/>
      <c r="E269" s="45"/>
      <c r="F269" s="45"/>
      <c r="G269" s="45"/>
      <c r="H269" s="45"/>
      <c r="I269" s="45"/>
      <c r="J269" s="45"/>
      <c r="K269" s="45"/>
      <c r="L269" s="45"/>
      <c r="M269" s="45"/>
      <c r="N269" s="45"/>
      <c r="O269" s="45"/>
      <c r="P269" s="45"/>
      <c r="Q269" s="45"/>
      <c r="R269" s="45"/>
      <c r="S269" s="45"/>
      <c r="T269" s="1"/>
      <c r="U269" s="1"/>
      <c r="V269" s="1"/>
      <c r="W269" s="1"/>
      <c r="X269" s="45"/>
      <c r="Y269" s="45"/>
      <c r="Z269" s="45"/>
      <c r="AA269" s="45"/>
      <c r="AB269" s="1"/>
      <c r="AC269" s="1"/>
      <c r="AD269" s="1"/>
      <c r="AE269" s="1"/>
      <c r="AF269" s="1"/>
      <c r="AG269" s="1"/>
      <c r="AH269" s="1"/>
      <c r="AI269" s="1"/>
      <c r="AJ269" s="1"/>
      <c r="AK269" s="1"/>
      <c r="AL269" s="1"/>
      <c r="AM269" s="1"/>
      <c r="AN269" s="1"/>
      <c r="AO269" s="1"/>
      <c r="AP269" s="1"/>
      <c r="AQ269" s="1"/>
    </row>
    <row r="270" spans="1:43" ht="16.5" x14ac:dyDescent="0.3">
      <c r="A270" s="43"/>
      <c r="B270" s="45"/>
      <c r="C270" s="45"/>
      <c r="D270" s="45"/>
      <c r="E270" s="45"/>
      <c r="F270" s="45"/>
      <c r="G270" s="45"/>
      <c r="H270" s="45"/>
      <c r="I270" s="45"/>
      <c r="J270" s="45"/>
      <c r="K270" s="45"/>
      <c r="L270" s="45"/>
      <c r="M270" s="45"/>
      <c r="N270" s="45"/>
      <c r="O270" s="45"/>
      <c r="P270" s="45"/>
      <c r="Q270" s="45"/>
      <c r="R270" s="45"/>
      <c r="S270" s="45"/>
      <c r="T270" s="1"/>
      <c r="U270" s="1"/>
      <c r="V270" s="1"/>
      <c r="W270" s="1"/>
      <c r="X270" s="45"/>
      <c r="Y270" s="45"/>
      <c r="Z270" s="45"/>
      <c r="AA270" s="45"/>
      <c r="AB270" s="1"/>
      <c r="AC270" s="1"/>
      <c r="AD270" s="1"/>
      <c r="AE270" s="1"/>
      <c r="AF270" s="1"/>
      <c r="AG270" s="1"/>
      <c r="AH270" s="1"/>
      <c r="AI270" s="1"/>
      <c r="AJ270" s="1"/>
      <c r="AK270" s="1"/>
      <c r="AL270" s="1"/>
      <c r="AM270" s="1"/>
      <c r="AN270" s="1"/>
      <c r="AO270" s="1"/>
      <c r="AP270" s="1"/>
      <c r="AQ270" s="1"/>
    </row>
    <row r="271" spans="1:43" ht="16.5" x14ac:dyDescent="0.3">
      <c r="A271" s="43"/>
      <c r="B271" s="45"/>
      <c r="C271" s="45"/>
      <c r="D271" s="45"/>
      <c r="E271" s="45"/>
      <c r="F271" s="45"/>
      <c r="G271" s="45"/>
      <c r="H271" s="45"/>
      <c r="I271" s="45"/>
      <c r="J271" s="45"/>
      <c r="K271" s="45"/>
      <c r="L271" s="45"/>
      <c r="M271" s="45"/>
      <c r="N271" s="45"/>
      <c r="O271" s="45"/>
      <c r="P271" s="45"/>
      <c r="Q271" s="45"/>
      <c r="R271" s="45"/>
      <c r="S271" s="45"/>
      <c r="T271" s="1"/>
      <c r="U271" s="1"/>
      <c r="V271" s="1"/>
      <c r="W271" s="1"/>
      <c r="X271" s="45"/>
      <c r="Y271" s="45"/>
      <c r="Z271" s="45"/>
      <c r="AA271" s="45"/>
      <c r="AB271" s="1"/>
      <c r="AC271" s="1"/>
      <c r="AD271" s="1"/>
      <c r="AE271" s="1"/>
      <c r="AF271" s="1"/>
      <c r="AG271" s="1"/>
      <c r="AH271" s="1"/>
      <c r="AI271" s="1"/>
      <c r="AJ271" s="1"/>
      <c r="AK271" s="1"/>
      <c r="AL271" s="1"/>
      <c r="AM271" s="1"/>
      <c r="AN271" s="1"/>
      <c r="AO271" s="1"/>
      <c r="AP271" s="1"/>
      <c r="AQ271" s="1"/>
    </row>
    <row r="272" spans="1:43" ht="16.5" x14ac:dyDescent="0.3">
      <c r="A272" s="43"/>
      <c r="B272" s="45"/>
      <c r="C272" s="45"/>
      <c r="D272" s="45"/>
      <c r="E272" s="45"/>
      <c r="F272" s="45"/>
      <c r="G272" s="45"/>
      <c r="H272" s="45"/>
      <c r="I272" s="45"/>
      <c r="J272" s="45"/>
      <c r="K272" s="45"/>
      <c r="L272" s="45"/>
      <c r="M272" s="45"/>
      <c r="N272" s="45"/>
      <c r="O272" s="45"/>
      <c r="P272" s="45"/>
      <c r="Q272" s="45"/>
      <c r="R272" s="45"/>
      <c r="S272" s="45"/>
      <c r="T272" s="1"/>
      <c r="U272" s="1"/>
      <c r="V272" s="1"/>
      <c r="W272" s="1"/>
      <c r="X272" s="45"/>
      <c r="Y272" s="45"/>
      <c r="Z272" s="45"/>
      <c r="AA272" s="45"/>
      <c r="AB272" s="1"/>
      <c r="AC272" s="1"/>
      <c r="AD272" s="1"/>
      <c r="AE272" s="1"/>
      <c r="AF272" s="1"/>
      <c r="AG272" s="1"/>
      <c r="AH272" s="1"/>
      <c r="AI272" s="1"/>
      <c r="AJ272" s="1"/>
      <c r="AK272" s="1"/>
      <c r="AL272" s="1"/>
      <c r="AM272" s="1"/>
      <c r="AN272" s="1"/>
      <c r="AO272" s="1"/>
      <c r="AP272" s="1"/>
      <c r="AQ272" s="1"/>
    </row>
    <row r="273" spans="1:43" ht="16.5" x14ac:dyDescent="0.3">
      <c r="A273" s="43"/>
      <c r="B273" s="45"/>
      <c r="C273" s="45"/>
      <c r="D273" s="45"/>
      <c r="E273" s="45"/>
      <c r="F273" s="45"/>
      <c r="G273" s="45"/>
      <c r="H273" s="45"/>
      <c r="I273" s="45"/>
      <c r="J273" s="45"/>
      <c r="K273" s="45"/>
      <c r="L273" s="45"/>
      <c r="M273" s="45"/>
      <c r="N273" s="45"/>
      <c r="O273" s="45"/>
      <c r="P273" s="45"/>
      <c r="Q273" s="45"/>
      <c r="R273" s="45"/>
      <c r="S273" s="45"/>
      <c r="T273" s="1"/>
      <c r="U273" s="1"/>
      <c r="V273" s="1"/>
      <c r="W273" s="1"/>
      <c r="X273" s="45"/>
      <c r="Y273" s="45"/>
      <c r="Z273" s="45"/>
      <c r="AA273" s="45"/>
      <c r="AB273" s="1"/>
      <c r="AC273" s="1"/>
      <c r="AD273" s="1"/>
      <c r="AE273" s="1"/>
      <c r="AF273" s="1"/>
      <c r="AG273" s="1"/>
      <c r="AH273" s="1"/>
      <c r="AI273" s="1"/>
      <c r="AJ273" s="1"/>
      <c r="AK273" s="1"/>
      <c r="AL273" s="1"/>
      <c r="AM273" s="1"/>
      <c r="AN273" s="1"/>
      <c r="AO273" s="1"/>
      <c r="AP273" s="1"/>
      <c r="AQ273" s="1"/>
    </row>
    <row r="274" spans="1:43" ht="16.5" x14ac:dyDescent="0.3">
      <c r="A274" s="43"/>
      <c r="B274" s="45"/>
      <c r="C274" s="45"/>
      <c r="D274" s="45"/>
      <c r="E274" s="45"/>
      <c r="F274" s="45"/>
      <c r="G274" s="45"/>
      <c r="H274" s="45"/>
      <c r="I274" s="45"/>
      <c r="J274" s="45"/>
      <c r="K274" s="45"/>
      <c r="L274" s="45"/>
      <c r="M274" s="45"/>
      <c r="N274" s="45"/>
      <c r="O274" s="45"/>
      <c r="P274" s="45"/>
      <c r="Q274" s="45"/>
      <c r="R274" s="45"/>
      <c r="S274" s="45"/>
      <c r="T274" s="1"/>
      <c r="U274" s="1"/>
      <c r="V274" s="1"/>
      <c r="W274" s="1"/>
      <c r="X274" s="45"/>
      <c r="Y274" s="45"/>
      <c r="Z274" s="45"/>
      <c r="AA274" s="45"/>
      <c r="AB274" s="1"/>
      <c r="AC274" s="1"/>
      <c r="AD274" s="1"/>
      <c r="AE274" s="1"/>
      <c r="AF274" s="1"/>
      <c r="AG274" s="1"/>
      <c r="AH274" s="1"/>
      <c r="AI274" s="1"/>
      <c r="AJ274" s="1"/>
      <c r="AK274" s="1"/>
      <c r="AL274" s="1"/>
      <c r="AM274" s="1"/>
      <c r="AN274" s="1"/>
      <c r="AO274" s="1"/>
      <c r="AP274" s="1"/>
      <c r="AQ274" s="1"/>
    </row>
    <row r="275" spans="1:43" ht="16.5" x14ac:dyDescent="0.3">
      <c r="A275" s="43"/>
      <c r="B275" s="45"/>
      <c r="C275" s="45"/>
      <c r="D275" s="45"/>
      <c r="E275" s="45"/>
      <c r="F275" s="45"/>
      <c r="G275" s="45"/>
      <c r="H275" s="45"/>
      <c r="I275" s="45"/>
      <c r="J275" s="45"/>
      <c r="K275" s="45"/>
      <c r="L275" s="45"/>
      <c r="M275" s="45"/>
      <c r="N275" s="45"/>
      <c r="O275" s="45"/>
      <c r="P275" s="45"/>
      <c r="Q275" s="45"/>
      <c r="R275" s="45"/>
      <c r="S275" s="45"/>
      <c r="T275" s="1"/>
      <c r="U275" s="1"/>
      <c r="V275" s="1"/>
      <c r="W275" s="1"/>
      <c r="X275" s="45"/>
      <c r="Y275" s="45"/>
      <c r="Z275" s="45"/>
      <c r="AA275" s="45"/>
      <c r="AB275" s="1"/>
      <c r="AC275" s="1"/>
      <c r="AD275" s="1"/>
      <c r="AE275" s="1"/>
      <c r="AF275" s="1"/>
      <c r="AG275" s="1"/>
      <c r="AH275" s="1"/>
      <c r="AI275" s="1"/>
      <c r="AJ275" s="1"/>
      <c r="AK275" s="1"/>
      <c r="AL275" s="1"/>
      <c r="AM275" s="1"/>
      <c r="AN275" s="1"/>
      <c r="AO275" s="1"/>
      <c r="AP275" s="1"/>
      <c r="AQ275" s="1"/>
    </row>
    <row r="276" spans="1:43" ht="16.5" x14ac:dyDescent="0.3">
      <c r="A276" s="43"/>
      <c r="B276" s="45"/>
      <c r="C276" s="45"/>
      <c r="D276" s="45"/>
      <c r="E276" s="45"/>
      <c r="F276" s="45"/>
      <c r="G276" s="45"/>
      <c r="H276" s="45"/>
      <c r="I276" s="45"/>
      <c r="J276" s="45"/>
      <c r="K276" s="45"/>
      <c r="L276" s="45"/>
      <c r="M276" s="45"/>
      <c r="N276" s="45"/>
      <c r="O276" s="45"/>
      <c r="P276" s="45"/>
      <c r="Q276" s="45"/>
      <c r="R276" s="45"/>
      <c r="S276" s="45"/>
      <c r="T276" s="1"/>
      <c r="U276" s="1"/>
      <c r="V276" s="1"/>
      <c r="W276" s="1"/>
      <c r="X276" s="45"/>
      <c r="Y276" s="45"/>
      <c r="Z276" s="45"/>
      <c r="AA276" s="45"/>
      <c r="AB276" s="1"/>
      <c r="AC276" s="1"/>
      <c r="AD276" s="1"/>
      <c r="AE276" s="1"/>
      <c r="AF276" s="1"/>
      <c r="AG276" s="1"/>
      <c r="AH276" s="1"/>
      <c r="AI276" s="1"/>
      <c r="AJ276" s="1"/>
      <c r="AK276" s="1"/>
      <c r="AL276" s="1"/>
      <c r="AM276" s="1"/>
      <c r="AN276" s="1"/>
      <c r="AO276" s="1"/>
      <c r="AP276" s="1"/>
      <c r="AQ276" s="1"/>
    </row>
    <row r="277" spans="1:43" ht="16.5" x14ac:dyDescent="0.3">
      <c r="A277" s="43"/>
      <c r="B277" s="45"/>
      <c r="C277" s="45"/>
      <c r="D277" s="45"/>
      <c r="E277" s="45"/>
      <c r="F277" s="45"/>
      <c r="G277" s="45"/>
      <c r="H277" s="45"/>
      <c r="I277" s="45"/>
      <c r="J277" s="45"/>
      <c r="K277" s="45"/>
      <c r="L277" s="45"/>
      <c r="M277" s="45"/>
      <c r="N277" s="45"/>
      <c r="O277" s="45"/>
      <c r="P277" s="45"/>
      <c r="Q277" s="45"/>
      <c r="R277" s="45"/>
      <c r="S277" s="45"/>
      <c r="T277" s="1"/>
      <c r="U277" s="1"/>
      <c r="V277" s="1"/>
      <c r="W277" s="1"/>
      <c r="X277" s="45"/>
      <c r="Y277" s="45"/>
      <c r="Z277" s="45"/>
      <c r="AA277" s="45"/>
      <c r="AB277" s="1"/>
      <c r="AC277" s="1"/>
      <c r="AD277" s="1"/>
      <c r="AE277" s="1"/>
      <c r="AF277" s="1"/>
      <c r="AG277" s="1"/>
      <c r="AH277" s="1"/>
      <c r="AI277" s="1"/>
      <c r="AJ277" s="1"/>
      <c r="AK277" s="1"/>
      <c r="AL277" s="1"/>
      <c r="AM277" s="1"/>
      <c r="AN277" s="1"/>
      <c r="AO277" s="1"/>
      <c r="AP277" s="1"/>
      <c r="AQ277" s="1"/>
    </row>
    <row r="278" spans="1:43" ht="16.5" x14ac:dyDescent="0.3">
      <c r="A278" s="43"/>
      <c r="B278" s="45"/>
      <c r="C278" s="45"/>
      <c r="D278" s="45"/>
      <c r="E278" s="45"/>
      <c r="F278" s="45"/>
      <c r="G278" s="45"/>
      <c r="H278" s="45"/>
      <c r="I278" s="45"/>
      <c r="J278" s="45"/>
      <c r="K278" s="45"/>
      <c r="L278" s="45"/>
      <c r="M278" s="45"/>
      <c r="N278" s="45"/>
      <c r="O278" s="45"/>
      <c r="P278" s="45"/>
      <c r="Q278" s="45"/>
      <c r="R278" s="45"/>
      <c r="S278" s="45"/>
      <c r="T278" s="1"/>
      <c r="U278" s="1"/>
      <c r="V278" s="1"/>
      <c r="W278" s="1"/>
      <c r="X278" s="45"/>
      <c r="Y278" s="45"/>
      <c r="Z278" s="45"/>
      <c r="AA278" s="45"/>
      <c r="AB278" s="1"/>
      <c r="AC278" s="1"/>
      <c r="AD278" s="1"/>
      <c r="AE278" s="1"/>
      <c r="AF278" s="1"/>
      <c r="AG278" s="1"/>
      <c r="AH278" s="1"/>
      <c r="AI278" s="1"/>
      <c r="AJ278" s="1"/>
      <c r="AK278" s="1"/>
      <c r="AL278" s="1"/>
      <c r="AM278" s="1"/>
      <c r="AN278" s="1"/>
      <c r="AO278" s="1"/>
      <c r="AP278" s="1"/>
      <c r="AQ278" s="1"/>
    </row>
    <row r="279" spans="1:43" ht="16.5" x14ac:dyDescent="0.3">
      <c r="A279" s="43"/>
      <c r="B279" s="45"/>
      <c r="C279" s="45"/>
      <c r="D279" s="45"/>
      <c r="E279" s="45"/>
      <c r="F279" s="45"/>
      <c r="G279" s="45"/>
      <c r="H279" s="45"/>
      <c r="I279" s="45"/>
      <c r="J279" s="45"/>
      <c r="K279" s="45"/>
      <c r="L279" s="45"/>
      <c r="M279" s="45"/>
      <c r="N279" s="45"/>
      <c r="O279" s="45"/>
      <c r="P279" s="45"/>
      <c r="Q279" s="45"/>
      <c r="R279" s="45"/>
      <c r="S279" s="45"/>
      <c r="T279" s="1"/>
      <c r="U279" s="1"/>
      <c r="V279" s="1"/>
      <c r="W279" s="1"/>
      <c r="X279" s="45"/>
      <c r="Y279" s="45"/>
      <c r="Z279" s="45"/>
      <c r="AA279" s="45"/>
      <c r="AB279" s="1"/>
      <c r="AC279" s="1"/>
      <c r="AD279" s="1"/>
      <c r="AE279" s="1"/>
      <c r="AF279" s="1"/>
      <c r="AG279" s="1"/>
      <c r="AH279" s="1"/>
      <c r="AI279" s="1"/>
      <c r="AJ279" s="1"/>
      <c r="AK279" s="1"/>
      <c r="AL279" s="1"/>
      <c r="AM279" s="1"/>
      <c r="AN279" s="1"/>
      <c r="AO279" s="1"/>
      <c r="AP279" s="1"/>
      <c r="AQ279" s="1"/>
    </row>
    <row r="280" spans="1:43" ht="16.5" x14ac:dyDescent="0.3">
      <c r="A280" s="43"/>
      <c r="B280" s="45"/>
      <c r="C280" s="45"/>
      <c r="D280" s="45"/>
      <c r="E280" s="45"/>
      <c r="F280" s="45"/>
      <c r="G280" s="45"/>
      <c r="H280" s="45"/>
      <c r="I280" s="45"/>
      <c r="J280" s="45"/>
      <c r="K280" s="45"/>
      <c r="L280" s="45"/>
      <c r="M280" s="45"/>
      <c r="N280" s="45"/>
      <c r="O280" s="45"/>
      <c r="P280" s="45"/>
      <c r="Q280" s="45"/>
      <c r="R280" s="45"/>
      <c r="S280" s="45"/>
      <c r="T280" s="1"/>
      <c r="U280" s="1"/>
      <c r="V280" s="1"/>
      <c r="W280" s="1"/>
      <c r="X280" s="45"/>
      <c r="Y280" s="45"/>
      <c r="Z280" s="45"/>
      <c r="AA280" s="45"/>
      <c r="AB280" s="1"/>
      <c r="AC280" s="1"/>
      <c r="AD280" s="1"/>
      <c r="AE280" s="1"/>
      <c r="AF280" s="1"/>
      <c r="AG280" s="1"/>
      <c r="AH280" s="1"/>
      <c r="AI280" s="1"/>
      <c r="AJ280" s="1"/>
      <c r="AK280" s="1"/>
      <c r="AL280" s="1"/>
      <c r="AM280" s="1"/>
      <c r="AN280" s="1"/>
      <c r="AO280" s="1"/>
      <c r="AP280" s="1"/>
      <c r="AQ280" s="1"/>
    </row>
    <row r="281" spans="1:43" ht="16.5" x14ac:dyDescent="0.3">
      <c r="A281" s="43"/>
      <c r="B281" s="45"/>
      <c r="C281" s="45"/>
      <c r="D281" s="45"/>
      <c r="E281" s="45"/>
      <c r="F281" s="45"/>
      <c r="G281" s="45"/>
      <c r="H281" s="45"/>
      <c r="I281" s="45"/>
      <c r="J281" s="45"/>
      <c r="K281" s="45"/>
      <c r="L281" s="45"/>
      <c r="M281" s="45"/>
      <c r="N281" s="45"/>
      <c r="O281" s="45"/>
      <c r="P281" s="45"/>
      <c r="Q281" s="45"/>
      <c r="R281" s="45"/>
      <c r="S281" s="45"/>
      <c r="T281" s="1"/>
      <c r="U281" s="1"/>
      <c r="V281" s="1"/>
      <c r="W281" s="1"/>
      <c r="X281" s="45"/>
      <c r="Y281" s="45"/>
      <c r="Z281" s="45"/>
      <c r="AA281" s="45"/>
      <c r="AB281" s="1"/>
      <c r="AC281" s="1"/>
      <c r="AD281" s="1"/>
      <c r="AE281" s="1"/>
      <c r="AF281" s="1"/>
      <c r="AG281" s="1"/>
      <c r="AH281" s="1"/>
      <c r="AI281" s="1"/>
      <c r="AJ281" s="1"/>
      <c r="AK281" s="1"/>
      <c r="AL281" s="1"/>
      <c r="AM281" s="1"/>
      <c r="AN281" s="1"/>
      <c r="AO281" s="1"/>
      <c r="AP281" s="1"/>
      <c r="AQ281" s="1"/>
    </row>
    <row r="282" spans="1:43" ht="16.5" x14ac:dyDescent="0.3">
      <c r="A282" s="43"/>
      <c r="B282" s="45"/>
      <c r="C282" s="45"/>
      <c r="D282" s="45"/>
      <c r="E282" s="45"/>
      <c r="F282" s="45"/>
      <c r="G282" s="45"/>
      <c r="H282" s="45"/>
      <c r="I282" s="45"/>
      <c r="J282" s="45"/>
      <c r="K282" s="45"/>
      <c r="L282" s="45"/>
      <c r="M282" s="45"/>
      <c r="N282" s="45"/>
      <c r="O282" s="45"/>
      <c r="P282" s="45"/>
      <c r="Q282" s="45"/>
      <c r="R282" s="45"/>
      <c r="S282" s="45"/>
      <c r="T282" s="1"/>
      <c r="U282" s="1"/>
      <c r="V282" s="1"/>
      <c r="W282" s="1"/>
      <c r="X282" s="45"/>
      <c r="Y282" s="45"/>
      <c r="Z282" s="45"/>
      <c r="AA282" s="45"/>
      <c r="AB282" s="1"/>
      <c r="AC282" s="1"/>
      <c r="AD282" s="1"/>
      <c r="AE282" s="1"/>
      <c r="AF282" s="1"/>
      <c r="AG282" s="1"/>
      <c r="AH282" s="1"/>
      <c r="AI282" s="1"/>
      <c r="AJ282" s="1"/>
      <c r="AK282" s="1"/>
      <c r="AL282" s="1"/>
      <c r="AM282" s="1"/>
      <c r="AN282" s="1"/>
      <c r="AO282" s="1"/>
      <c r="AP282" s="1"/>
      <c r="AQ282" s="1"/>
    </row>
    <row r="283" spans="1:43" ht="16.5" x14ac:dyDescent="0.3">
      <c r="A283" s="43"/>
      <c r="B283" s="45"/>
      <c r="C283" s="45"/>
      <c r="D283" s="45"/>
      <c r="E283" s="45"/>
      <c r="F283" s="45"/>
      <c r="G283" s="45"/>
      <c r="H283" s="45"/>
      <c r="I283" s="45"/>
      <c r="J283" s="45"/>
      <c r="K283" s="45"/>
      <c r="L283" s="45"/>
      <c r="M283" s="45"/>
      <c r="N283" s="45"/>
      <c r="O283" s="45"/>
      <c r="P283" s="45"/>
      <c r="Q283" s="45"/>
      <c r="R283" s="45"/>
      <c r="S283" s="45"/>
      <c r="T283" s="1"/>
      <c r="U283" s="1"/>
      <c r="V283" s="1"/>
      <c r="W283" s="1"/>
      <c r="X283" s="45"/>
      <c r="Y283" s="45"/>
      <c r="Z283" s="45"/>
      <c r="AA283" s="45"/>
      <c r="AB283" s="1"/>
      <c r="AC283" s="1"/>
      <c r="AD283" s="1"/>
      <c r="AE283" s="1"/>
      <c r="AF283" s="1"/>
      <c r="AG283" s="1"/>
      <c r="AH283" s="1"/>
      <c r="AI283" s="1"/>
      <c r="AJ283" s="1"/>
      <c r="AK283" s="1"/>
      <c r="AL283" s="1"/>
      <c r="AM283" s="1"/>
      <c r="AN283" s="1"/>
      <c r="AO283" s="1"/>
      <c r="AP283" s="1"/>
      <c r="AQ283" s="1"/>
    </row>
    <row r="284" spans="1:43" ht="16.5" x14ac:dyDescent="0.3">
      <c r="A284" s="43"/>
      <c r="B284" s="45"/>
      <c r="C284" s="45"/>
      <c r="D284" s="45"/>
      <c r="E284" s="45"/>
      <c r="F284" s="45"/>
      <c r="G284" s="45"/>
      <c r="H284" s="45"/>
      <c r="I284" s="45"/>
      <c r="J284" s="45"/>
      <c r="K284" s="45"/>
      <c r="L284" s="45"/>
      <c r="M284" s="45"/>
      <c r="N284" s="45"/>
      <c r="O284" s="45"/>
      <c r="P284" s="45"/>
      <c r="Q284" s="45"/>
      <c r="R284" s="45"/>
      <c r="S284" s="45"/>
      <c r="T284" s="1"/>
      <c r="U284" s="1"/>
      <c r="V284" s="1"/>
      <c r="W284" s="1"/>
      <c r="X284" s="45"/>
      <c r="Y284" s="45"/>
      <c r="Z284" s="45"/>
      <c r="AA284" s="45"/>
      <c r="AB284" s="1"/>
      <c r="AC284" s="1"/>
      <c r="AD284" s="1"/>
      <c r="AE284" s="1"/>
      <c r="AF284" s="1"/>
      <c r="AG284" s="1"/>
      <c r="AH284" s="1"/>
      <c r="AI284" s="1"/>
      <c r="AJ284" s="1"/>
      <c r="AK284" s="1"/>
      <c r="AL284" s="1"/>
      <c r="AM284" s="1"/>
      <c r="AN284" s="1"/>
      <c r="AO284" s="1"/>
      <c r="AP284" s="1"/>
      <c r="AQ284" s="1"/>
    </row>
    <row r="285" spans="1:43" ht="16.5" x14ac:dyDescent="0.3">
      <c r="A285" s="43"/>
      <c r="B285" s="45"/>
      <c r="C285" s="45"/>
      <c r="D285" s="45"/>
      <c r="E285" s="45"/>
      <c r="F285" s="45"/>
      <c r="G285" s="45"/>
      <c r="H285" s="45"/>
      <c r="I285" s="45"/>
      <c r="J285" s="45"/>
      <c r="K285" s="45"/>
      <c r="L285" s="45"/>
      <c r="M285" s="45"/>
      <c r="N285" s="45"/>
      <c r="O285" s="45"/>
      <c r="P285" s="45"/>
      <c r="Q285" s="45"/>
      <c r="R285" s="45"/>
      <c r="S285" s="45"/>
      <c r="T285" s="1"/>
      <c r="U285" s="1"/>
      <c r="V285" s="1"/>
      <c r="W285" s="1"/>
      <c r="X285" s="45"/>
      <c r="Y285" s="45"/>
      <c r="Z285" s="45"/>
      <c r="AA285" s="45"/>
      <c r="AB285" s="1"/>
      <c r="AC285" s="1"/>
      <c r="AD285" s="1"/>
      <c r="AE285" s="1"/>
      <c r="AF285" s="1"/>
      <c r="AG285" s="1"/>
      <c r="AH285" s="1"/>
      <c r="AI285" s="1"/>
      <c r="AJ285" s="1"/>
      <c r="AK285" s="1"/>
      <c r="AL285" s="1"/>
      <c r="AM285" s="1"/>
      <c r="AN285" s="1"/>
      <c r="AO285" s="1"/>
      <c r="AP285" s="1"/>
      <c r="AQ285" s="1"/>
    </row>
    <row r="286" spans="1:43" ht="16.5" x14ac:dyDescent="0.3">
      <c r="A286" s="43"/>
      <c r="B286" s="45"/>
      <c r="C286" s="45"/>
      <c r="D286" s="45"/>
      <c r="E286" s="45"/>
      <c r="F286" s="45"/>
      <c r="G286" s="45"/>
      <c r="H286" s="45"/>
      <c r="I286" s="45"/>
      <c r="J286" s="45"/>
      <c r="K286" s="45"/>
      <c r="L286" s="45"/>
      <c r="M286" s="45"/>
      <c r="N286" s="45"/>
      <c r="O286" s="45"/>
      <c r="P286" s="45"/>
      <c r="Q286" s="45"/>
      <c r="R286" s="45"/>
      <c r="S286" s="45"/>
      <c r="T286" s="1"/>
      <c r="U286" s="1"/>
      <c r="V286" s="1"/>
      <c r="W286" s="1"/>
      <c r="X286" s="45"/>
      <c r="Y286" s="45"/>
      <c r="Z286" s="45"/>
      <c r="AA286" s="45"/>
      <c r="AB286" s="1"/>
      <c r="AC286" s="1"/>
      <c r="AD286" s="1"/>
      <c r="AE286" s="1"/>
      <c r="AF286" s="1"/>
      <c r="AG286" s="1"/>
      <c r="AH286" s="1"/>
      <c r="AI286" s="1"/>
      <c r="AJ286" s="1"/>
      <c r="AK286" s="1"/>
      <c r="AL286" s="1"/>
      <c r="AM286" s="1"/>
      <c r="AN286" s="1"/>
      <c r="AO286" s="1"/>
      <c r="AP286" s="1"/>
      <c r="AQ286" s="1"/>
    </row>
    <row r="287" spans="1:43" ht="16.5" x14ac:dyDescent="0.3">
      <c r="A287" s="43"/>
      <c r="B287" s="45"/>
      <c r="C287" s="45"/>
      <c r="D287" s="45"/>
      <c r="E287" s="45"/>
      <c r="F287" s="45"/>
      <c r="G287" s="45"/>
      <c r="H287" s="45"/>
      <c r="I287" s="45"/>
      <c r="J287" s="45"/>
      <c r="K287" s="45"/>
      <c r="L287" s="45"/>
      <c r="M287" s="45"/>
      <c r="N287" s="45"/>
      <c r="O287" s="45"/>
      <c r="P287" s="45"/>
      <c r="Q287" s="45"/>
      <c r="R287" s="45"/>
      <c r="S287" s="45"/>
      <c r="T287" s="1"/>
      <c r="U287" s="1"/>
      <c r="V287" s="1"/>
      <c r="W287" s="1"/>
      <c r="X287" s="45"/>
      <c r="Y287" s="45"/>
      <c r="Z287" s="45"/>
      <c r="AA287" s="45"/>
      <c r="AB287" s="1"/>
      <c r="AC287" s="1"/>
      <c r="AD287" s="1"/>
      <c r="AE287" s="1"/>
      <c r="AF287" s="1"/>
      <c r="AG287" s="1"/>
      <c r="AH287" s="1"/>
      <c r="AI287" s="1"/>
      <c r="AJ287" s="1"/>
      <c r="AK287" s="1"/>
      <c r="AL287" s="1"/>
      <c r="AM287" s="1"/>
      <c r="AN287" s="1"/>
      <c r="AO287" s="1"/>
      <c r="AP287" s="1"/>
      <c r="AQ287" s="1"/>
    </row>
    <row r="288" spans="1:43" ht="16.5" x14ac:dyDescent="0.3">
      <c r="A288" s="43"/>
      <c r="B288" s="45"/>
      <c r="C288" s="45"/>
      <c r="D288" s="45"/>
      <c r="E288" s="45"/>
      <c r="F288" s="45"/>
      <c r="G288" s="45"/>
      <c r="H288" s="45"/>
      <c r="I288" s="45"/>
      <c r="J288" s="45"/>
      <c r="K288" s="45"/>
      <c r="L288" s="45"/>
      <c r="M288" s="45"/>
      <c r="N288" s="45"/>
      <c r="O288" s="45"/>
      <c r="P288" s="45"/>
      <c r="Q288" s="45"/>
      <c r="R288" s="45"/>
      <c r="S288" s="45"/>
      <c r="T288" s="1"/>
      <c r="U288" s="1"/>
      <c r="V288" s="1"/>
      <c r="W288" s="1"/>
      <c r="X288" s="45"/>
      <c r="Y288" s="45"/>
      <c r="Z288" s="45"/>
      <c r="AA288" s="45"/>
      <c r="AB288" s="1"/>
      <c r="AC288" s="1"/>
      <c r="AD288" s="1"/>
      <c r="AE288" s="1"/>
      <c r="AF288" s="1"/>
      <c r="AG288" s="1"/>
      <c r="AH288" s="1"/>
      <c r="AI288" s="1"/>
      <c r="AJ288" s="1"/>
      <c r="AK288" s="1"/>
      <c r="AL288" s="1"/>
      <c r="AM288" s="1"/>
      <c r="AN288" s="1"/>
      <c r="AO288" s="1"/>
      <c r="AP288" s="1"/>
      <c r="AQ288" s="1"/>
    </row>
    <row r="289" spans="1:43" ht="16.5" x14ac:dyDescent="0.3">
      <c r="A289" s="43"/>
      <c r="B289" s="45"/>
      <c r="C289" s="45"/>
      <c r="D289" s="45"/>
      <c r="E289" s="45"/>
      <c r="F289" s="45"/>
      <c r="G289" s="45"/>
      <c r="H289" s="45"/>
      <c r="I289" s="45"/>
      <c r="J289" s="45"/>
      <c r="K289" s="45"/>
      <c r="L289" s="45"/>
      <c r="M289" s="45"/>
      <c r="N289" s="45"/>
      <c r="O289" s="45"/>
      <c r="P289" s="45"/>
      <c r="Q289" s="45"/>
      <c r="R289" s="45"/>
      <c r="S289" s="45"/>
      <c r="T289" s="1"/>
      <c r="U289" s="1"/>
      <c r="V289" s="1"/>
      <c r="W289" s="1"/>
      <c r="X289" s="45"/>
      <c r="Y289" s="45"/>
      <c r="Z289" s="45"/>
      <c r="AA289" s="45"/>
      <c r="AB289" s="1"/>
      <c r="AC289" s="1"/>
      <c r="AD289" s="1"/>
      <c r="AE289" s="1"/>
      <c r="AF289" s="1"/>
      <c r="AG289" s="1"/>
      <c r="AH289" s="1"/>
      <c r="AI289" s="1"/>
      <c r="AJ289" s="1"/>
      <c r="AK289" s="1"/>
      <c r="AL289" s="1"/>
      <c r="AM289" s="1"/>
      <c r="AN289" s="1"/>
      <c r="AO289" s="1"/>
      <c r="AP289" s="1"/>
      <c r="AQ289" s="1"/>
    </row>
    <row r="290" spans="1:43" ht="16.5" x14ac:dyDescent="0.3">
      <c r="A290" s="43"/>
      <c r="B290" s="45"/>
      <c r="C290" s="45"/>
      <c r="D290" s="45"/>
      <c r="E290" s="45"/>
      <c r="F290" s="45"/>
      <c r="G290" s="45"/>
      <c r="H290" s="45"/>
      <c r="I290" s="45"/>
      <c r="J290" s="45"/>
      <c r="K290" s="45"/>
      <c r="L290" s="45"/>
      <c r="M290" s="45"/>
      <c r="N290" s="45"/>
      <c r="O290" s="45"/>
      <c r="P290" s="45"/>
      <c r="Q290" s="45"/>
      <c r="R290" s="45"/>
      <c r="S290" s="45"/>
      <c r="T290" s="1"/>
      <c r="U290" s="1"/>
      <c r="V290" s="1"/>
      <c r="W290" s="1"/>
      <c r="X290" s="45"/>
      <c r="Y290" s="45"/>
      <c r="Z290" s="45"/>
      <c r="AA290" s="45"/>
      <c r="AB290" s="1"/>
      <c r="AC290" s="1"/>
      <c r="AD290" s="1"/>
      <c r="AE290" s="1"/>
      <c r="AF290" s="1"/>
      <c r="AG290" s="1"/>
      <c r="AH290" s="1"/>
      <c r="AI290" s="1"/>
      <c r="AJ290" s="1"/>
      <c r="AK290" s="1"/>
      <c r="AL290" s="1"/>
      <c r="AM290" s="1"/>
      <c r="AN290" s="1"/>
      <c r="AO290" s="1"/>
      <c r="AP290" s="1"/>
      <c r="AQ290" s="1"/>
    </row>
    <row r="291" spans="1:43" ht="16.5" x14ac:dyDescent="0.3">
      <c r="A291" s="43"/>
      <c r="B291" s="45"/>
      <c r="C291" s="45"/>
      <c r="D291" s="45"/>
      <c r="E291" s="45"/>
      <c r="F291" s="45"/>
      <c r="G291" s="45"/>
      <c r="H291" s="45"/>
      <c r="I291" s="45"/>
      <c r="J291" s="45"/>
      <c r="K291" s="45"/>
      <c r="L291" s="45"/>
      <c r="M291" s="45"/>
      <c r="N291" s="45"/>
      <c r="O291" s="45"/>
      <c r="P291" s="45"/>
      <c r="Q291" s="45"/>
      <c r="R291" s="45"/>
      <c r="S291" s="45"/>
      <c r="T291" s="1"/>
      <c r="U291" s="1"/>
      <c r="V291" s="1"/>
      <c r="W291" s="1"/>
      <c r="X291" s="45"/>
      <c r="Y291" s="45"/>
      <c r="Z291" s="45"/>
      <c r="AA291" s="45"/>
    </row>
    <row r="292" spans="1:43" ht="16.5" x14ac:dyDescent="0.3">
      <c r="A292" s="43"/>
      <c r="B292" s="45"/>
      <c r="C292" s="45"/>
      <c r="D292" s="45"/>
      <c r="E292" s="45"/>
      <c r="F292" s="45"/>
      <c r="G292" s="45"/>
      <c r="H292" s="45"/>
      <c r="I292" s="45"/>
      <c r="J292" s="45"/>
      <c r="K292" s="45"/>
      <c r="L292" s="45"/>
      <c r="M292" s="45"/>
      <c r="N292" s="45"/>
      <c r="O292" s="45"/>
      <c r="P292" s="45"/>
      <c r="Q292" s="45"/>
      <c r="R292" s="45"/>
      <c r="S292" s="45"/>
      <c r="T292" s="1"/>
      <c r="U292" s="1"/>
      <c r="V292" s="1"/>
      <c r="W292" s="1"/>
      <c r="X292" s="45"/>
      <c r="Y292" s="45"/>
      <c r="Z292" s="45"/>
      <c r="AA292" s="45"/>
    </row>
    <row r="293" spans="1:43" ht="16.5" x14ac:dyDescent="0.3">
      <c r="A293" s="43"/>
      <c r="B293" s="45"/>
      <c r="C293" s="45"/>
      <c r="D293" s="45"/>
      <c r="E293" s="45"/>
      <c r="F293" s="45"/>
      <c r="G293" s="45"/>
      <c r="H293" s="45"/>
      <c r="I293" s="45"/>
      <c r="J293" s="45"/>
      <c r="K293" s="45"/>
      <c r="L293" s="45"/>
      <c r="M293" s="45"/>
      <c r="N293" s="45"/>
      <c r="O293" s="45"/>
      <c r="P293" s="45"/>
      <c r="Q293" s="45"/>
      <c r="R293" s="45"/>
      <c r="S293" s="45"/>
      <c r="T293" s="1"/>
      <c r="U293" s="1"/>
      <c r="V293" s="1"/>
      <c r="W293" s="1"/>
      <c r="X293" s="45"/>
      <c r="Y293" s="45"/>
      <c r="Z293" s="45"/>
      <c r="AA293" s="45"/>
    </row>
    <row r="294" spans="1:43" ht="16.5" x14ac:dyDescent="0.3">
      <c r="A294" s="43"/>
      <c r="B294" s="45"/>
      <c r="C294" s="45"/>
      <c r="D294" s="45"/>
      <c r="E294" s="45"/>
      <c r="F294" s="45"/>
      <c r="G294" s="45"/>
      <c r="H294" s="45"/>
      <c r="I294" s="45"/>
      <c r="J294" s="45"/>
      <c r="K294" s="45"/>
      <c r="L294" s="45"/>
      <c r="M294" s="45"/>
      <c r="N294" s="45"/>
      <c r="O294" s="45"/>
      <c r="P294" s="45"/>
      <c r="Q294" s="45"/>
      <c r="R294" s="45"/>
      <c r="S294" s="45"/>
      <c r="T294" s="1"/>
      <c r="U294" s="1"/>
      <c r="V294" s="1"/>
      <c r="W294" s="1"/>
      <c r="X294" s="45"/>
      <c r="Y294" s="45"/>
      <c r="Z294" s="45"/>
      <c r="AA294" s="45"/>
    </row>
    <row r="295" spans="1:43" ht="16.5" x14ac:dyDescent="0.3">
      <c r="A295" s="43"/>
      <c r="B295" s="45"/>
      <c r="C295" s="45"/>
      <c r="D295" s="45"/>
      <c r="E295" s="45"/>
      <c r="F295" s="45"/>
      <c r="G295" s="45"/>
      <c r="H295" s="45"/>
      <c r="I295" s="45"/>
      <c r="J295" s="45"/>
      <c r="K295" s="45"/>
      <c r="L295" s="45"/>
      <c r="M295" s="45"/>
      <c r="N295" s="45"/>
      <c r="O295" s="45"/>
      <c r="P295" s="45"/>
      <c r="Q295" s="45"/>
      <c r="R295" s="45"/>
      <c r="S295" s="45"/>
      <c r="T295" s="1"/>
      <c r="U295" s="1"/>
      <c r="V295" s="1"/>
      <c r="W295" s="1"/>
      <c r="X295" s="45"/>
      <c r="Y295" s="45"/>
      <c r="Z295" s="45"/>
      <c r="AA295" s="45"/>
    </row>
    <row r="296" spans="1:43" ht="16.5" x14ac:dyDescent="0.3">
      <c r="A296" s="43"/>
      <c r="B296" s="45"/>
      <c r="C296" s="45"/>
      <c r="D296" s="45"/>
      <c r="E296" s="45"/>
      <c r="F296" s="45"/>
      <c r="G296" s="45"/>
      <c r="H296" s="45"/>
      <c r="I296" s="45"/>
      <c r="J296" s="45"/>
      <c r="K296" s="45"/>
      <c r="L296" s="45"/>
      <c r="M296" s="45"/>
      <c r="N296" s="45"/>
      <c r="O296" s="45"/>
      <c r="P296" s="45"/>
      <c r="Q296" s="45"/>
      <c r="R296" s="45"/>
      <c r="S296" s="45"/>
      <c r="T296" s="1"/>
      <c r="U296" s="1"/>
      <c r="V296" s="1"/>
      <c r="W296" s="1"/>
      <c r="X296" s="45"/>
      <c r="Y296" s="45"/>
      <c r="Z296" s="45"/>
      <c r="AA296" s="45"/>
    </row>
    <row r="297" spans="1:43" ht="16.5" x14ac:dyDescent="0.3">
      <c r="A297" s="43"/>
      <c r="B297" s="45"/>
      <c r="C297" s="45"/>
      <c r="D297" s="45"/>
      <c r="E297" s="45"/>
      <c r="F297" s="45"/>
      <c r="G297" s="45"/>
      <c r="H297" s="45"/>
      <c r="I297" s="45"/>
      <c r="J297" s="45"/>
      <c r="K297" s="45"/>
      <c r="L297" s="45"/>
      <c r="M297" s="45"/>
      <c r="N297" s="45"/>
      <c r="O297" s="45"/>
      <c r="P297" s="45"/>
      <c r="Q297" s="45"/>
      <c r="R297" s="45"/>
      <c r="S297" s="45"/>
      <c r="T297" s="1"/>
      <c r="U297" s="1"/>
      <c r="V297" s="1"/>
      <c r="W297" s="1"/>
      <c r="X297" s="45"/>
      <c r="Y297" s="45"/>
      <c r="Z297" s="45"/>
      <c r="AA297" s="45"/>
    </row>
    <row r="298" spans="1:43" ht="16.5" x14ac:dyDescent="0.3">
      <c r="A298" s="43"/>
      <c r="B298" s="45"/>
      <c r="C298" s="45"/>
      <c r="D298" s="45"/>
      <c r="E298" s="45"/>
      <c r="F298" s="45"/>
      <c r="G298" s="45"/>
      <c r="H298" s="45"/>
      <c r="I298" s="45"/>
      <c r="J298" s="45"/>
      <c r="K298" s="45"/>
      <c r="L298" s="45"/>
      <c r="M298" s="45"/>
      <c r="N298" s="45"/>
      <c r="O298" s="45"/>
      <c r="P298" s="45"/>
      <c r="Q298" s="45"/>
      <c r="R298" s="45"/>
      <c r="S298" s="45"/>
      <c r="T298" s="1"/>
      <c r="U298" s="1"/>
      <c r="V298" s="1"/>
      <c r="W298" s="1"/>
      <c r="X298" s="45"/>
      <c r="Y298" s="45"/>
      <c r="Z298" s="45"/>
      <c r="AA298" s="45"/>
    </row>
    <row r="299" spans="1:43" ht="16.5" x14ac:dyDescent="0.3">
      <c r="A299" s="43"/>
      <c r="B299" s="45"/>
      <c r="C299" s="45"/>
      <c r="D299" s="45"/>
      <c r="E299" s="45"/>
      <c r="F299" s="45"/>
      <c r="G299" s="45"/>
      <c r="H299" s="45"/>
      <c r="I299" s="45"/>
      <c r="J299" s="45"/>
      <c r="K299" s="45"/>
      <c r="L299" s="45"/>
      <c r="M299" s="45"/>
      <c r="N299" s="45"/>
      <c r="O299" s="45"/>
      <c r="P299" s="45"/>
      <c r="Q299" s="45"/>
      <c r="R299" s="45"/>
      <c r="S299" s="45"/>
      <c r="T299" s="1"/>
      <c r="U299" s="1"/>
      <c r="V299" s="1"/>
      <c r="W299" s="1"/>
      <c r="X299" s="45"/>
      <c r="Y299" s="45"/>
      <c r="Z299" s="45"/>
      <c r="AA299" s="45"/>
    </row>
    <row r="300" spans="1:43" ht="16.5" x14ac:dyDescent="0.3">
      <c r="A300" s="43"/>
      <c r="B300" s="45"/>
      <c r="C300" s="45"/>
      <c r="D300" s="45"/>
      <c r="E300" s="45"/>
      <c r="F300" s="45"/>
      <c r="G300" s="45"/>
      <c r="H300" s="45"/>
      <c r="I300" s="45"/>
      <c r="J300" s="45"/>
      <c r="K300" s="45"/>
      <c r="L300" s="45"/>
      <c r="M300" s="45"/>
      <c r="N300" s="45"/>
      <c r="O300" s="45"/>
      <c r="P300" s="45"/>
      <c r="Q300" s="45"/>
      <c r="R300" s="45"/>
      <c r="S300" s="45"/>
      <c r="T300" s="1"/>
      <c r="U300" s="1"/>
      <c r="V300" s="1"/>
      <c r="W300" s="1"/>
      <c r="X300" s="45"/>
      <c r="Y300" s="45"/>
      <c r="Z300" s="45"/>
      <c r="AA300" s="45"/>
    </row>
    <row r="301" spans="1:43" ht="16.5" x14ac:dyDescent="0.3">
      <c r="A301" s="43"/>
      <c r="B301" s="45"/>
      <c r="C301" s="45"/>
      <c r="D301" s="45"/>
      <c r="E301" s="45"/>
      <c r="F301" s="45"/>
      <c r="G301" s="45"/>
      <c r="H301" s="45"/>
      <c r="I301" s="45"/>
      <c r="J301" s="45"/>
      <c r="K301" s="45"/>
      <c r="L301" s="45"/>
      <c r="M301" s="45"/>
      <c r="N301" s="45"/>
      <c r="O301" s="45"/>
      <c r="P301" s="45"/>
      <c r="Q301" s="45"/>
      <c r="R301" s="45"/>
      <c r="S301" s="45"/>
      <c r="T301" s="1"/>
      <c r="U301" s="1"/>
      <c r="V301" s="1"/>
      <c r="W301" s="1"/>
      <c r="X301" s="45"/>
      <c r="Y301" s="45"/>
      <c r="Z301" s="45"/>
      <c r="AA301" s="45"/>
    </row>
    <row r="302" spans="1:43" ht="16.5" x14ac:dyDescent="0.3">
      <c r="A302" s="43"/>
      <c r="B302" s="45"/>
      <c r="C302" s="45"/>
      <c r="D302" s="45"/>
      <c r="E302" s="45"/>
      <c r="F302" s="45"/>
      <c r="G302" s="45"/>
      <c r="H302" s="45"/>
      <c r="I302" s="45"/>
      <c r="J302" s="45"/>
      <c r="K302" s="45"/>
      <c r="L302" s="45"/>
      <c r="M302" s="45"/>
      <c r="N302" s="45"/>
      <c r="O302" s="45"/>
      <c r="P302" s="45"/>
      <c r="Q302" s="45"/>
      <c r="R302" s="45"/>
      <c r="S302" s="45"/>
      <c r="T302" s="1"/>
      <c r="U302" s="1"/>
      <c r="V302" s="1"/>
      <c r="W302" s="1"/>
      <c r="X302" s="45"/>
      <c r="Y302" s="45"/>
      <c r="Z302" s="45"/>
      <c r="AA302" s="45"/>
    </row>
    <row r="303" spans="1:43" ht="16.5" x14ac:dyDescent="0.3">
      <c r="A303" s="43"/>
      <c r="B303" s="45"/>
      <c r="C303" s="45"/>
      <c r="D303" s="45"/>
      <c r="E303" s="45"/>
      <c r="F303" s="45"/>
      <c r="G303" s="45"/>
      <c r="H303" s="45"/>
      <c r="I303" s="45"/>
      <c r="J303" s="45"/>
      <c r="K303" s="45"/>
      <c r="L303" s="45"/>
      <c r="M303" s="45"/>
      <c r="N303" s="45"/>
      <c r="O303" s="45"/>
      <c r="P303" s="45"/>
      <c r="Q303" s="45"/>
      <c r="R303" s="45"/>
      <c r="S303" s="45"/>
      <c r="T303" s="1"/>
      <c r="U303" s="1"/>
      <c r="V303" s="1"/>
      <c r="W303" s="1"/>
      <c r="X303" s="45"/>
      <c r="Y303" s="45"/>
      <c r="Z303" s="45"/>
      <c r="AA303" s="45"/>
    </row>
    <row r="304" spans="1:43" ht="16.5" x14ac:dyDescent="0.3">
      <c r="A304" s="43"/>
      <c r="B304" s="45"/>
      <c r="C304" s="45"/>
      <c r="D304" s="45"/>
      <c r="E304" s="45"/>
      <c r="F304" s="45"/>
      <c r="G304" s="45"/>
      <c r="H304" s="45"/>
      <c r="I304" s="45"/>
      <c r="J304" s="45"/>
      <c r="K304" s="45"/>
      <c r="L304" s="45"/>
      <c r="M304" s="45"/>
      <c r="N304" s="45"/>
      <c r="O304" s="45"/>
      <c r="P304" s="45"/>
      <c r="Q304" s="45"/>
      <c r="R304" s="45"/>
      <c r="S304" s="45"/>
      <c r="T304" s="1"/>
      <c r="U304" s="1"/>
      <c r="V304" s="1"/>
      <c r="W304" s="1"/>
      <c r="X304" s="45"/>
      <c r="Y304" s="45"/>
      <c r="Z304" s="45"/>
      <c r="AA304" s="45"/>
    </row>
    <row r="305" spans="1:27" ht="16.5" x14ac:dyDescent="0.3">
      <c r="A305" s="43"/>
      <c r="B305" s="45"/>
      <c r="C305" s="45"/>
      <c r="D305" s="45"/>
      <c r="E305" s="45"/>
      <c r="F305" s="45"/>
      <c r="G305" s="45"/>
      <c r="H305" s="45"/>
      <c r="I305" s="45"/>
      <c r="J305" s="45"/>
      <c r="K305" s="45"/>
      <c r="L305" s="45"/>
      <c r="M305" s="45"/>
      <c r="N305" s="45"/>
      <c r="O305" s="45"/>
      <c r="P305" s="45"/>
      <c r="Q305" s="45"/>
      <c r="R305" s="45"/>
      <c r="S305" s="45"/>
      <c r="T305" s="1"/>
      <c r="U305" s="1"/>
      <c r="V305" s="1"/>
      <c r="W305" s="1"/>
      <c r="X305" s="45"/>
      <c r="Y305" s="45"/>
      <c r="Z305" s="45"/>
      <c r="AA305" s="45"/>
    </row>
    <row r="306" spans="1:27" ht="16.5" x14ac:dyDescent="0.3">
      <c r="A306" s="43"/>
      <c r="B306" s="45"/>
      <c r="C306" s="45"/>
      <c r="D306" s="45"/>
      <c r="E306" s="45"/>
      <c r="F306" s="45"/>
      <c r="G306" s="45"/>
      <c r="H306" s="45"/>
      <c r="I306" s="45"/>
      <c r="J306" s="45"/>
      <c r="K306" s="45"/>
      <c r="L306" s="45"/>
      <c r="M306" s="45"/>
      <c r="N306" s="45"/>
      <c r="O306" s="45"/>
      <c r="P306" s="45"/>
      <c r="Q306" s="45"/>
      <c r="R306" s="45"/>
      <c r="S306" s="45"/>
      <c r="T306" s="1"/>
      <c r="U306" s="1"/>
      <c r="V306" s="1"/>
      <c r="W306" s="1"/>
      <c r="X306" s="45"/>
      <c r="Y306" s="45"/>
      <c r="Z306" s="45"/>
      <c r="AA306" s="45"/>
    </row>
    <row r="307" spans="1:27" ht="16.5" x14ac:dyDescent="0.3">
      <c r="A307" s="43"/>
      <c r="B307" s="45"/>
      <c r="C307" s="45"/>
      <c r="D307" s="45"/>
      <c r="E307" s="45"/>
      <c r="F307" s="45"/>
      <c r="G307" s="45"/>
      <c r="H307" s="45"/>
      <c r="I307" s="45"/>
      <c r="J307" s="45"/>
      <c r="K307" s="45"/>
      <c r="L307" s="45"/>
      <c r="M307" s="45"/>
      <c r="N307" s="45"/>
      <c r="O307" s="45"/>
      <c r="P307" s="45"/>
      <c r="Q307" s="45"/>
      <c r="R307" s="45"/>
      <c r="S307" s="45"/>
      <c r="T307" s="1"/>
      <c r="U307" s="1"/>
      <c r="V307" s="1"/>
      <c r="W307" s="1"/>
      <c r="X307" s="45"/>
      <c r="Y307" s="45"/>
      <c r="Z307" s="45"/>
      <c r="AA307" s="45"/>
    </row>
    <row r="308" spans="1:27" ht="16.5" x14ac:dyDescent="0.3">
      <c r="A308" s="43"/>
      <c r="B308" s="45"/>
      <c r="C308" s="45"/>
      <c r="D308" s="45"/>
      <c r="E308" s="45"/>
      <c r="F308" s="45"/>
      <c r="G308" s="45"/>
      <c r="H308" s="45"/>
      <c r="I308" s="45"/>
      <c r="J308" s="45"/>
      <c r="K308" s="45"/>
      <c r="L308" s="45"/>
      <c r="M308" s="45"/>
      <c r="N308" s="45"/>
      <c r="O308" s="45"/>
      <c r="P308" s="45"/>
      <c r="Q308" s="45"/>
      <c r="R308" s="45"/>
      <c r="S308" s="45"/>
      <c r="T308" s="1"/>
      <c r="U308" s="1"/>
      <c r="V308" s="1"/>
      <c r="W308" s="1"/>
      <c r="X308" s="45"/>
      <c r="Y308" s="45"/>
      <c r="Z308" s="45"/>
      <c r="AA308" s="45"/>
    </row>
    <row r="309" spans="1:27" ht="16.5" x14ac:dyDescent="0.3">
      <c r="A309" s="43"/>
      <c r="B309" s="45"/>
      <c r="C309" s="45"/>
      <c r="D309" s="45"/>
      <c r="E309" s="45"/>
      <c r="F309" s="45"/>
      <c r="G309" s="45"/>
      <c r="H309" s="45"/>
      <c r="I309" s="45"/>
      <c r="J309" s="45"/>
      <c r="K309" s="45"/>
      <c r="L309" s="45"/>
      <c r="M309" s="45"/>
      <c r="N309" s="45"/>
      <c r="O309" s="45"/>
      <c r="P309" s="45"/>
      <c r="Q309" s="45"/>
      <c r="R309" s="45"/>
      <c r="S309" s="45"/>
      <c r="T309" s="1"/>
      <c r="U309" s="1"/>
      <c r="V309" s="1"/>
      <c r="W309" s="1"/>
      <c r="X309" s="45"/>
      <c r="Y309" s="45"/>
      <c r="Z309" s="45"/>
      <c r="AA309" s="45"/>
    </row>
    <row r="310" spans="1:27" ht="16.5" x14ac:dyDescent="0.3">
      <c r="A310" s="43"/>
      <c r="B310" s="45"/>
      <c r="C310" s="45"/>
      <c r="D310" s="45"/>
      <c r="E310" s="45"/>
      <c r="F310" s="45"/>
      <c r="G310" s="45"/>
      <c r="H310" s="45"/>
      <c r="I310" s="45"/>
      <c r="J310" s="45"/>
      <c r="K310" s="45"/>
      <c r="L310" s="45"/>
      <c r="M310" s="45"/>
      <c r="N310" s="45"/>
      <c r="O310" s="45"/>
      <c r="P310" s="45"/>
      <c r="Q310" s="45"/>
      <c r="R310" s="45"/>
      <c r="S310" s="45"/>
      <c r="T310" s="1"/>
      <c r="U310" s="1"/>
      <c r="V310" s="1"/>
      <c r="W310" s="1"/>
      <c r="X310" s="45"/>
      <c r="Y310" s="45"/>
      <c r="Z310" s="45"/>
      <c r="AA310" s="45"/>
    </row>
    <row r="311" spans="1:27" ht="16.5" x14ac:dyDescent="0.3">
      <c r="A311" s="43"/>
      <c r="B311" s="45"/>
      <c r="C311" s="45"/>
      <c r="D311" s="45"/>
      <c r="E311" s="45"/>
      <c r="F311" s="45"/>
      <c r="G311" s="45"/>
      <c r="H311" s="45"/>
      <c r="I311" s="45"/>
      <c r="J311" s="45"/>
      <c r="K311" s="45"/>
      <c r="L311" s="45"/>
      <c r="M311" s="45"/>
      <c r="N311" s="45"/>
      <c r="O311" s="45"/>
      <c r="P311" s="45"/>
      <c r="Q311" s="45"/>
      <c r="R311" s="45"/>
      <c r="S311" s="45"/>
      <c r="T311" s="1"/>
      <c r="U311" s="1"/>
      <c r="V311" s="1"/>
      <c r="W311" s="1"/>
      <c r="X311" s="45"/>
      <c r="Y311" s="45"/>
      <c r="Z311" s="45"/>
      <c r="AA311" s="45"/>
    </row>
    <row r="312" spans="1:27" ht="16.5" x14ac:dyDescent="0.3">
      <c r="A312" s="43"/>
      <c r="B312" s="45"/>
      <c r="C312" s="45"/>
      <c r="D312" s="45"/>
      <c r="E312" s="45"/>
      <c r="F312" s="45"/>
      <c r="G312" s="45"/>
      <c r="H312" s="45"/>
      <c r="I312" s="45"/>
      <c r="J312" s="45"/>
      <c r="K312" s="45"/>
      <c r="L312" s="45"/>
      <c r="M312" s="45"/>
      <c r="N312" s="45"/>
      <c r="O312" s="45"/>
      <c r="P312" s="45"/>
      <c r="Q312" s="45"/>
      <c r="R312" s="45"/>
      <c r="S312" s="45"/>
      <c r="T312" s="1"/>
      <c r="U312" s="1"/>
      <c r="V312" s="1"/>
      <c r="W312" s="1"/>
      <c r="X312" s="45"/>
      <c r="Y312" s="45"/>
      <c r="Z312" s="45"/>
      <c r="AA312" s="45"/>
    </row>
    <row r="313" spans="1:27" ht="16.5" x14ac:dyDescent="0.3">
      <c r="A313" s="43"/>
      <c r="B313" s="45"/>
      <c r="C313" s="45"/>
      <c r="D313" s="45"/>
      <c r="E313" s="45"/>
      <c r="F313" s="45"/>
      <c r="G313" s="45"/>
      <c r="H313" s="45"/>
      <c r="I313" s="45"/>
      <c r="J313" s="45"/>
      <c r="K313" s="45"/>
      <c r="L313" s="45"/>
      <c r="M313" s="45"/>
      <c r="N313" s="45"/>
      <c r="O313" s="45"/>
      <c r="P313" s="45"/>
      <c r="Q313" s="45"/>
      <c r="R313" s="45"/>
      <c r="S313" s="45"/>
      <c r="T313" s="1"/>
      <c r="U313" s="1"/>
      <c r="V313" s="1"/>
      <c r="W313" s="1"/>
      <c r="X313" s="45"/>
      <c r="Y313" s="45"/>
      <c r="Z313" s="45"/>
      <c r="AA313" s="45"/>
    </row>
    <row r="314" spans="1:27" ht="16.5" x14ac:dyDescent="0.3">
      <c r="A314" s="43"/>
      <c r="B314" s="45"/>
      <c r="C314" s="45"/>
      <c r="D314" s="45"/>
      <c r="E314" s="45"/>
      <c r="F314" s="45"/>
      <c r="G314" s="43"/>
      <c r="H314" s="43"/>
      <c r="I314" s="43"/>
      <c r="J314" s="43"/>
      <c r="K314" s="43"/>
      <c r="L314" s="43"/>
      <c r="M314" s="43"/>
      <c r="N314" s="43"/>
      <c r="O314" s="43"/>
      <c r="P314" s="43"/>
      <c r="Q314" s="43"/>
      <c r="R314" s="43"/>
      <c r="S314" s="45"/>
      <c r="T314" s="1"/>
      <c r="U314" s="1"/>
      <c r="V314" s="1"/>
      <c r="W314" s="1"/>
      <c r="X314" s="45"/>
      <c r="Y314" s="43"/>
      <c r="Z314" s="45"/>
      <c r="AA314" s="43"/>
    </row>
    <row r="315" spans="1:27" x14ac:dyDescent="0.25">
      <c r="A315" s="43"/>
      <c r="B315" s="43"/>
      <c r="C315" s="43"/>
      <c r="D315" s="43"/>
      <c r="E315" s="43"/>
      <c r="F315" s="43"/>
      <c r="G315" s="43"/>
      <c r="H315" s="43"/>
      <c r="I315" s="43"/>
      <c r="J315" s="43"/>
      <c r="K315" s="43"/>
      <c r="L315" s="43"/>
      <c r="M315" s="43"/>
      <c r="N315" s="43"/>
      <c r="O315" s="43"/>
      <c r="P315" s="43"/>
      <c r="Q315" s="43"/>
      <c r="R315" s="43"/>
      <c r="S315" s="43"/>
      <c r="X315" s="43"/>
      <c r="Y315" s="43"/>
      <c r="Z315" s="43"/>
      <c r="AA315" s="43"/>
    </row>
    <row r="316" spans="1:27" x14ac:dyDescent="0.25">
      <c r="A316" s="43"/>
      <c r="B316" s="43"/>
      <c r="C316" s="43"/>
      <c r="D316" s="43"/>
      <c r="E316" s="43"/>
      <c r="F316" s="43"/>
      <c r="G316" s="43"/>
      <c r="H316" s="43"/>
      <c r="I316" s="43"/>
      <c r="J316" s="43"/>
      <c r="K316" s="43"/>
      <c r="L316" s="43"/>
      <c r="M316" s="43"/>
      <c r="N316" s="43"/>
      <c r="O316" s="43"/>
      <c r="P316" s="43"/>
      <c r="Q316" s="43"/>
      <c r="R316" s="43"/>
      <c r="S316" s="43"/>
      <c r="X316" s="43"/>
      <c r="Y316" s="43"/>
      <c r="Z316" s="43"/>
      <c r="AA316" s="43"/>
    </row>
  </sheetData>
  <mergeCells count="277">
    <mergeCell ref="T1:T3"/>
    <mergeCell ref="V1:V2"/>
    <mergeCell ref="W1:W2"/>
    <mergeCell ref="B2:B3"/>
    <mergeCell ref="A10:A15"/>
    <mergeCell ref="D10:D15"/>
    <mergeCell ref="E10:E15"/>
    <mergeCell ref="T10:T15"/>
    <mergeCell ref="V10:V15"/>
    <mergeCell ref="W10:W15"/>
    <mergeCell ref="A1:A3"/>
    <mergeCell ref="C1:C2"/>
    <mergeCell ref="D1:D2"/>
    <mergeCell ref="E1:E2"/>
    <mergeCell ref="F1:R1"/>
    <mergeCell ref="S1:S2"/>
    <mergeCell ref="A4:A9"/>
    <mergeCell ref="D4:D9"/>
    <mergeCell ref="E4:E9"/>
    <mergeCell ref="T4:T9"/>
    <mergeCell ref="V4:V9"/>
    <mergeCell ref="W4:W9"/>
    <mergeCell ref="U1:U2"/>
    <mergeCell ref="U4:U9"/>
    <mergeCell ref="A22:A27"/>
    <mergeCell ref="D22:D27"/>
    <mergeCell ref="E22:E27"/>
    <mergeCell ref="T22:T27"/>
    <mergeCell ref="V22:V27"/>
    <mergeCell ref="W22:W27"/>
    <mergeCell ref="A16:A21"/>
    <mergeCell ref="D16:D21"/>
    <mergeCell ref="E16:E21"/>
    <mergeCell ref="T16:T21"/>
    <mergeCell ref="V16:V21"/>
    <mergeCell ref="W16:W21"/>
    <mergeCell ref="A34:A39"/>
    <mergeCell ref="D34:D39"/>
    <mergeCell ref="E34:E39"/>
    <mergeCell ref="T34:T39"/>
    <mergeCell ref="V34:V39"/>
    <mergeCell ref="W34:W39"/>
    <mergeCell ref="A28:A33"/>
    <mergeCell ref="D28:D33"/>
    <mergeCell ref="E28:E33"/>
    <mergeCell ref="T28:T33"/>
    <mergeCell ref="V28:V33"/>
    <mergeCell ref="W28:W33"/>
    <mergeCell ref="A46:A51"/>
    <mergeCell ref="D46:D51"/>
    <mergeCell ref="E46:E51"/>
    <mergeCell ref="T46:T51"/>
    <mergeCell ref="V46:V51"/>
    <mergeCell ref="W46:W51"/>
    <mergeCell ref="A40:A45"/>
    <mergeCell ref="D40:D45"/>
    <mergeCell ref="E40:E45"/>
    <mergeCell ref="T40:T45"/>
    <mergeCell ref="V40:V45"/>
    <mergeCell ref="W40:W45"/>
    <mergeCell ref="A58:A63"/>
    <mergeCell ref="D58:D63"/>
    <mergeCell ref="E58:E63"/>
    <mergeCell ref="T58:T63"/>
    <mergeCell ref="V58:V63"/>
    <mergeCell ref="W58:W63"/>
    <mergeCell ref="A52:A57"/>
    <mergeCell ref="D52:D57"/>
    <mergeCell ref="E52:E57"/>
    <mergeCell ref="T52:T57"/>
    <mergeCell ref="V52:V57"/>
    <mergeCell ref="W52:W57"/>
    <mergeCell ref="A70:A75"/>
    <mergeCell ref="D70:D75"/>
    <mergeCell ref="E70:E75"/>
    <mergeCell ref="T70:T75"/>
    <mergeCell ref="V70:V75"/>
    <mergeCell ref="W70:W75"/>
    <mergeCell ref="A64:A69"/>
    <mergeCell ref="D64:D69"/>
    <mergeCell ref="E64:E69"/>
    <mergeCell ref="T64:T69"/>
    <mergeCell ref="V64:V69"/>
    <mergeCell ref="W64:W69"/>
    <mergeCell ref="U64:U69"/>
    <mergeCell ref="U70:U75"/>
    <mergeCell ref="A82:A87"/>
    <mergeCell ref="D82:D87"/>
    <mergeCell ref="E82:E87"/>
    <mergeCell ref="T82:T87"/>
    <mergeCell ref="V82:V87"/>
    <mergeCell ref="W82:W87"/>
    <mergeCell ref="A76:A81"/>
    <mergeCell ref="D76:D81"/>
    <mergeCell ref="E76:E81"/>
    <mergeCell ref="T76:T81"/>
    <mergeCell ref="V76:V81"/>
    <mergeCell ref="W76:W81"/>
    <mergeCell ref="U76:U81"/>
    <mergeCell ref="U82:U87"/>
    <mergeCell ref="A94:A99"/>
    <mergeCell ref="D94:D99"/>
    <mergeCell ref="E94:E99"/>
    <mergeCell ref="T94:T99"/>
    <mergeCell ref="V94:V99"/>
    <mergeCell ref="W94:W99"/>
    <mergeCell ref="A88:A93"/>
    <mergeCell ref="D88:D93"/>
    <mergeCell ref="E88:E93"/>
    <mergeCell ref="T88:T93"/>
    <mergeCell ref="V88:V93"/>
    <mergeCell ref="W88:W93"/>
    <mergeCell ref="U88:U93"/>
    <mergeCell ref="U94:U99"/>
    <mergeCell ref="A106:A111"/>
    <mergeCell ref="D106:D111"/>
    <mergeCell ref="E106:E111"/>
    <mergeCell ref="T106:T111"/>
    <mergeCell ref="V106:V111"/>
    <mergeCell ref="W106:W111"/>
    <mergeCell ref="A100:A105"/>
    <mergeCell ref="D100:D105"/>
    <mergeCell ref="E100:E105"/>
    <mergeCell ref="T100:T105"/>
    <mergeCell ref="V100:V105"/>
    <mergeCell ref="W100:W105"/>
    <mergeCell ref="U100:U105"/>
    <mergeCell ref="U106:U111"/>
    <mergeCell ref="A118:A123"/>
    <mergeCell ref="D118:D123"/>
    <mergeCell ref="E118:E123"/>
    <mergeCell ref="T118:T123"/>
    <mergeCell ref="V118:V123"/>
    <mergeCell ref="W118:W123"/>
    <mergeCell ref="A112:A117"/>
    <mergeCell ref="D112:D117"/>
    <mergeCell ref="E112:E117"/>
    <mergeCell ref="T112:T117"/>
    <mergeCell ref="V112:V117"/>
    <mergeCell ref="W112:W117"/>
    <mergeCell ref="U112:U117"/>
    <mergeCell ref="U118:U123"/>
    <mergeCell ref="A130:A135"/>
    <mergeCell ref="D130:D135"/>
    <mergeCell ref="E130:E135"/>
    <mergeCell ref="T130:T135"/>
    <mergeCell ref="V130:V135"/>
    <mergeCell ref="W130:W135"/>
    <mergeCell ref="A124:A129"/>
    <mergeCell ref="D124:D129"/>
    <mergeCell ref="E124:E129"/>
    <mergeCell ref="T124:T129"/>
    <mergeCell ref="V124:V129"/>
    <mergeCell ref="W124:W129"/>
    <mergeCell ref="U124:U129"/>
    <mergeCell ref="U130:U135"/>
    <mergeCell ref="A142:A147"/>
    <mergeCell ref="D142:D147"/>
    <mergeCell ref="E142:E147"/>
    <mergeCell ref="T142:T147"/>
    <mergeCell ref="V142:V147"/>
    <mergeCell ref="W142:W147"/>
    <mergeCell ref="A136:A141"/>
    <mergeCell ref="D136:D141"/>
    <mergeCell ref="E136:E141"/>
    <mergeCell ref="T136:T141"/>
    <mergeCell ref="V136:V141"/>
    <mergeCell ref="W136:W141"/>
    <mergeCell ref="U136:U141"/>
    <mergeCell ref="U142:U147"/>
    <mergeCell ref="A154:A159"/>
    <mergeCell ref="D154:D159"/>
    <mergeCell ref="E154:E159"/>
    <mergeCell ref="T154:T159"/>
    <mergeCell ref="V154:V159"/>
    <mergeCell ref="W154:W159"/>
    <mergeCell ref="A148:A153"/>
    <mergeCell ref="D148:D153"/>
    <mergeCell ref="E148:E153"/>
    <mergeCell ref="T148:T153"/>
    <mergeCell ref="V148:V153"/>
    <mergeCell ref="W148:W153"/>
    <mergeCell ref="U148:U153"/>
    <mergeCell ref="U154:U159"/>
    <mergeCell ref="A166:A171"/>
    <mergeCell ref="D166:D171"/>
    <mergeCell ref="E166:E171"/>
    <mergeCell ref="T166:T171"/>
    <mergeCell ref="V166:V171"/>
    <mergeCell ref="W166:W171"/>
    <mergeCell ref="A160:A165"/>
    <mergeCell ref="D160:D165"/>
    <mergeCell ref="E160:E165"/>
    <mergeCell ref="T160:T165"/>
    <mergeCell ref="V160:V165"/>
    <mergeCell ref="W160:W165"/>
    <mergeCell ref="U160:U165"/>
    <mergeCell ref="U166:U171"/>
    <mergeCell ref="A178:A183"/>
    <mergeCell ref="D178:D183"/>
    <mergeCell ref="E178:E183"/>
    <mergeCell ref="T178:T183"/>
    <mergeCell ref="V178:V183"/>
    <mergeCell ref="W178:W183"/>
    <mergeCell ref="A172:A177"/>
    <mergeCell ref="D172:D177"/>
    <mergeCell ref="E172:E177"/>
    <mergeCell ref="T172:T177"/>
    <mergeCell ref="V172:V177"/>
    <mergeCell ref="W172:W177"/>
    <mergeCell ref="U172:U177"/>
    <mergeCell ref="U178:U183"/>
    <mergeCell ref="A190:A195"/>
    <mergeCell ref="D190:D195"/>
    <mergeCell ref="E190:E195"/>
    <mergeCell ref="T190:T195"/>
    <mergeCell ref="V190:V195"/>
    <mergeCell ref="W190:W195"/>
    <mergeCell ref="A184:A189"/>
    <mergeCell ref="D184:D189"/>
    <mergeCell ref="E184:E189"/>
    <mergeCell ref="T184:T189"/>
    <mergeCell ref="V184:V189"/>
    <mergeCell ref="W184:W189"/>
    <mergeCell ref="U184:U189"/>
    <mergeCell ref="U190:U195"/>
    <mergeCell ref="A202:A207"/>
    <mergeCell ref="D202:D207"/>
    <mergeCell ref="E202:E207"/>
    <mergeCell ref="T202:T207"/>
    <mergeCell ref="V202:V207"/>
    <mergeCell ref="W202:W207"/>
    <mergeCell ref="A196:A201"/>
    <mergeCell ref="D196:D201"/>
    <mergeCell ref="E196:E201"/>
    <mergeCell ref="T196:T201"/>
    <mergeCell ref="V196:V201"/>
    <mergeCell ref="W196:W201"/>
    <mergeCell ref="U196:U201"/>
    <mergeCell ref="U202:U207"/>
    <mergeCell ref="A214:A219"/>
    <mergeCell ref="D214:D219"/>
    <mergeCell ref="E214:E219"/>
    <mergeCell ref="T214:T219"/>
    <mergeCell ref="V214:V219"/>
    <mergeCell ref="W214:W219"/>
    <mergeCell ref="A208:A213"/>
    <mergeCell ref="D208:D213"/>
    <mergeCell ref="E208:E213"/>
    <mergeCell ref="T208:T213"/>
    <mergeCell ref="V208:V213"/>
    <mergeCell ref="W208:W213"/>
    <mergeCell ref="U208:U213"/>
    <mergeCell ref="U214:U219"/>
    <mergeCell ref="A226:A231"/>
    <mergeCell ref="D226:D231"/>
    <mergeCell ref="E226:E231"/>
    <mergeCell ref="T226:T231"/>
    <mergeCell ref="V226:V231"/>
    <mergeCell ref="W226:W231"/>
    <mergeCell ref="A220:A225"/>
    <mergeCell ref="D220:D225"/>
    <mergeCell ref="E220:E225"/>
    <mergeCell ref="T220:T225"/>
    <mergeCell ref="V220:V225"/>
    <mergeCell ref="W220:W225"/>
    <mergeCell ref="U220:U225"/>
    <mergeCell ref="U226:U231"/>
    <mergeCell ref="U10:U15"/>
    <mergeCell ref="U16:U21"/>
    <mergeCell ref="U22:U27"/>
    <mergeCell ref="U28:U33"/>
    <mergeCell ref="U34:U39"/>
    <mergeCell ref="U40:U45"/>
    <mergeCell ref="U46:U51"/>
    <mergeCell ref="U52:U57"/>
    <mergeCell ref="U58:U63"/>
  </mergeCells>
  <conditionalFormatting sqref="D10:D231">
    <cfRule type="top10" dxfId="31" priority="22" rank="1"/>
  </conditionalFormatting>
  <conditionalFormatting sqref="E10:F231">
    <cfRule type="top10" dxfId="30" priority="21" rank="1"/>
  </conditionalFormatting>
  <conditionalFormatting sqref="P10:P231 N10:N231 L10:L231 H10:H231">
    <cfRule type="top10" dxfId="29" priority="20" rank="1"/>
  </conditionalFormatting>
  <conditionalFormatting sqref="J10:J231">
    <cfRule type="top10" dxfId="28" priority="19" rank="1"/>
  </conditionalFormatting>
  <conditionalFormatting sqref="T10:T231">
    <cfRule type="colorScale" priority="18">
      <colorScale>
        <cfvo type="min"/>
        <cfvo type="percentile" val="50"/>
        <cfvo type="max"/>
        <color rgb="FFF8696B"/>
        <color rgb="FFFFEB84"/>
        <color rgb="FF63BE7B"/>
      </colorScale>
    </cfRule>
  </conditionalFormatting>
  <conditionalFormatting sqref="W226:W231 W10:W201">
    <cfRule type="colorScale" priority="17">
      <colorScale>
        <cfvo type="min"/>
        <cfvo type="percentile" val="50"/>
        <cfvo type="max"/>
        <color rgb="FFF8696B"/>
        <color rgb="FFFFEB84"/>
        <color rgb="FF63BE7B"/>
      </colorScale>
    </cfRule>
  </conditionalFormatting>
  <conditionalFormatting sqref="W202:W207">
    <cfRule type="colorScale" priority="16">
      <colorScale>
        <cfvo type="min"/>
        <cfvo type="percentile" val="50"/>
        <cfvo type="max"/>
        <color rgb="FFF8696B"/>
        <color rgb="FFFFEB84"/>
        <color rgb="FF63BE7B"/>
      </colorScale>
    </cfRule>
  </conditionalFormatting>
  <conditionalFormatting sqref="W208:W219">
    <cfRule type="colorScale" priority="15">
      <colorScale>
        <cfvo type="min"/>
        <cfvo type="percentile" val="50"/>
        <cfvo type="max"/>
        <color rgb="FFF8696B"/>
        <color rgb="FFFFEB84"/>
        <color rgb="FF63BE7B"/>
      </colorScale>
    </cfRule>
  </conditionalFormatting>
  <conditionalFormatting sqref="W220:W225">
    <cfRule type="colorScale" priority="14">
      <colorScale>
        <cfvo type="min"/>
        <cfvo type="percentile" val="50"/>
        <cfvo type="max"/>
        <color rgb="FFF8696B"/>
        <color rgb="FFFFEB84"/>
        <color rgb="FF63BE7B"/>
      </colorScale>
    </cfRule>
  </conditionalFormatting>
  <conditionalFormatting sqref="V10:V231">
    <cfRule type="colorScale" priority="13">
      <colorScale>
        <cfvo type="min"/>
        <cfvo type="percentile" val="50"/>
        <cfvo type="max"/>
        <color rgb="FFF8696B"/>
        <color rgb="FFFFEB84"/>
        <color rgb="FF63BE7B"/>
      </colorScale>
    </cfRule>
  </conditionalFormatting>
  <conditionalFormatting sqref="D4:D9">
    <cfRule type="top10" dxfId="27" priority="12" rank="1"/>
  </conditionalFormatting>
  <conditionalFormatting sqref="E4:F9">
    <cfRule type="top10" dxfId="26" priority="11" rank="1"/>
  </conditionalFormatting>
  <conditionalFormatting sqref="P4:P9 N4:N9 L4:L9 H4:H9">
    <cfRule type="top10" dxfId="25" priority="10" rank="1"/>
  </conditionalFormatting>
  <conditionalFormatting sqref="J4:J9">
    <cfRule type="top10" dxfId="24" priority="9" rank="1"/>
  </conditionalFormatting>
  <conditionalFormatting sqref="T4:T9">
    <cfRule type="colorScale" priority="8">
      <colorScale>
        <cfvo type="min"/>
        <cfvo type="percentile" val="50"/>
        <cfvo type="max"/>
        <color rgb="FFF8696B"/>
        <color rgb="FFFFEB84"/>
        <color rgb="FF63BE7B"/>
      </colorScale>
    </cfRule>
  </conditionalFormatting>
  <conditionalFormatting sqref="W4:W9">
    <cfRule type="colorScale" priority="7">
      <colorScale>
        <cfvo type="min"/>
        <cfvo type="percentile" val="50"/>
        <cfvo type="max"/>
        <color rgb="FFF8696B"/>
        <color rgb="FFFFEB84"/>
        <color rgb="FF63BE7B"/>
      </colorScale>
    </cfRule>
  </conditionalFormatting>
  <conditionalFormatting sqref="V4:V9">
    <cfRule type="colorScale" priority="6">
      <colorScale>
        <cfvo type="min"/>
        <cfvo type="percentile" val="50"/>
        <cfvo type="max"/>
        <color rgb="FFF8696B"/>
        <color rgb="FFFFEB84"/>
        <color rgb="FF63BE7B"/>
      </colorScale>
    </cfRule>
  </conditionalFormatting>
  <conditionalFormatting sqref="X10:X231">
    <cfRule type="top10" dxfId="23" priority="5" rank="1"/>
  </conditionalFormatting>
  <conditionalFormatting sqref="X4:X9">
    <cfRule type="top10" dxfId="22" priority="4" rank="1"/>
  </conditionalFormatting>
  <conditionalFormatting sqref="Z10:Z231">
    <cfRule type="top10" dxfId="21" priority="3" rank="1"/>
  </conditionalFormatting>
  <conditionalFormatting sqref="Z4:Z9">
    <cfRule type="top10" dxfId="20" priority="2" rank="1"/>
  </conditionalFormatting>
  <conditionalFormatting sqref="U34 U28 U22 U4 U10 U16 U40 U46 U52 U58 U64 U70 U76 U82 U88 U94 U100 U106 U112 U118 U124 U130 U136 U142 U148 U154 U160 U166 U172 U178 U184 U190 U196 U202 U208 U214 U220 U22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6"/>
  <sheetViews>
    <sheetView zoomScaleNormal="100" workbookViewId="0">
      <pane xSplit="2" ySplit="3" topLeftCell="M179" activePane="bottomRight" state="frozen"/>
      <selection pane="topRight" activeCell="B1" sqref="B1"/>
      <selection pane="bottomLeft" activeCell="A3" sqref="A3"/>
      <selection pane="bottomRight" activeCell="D202" sqref="D202:D207"/>
    </sheetView>
  </sheetViews>
  <sheetFormatPr baseColWidth="10" defaultRowHeight="15" x14ac:dyDescent="0.25"/>
  <cols>
    <col min="1" max="1" width="12.7109375" customWidth="1"/>
    <col min="2" max="3" width="20.7109375" customWidth="1"/>
    <col min="4" max="6" width="12.7109375" customWidth="1"/>
    <col min="7" max="7" width="20.7109375" customWidth="1"/>
    <col min="8" max="8" width="12.7109375" customWidth="1"/>
    <col min="9" max="9" width="20.7109375" customWidth="1"/>
    <col min="10" max="10" width="12.7109375" customWidth="1"/>
    <col min="11" max="11" width="20.7109375" customWidth="1"/>
    <col min="12" max="12" width="12.7109375" customWidth="1"/>
    <col min="13" max="13" width="20.7109375" customWidth="1"/>
    <col min="14" max="14" width="12.7109375" customWidth="1"/>
    <col min="15" max="15" width="20.7109375" customWidth="1"/>
    <col min="16" max="16" width="12.7109375" customWidth="1"/>
    <col min="17" max="19" width="20.7109375" customWidth="1"/>
    <col min="20" max="23" width="16.7109375" customWidth="1"/>
    <col min="24" max="24" width="12.7109375" customWidth="1"/>
    <col min="25" max="25" width="20.7109375" customWidth="1"/>
    <col min="26" max="26" width="12.7109375" customWidth="1"/>
    <col min="27" max="27" width="20.7109375" customWidth="1"/>
  </cols>
  <sheetData>
    <row r="1" spans="1:45" ht="35.1" customHeight="1" thickBot="1" x14ac:dyDescent="0.35">
      <c r="A1" s="165" t="s">
        <v>9</v>
      </c>
      <c r="B1" s="5" t="s">
        <v>5</v>
      </c>
      <c r="C1" s="156" t="s">
        <v>29</v>
      </c>
      <c r="D1" s="156" t="s">
        <v>34</v>
      </c>
      <c r="E1" s="156" t="s">
        <v>33</v>
      </c>
      <c r="F1" s="183">
        <f>'RECAP RENDEMENT'!D5</f>
        <v>9000</v>
      </c>
      <c r="G1" s="184"/>
      <c r="H1" s="184"/>
      <c r="I1" s="184"/>
      <c r="J1" s="184"/>
      <c r="K1" s="184"/>
      <c r="L1" s="184"/>
      <c r="M1" s="184"/>
      <c r="N1" s="184"/>
      <c r="O1" s="184"/>
      <c r="P1" s="184"/>
      <c r="Q1" s="184"/>
      <c r="R1" s="185"/>
      <c r="S1" s="156" t="s">
        <v>2</v>
      </c>
      <c r="T1" s="156" t="s">
        <v>10</v>
      </c>
      <c r="U1" s="156" t="s">
        <v>73</v>
      </c>
      <c r="V1" s="156" t="s">
        <v>43</v>
      </c>
      <c r="W1" s="156" t="s">
        <v>45</v>
      </c>
      <c r="X1" s="3"/>
      <c r="Y1" s="3"/>
      <c r="Z1" s="3"/>
      <c r="AA1" s="3"/>
      <c r="AB1" s="3"/>
      <c r="AC1" s="3"/>
      <c r="AD1" s="3"/>
      <c r="AE1" s="3"/>
      <c r="AF1" s="3"/>
      <c r="AG1" s="3"/>
      <c r="AH1" s="2"/>
      <c r="AI1" s="1"/>
      <c r="AJ1" s="1"/>
      <c r="AK1" s="1"/>
      <c r="AL1" s="1"/>
      <c r="AM1" s="1"/>
      <c r="AN1" s="1"/>
      <c r="AO1" s="1"/>
      <c r="AP1" s="1"/>
      <c r="AQ1" s="1"/>
      <c r="AR1" s="1"/>
      <c r="AS1" s="1"/>
    </row>
    <row r="2" spans="1:45" ht="36" customHeight="1" thickBot="1" x14ac:dyDescent="0.35">
      <c r="A2" s="166"/>
      <c r="B2" s="156" t="s">
        <v>6</v>
      </c>
      <c r="C2" s="157"/>
      <c r="D2" s="157"/>
      <c r="E2" s="157"/>
      <c r="F2" s="112">
        <f>((G3*100)/E$3)</f>
        <v>80.096000080714703</v>
      </c>
      <c r="G2" s="111" t="s">
        <v>30</v>
      </c>
      <c r="H2" s="112">
        <f>((I3*100)/E$3)</f>
        <v>4.1825994178450161</v>
      </c>
      <c r="I2" s="111" t="s">
        <v>31</v>
      </c>
      <c r="J2" s="112">
        <f>(K3*100/E$3)</f>
        <v>0</v>
      </c>
      <c r="K2" s="113" t="s">
        <v>41</v>
      </c>
      <c r="L2" s="112">
        <f>(M3*100/E$3)</f>
        <v>4.5244389065172097</v>
      </c>
      <c r="M2" s="109" t="s">
        <v>18</v>
      </c>
      <c r="N2" s="112">
        <f>(O3*100/E$3)</f>
        <v>4.122757013353243</v>
      </c>
      <c r="O2" s="109" t="s">
        <v>19</v>
      </c>
      <c r="P2" s="112">
        <f>(Q3*100/E$3)</f>
        <v>7.0742045815698011</v>
      </c>
      <c r="Q2" s="109" t="s">
        <v>20</v>
      </c>
      <c r="R2" s="21" t="s">
        <v>32</v>
      </c>
      <c r="S2" s="157"/>
      <c r="T2" s="182"/>
      <c r="U2" s="157"/>
      <c r="V2" s="157"/>
      <c r="W2" s="157"/>
      <c r="X2" s="112"/>
      <c r="Y2" s="111" t="s">
        <v>70</v>
      </c>
      <c r="Z2" s="112"/>
      <c r="AA2" s="111" t="s">
        <v>71</v>
      </c>
      <c r="AB2" s="3"/>
      <c r="AC2" s="3"/>
      <c r="AD2" s="3"/>
      <c r="AE2" s="3"/>
      <c r="AF2" s="3"/>
      <c r="AG2" s="3"/>
      <c r="AH2" s="2"/>
      <c r="AI2" s="1"/>
      <c r="AJ2" s="1"/>
      <c r="AK2" s="1"/>
      <c r="AL2" s="1"/>
      <c r="AM2" s="1"/>
      <c r="AN2" s="1"/>
      <c r="AO2" s="1"/>
      <c r="AP2" s="1"/>
      <c r="AQ2" s="1"/>
      <c r="AR2" s="1"/>
      <c r="AS2" s="1"/>
    </row>
    <row r="3" spans="1:45" ht="17.25" thickBot="1" x14ac:dyDescent="0.35">
      <c r="A3" s="167"/>
      <c r="B3" s="157"/>
      <c r="C3" s="32">
        <f>SUM(C10:C314)</f>
        <v>3336.5</v>
      </c>
      <c r="D3" s="33">
        <f>SUM(D10:D231)</f>
        <v>400955.1</v>
      </c>
      <c r="E3" s="33">
        <f>SUM(E10:E231)</f>
        <v>475749.6</v>
      </c>
      <c r="F3" s="33">
        <v>11.4</v>
      </c>
      <c r="G3" s="33">
        <f>SUM(G10:G314)</f>
        <v>381056.39999999985</v>
      </c>
      <c r="H3" s="33">
        <v>11.4</v>
      </c>
      <c r="I3" s="33">
        <f>SUM(I10:I314)</f>
        <v>19898.69999999999</v>
      </c>
      <c r="J3" s="33">
        <v>14</v>
      </c>
      <c r="K3" s="33">
        <f>SUM(K10:K314)</f>
        <v>0</v>
      </c>
      <c r="L3" s="33">
        <v>14</v>
      </c>
      <c r="M3" s="33">
        <f>SUM(M10:M314)</f>
        <v>21525</v>
      </c>
      <c r="N3" s="33">
        <v>14</v>
      </c>
      <c r="O3" s="33">
        <f>SUM(O10:O231)</f>
        <v>19614</v>
      </c>
      <c r="P3" s="33">
        <v>13.5</v>
      </c>
      <c r="Q3" s="33">
        <f>SUM(Q10:Q314)</f>
        <v>33655.5</v>
      </c>
      <c r="R3" s="22">
        <f>(G3+I3+M3+O3)/F$1</f>
        <v>49.121566666666652</v>
      </c>
      <c r="S3" s="31">
        <f>(G3+I3+M3+O3+Q3+K3)/C3</f>
        <v>142.58942005095156</v>
      </c>
      <c r="T3" s="157"/>
      <c r="U3" s="116">
        <f>AVERAGEIF(U10:U231,"&gt;0",U10:U231)</f>
        <v>1.5362264367816092</v>
      </c>
      <c r="V3" s="116">
        <f>AVERAGEIF(V10:V231,"&gt;0",V10:V231)</f>
        <v>1.6908616858237548</v>
      </c>
      <c r="W3" s="116">
        <f>AVERAGEIF(W10:W231,"&gt;0",W10:W231)</f>
        <v>1.8351572016460904</v>
      </c>
      <c r="X3" s="33">
        <v>11.4</v>
      </c>
      <c r="Y3" s="33">
        <f>SUM(Y10:Y314)</f>
        <v>324.89999999999998</v>
      </c>
      <c r="Z3" s="33">
        <v>11.4</v>
      </c>
      <c r="AA3" s="33">
        <f>SUM(AA10:AA314)</f>
        <v>262.20000000000005</v>
      </c>
      <c r="AB3" s="2"/>
      <c r="AC3" s="2"/>
      <c r="AD3" s="2"/>
      <c r="AE3" s="2"/>
      <c r="AF3" s="2"/>
      <c r="AG3" s="2"/>
      <c r="AH3" s="2"/>
      <c r="AI3" s="1"/>
      <c r="AJ3" s="1"/>
      <c r="AK3" s="1"/>
      <c r="AL3" s="1"/>
      <c r="AM3" s="1"/>
      <c r="AN3" s="1"/>
      <c r="AO3" s="1"/>
      <c r="AP3" s="1"/>
      <c r="AQ3" s="1"/>
      <c r="AR3" s="1"/>
      <c r="AS3" s="1"/>
    </row>
    <row r="4" spans="1:45" ht="17.25" thickBot="1" x14ac:dyDescent="0.35">
      <c r="A4" s="146">
        <v>13</v>
      </c>
      <c r="B4" s="95"/>
      <c r="C4" s="106"/>
      <c r="D4" s="149">
        <f>SUM(G4:G9,I4:I9,K4:K9)</f>
        <v>0</v>
      </c>
      <c r="E4" s="149">
        <f>SUM(G4:G9,I4:I9,M4:M9,O4:O9,Q4:Q9,K4:K9)</f>
        <v>0</v>
      </c>
      <c r="F4" s="99"/>
      <c r="G4" s="76">
        <f>F4*F$3</f>
        <v>0</v>
      </c>
      <c r="H4" s="99"/>
      <c r="I4" s="76">
        <f>H4*H$3</f>
        <v>0</v>
      </c>
      <c r="J4" s="99"/>
      <c r="K4" s="76">
        <f t="shared" ref="K4:K9" si="0">J4*J$3</f>
        <v>0</v>
      </c>
      <c r="L4" s="99"/>
      <c r="M4" s="76">
        <f t="shared" ref="M4:M9" si="1">L4*L$3</f>
        <v>0</v>
      </c>
      <c r="N4" s="99"/>
      <c r="O4" s="76">
        <f t="shared" ref="O4:O9" si="2">N4*N$3</f>
        <v>0</v>
      </c>
      <c r="P4" s="99"/>
      <c r="Q4" s="76">
        <f t="shared" ref="Q4:Q9" si="3">P4*P$3</f>
        <v>0</v>
      </c>
      <c r="R4" s="77">
        <f>(G4+I4+M4+O4+K4)/F$1</f>
        <v>0</v>
      </c>
      <c r="S4" s="34" t="str">
        <f>IF(C4=0,"",(G4+I4+M4+O4+Q4+K4)/C4)</f>
        <v/>
      </c>
      <c r="T4" s="152" t="e">
        <f>AVERAGE(S4:S9)</f>
        <v>#DIV/0!</v>
      </c>
      <c r="U4" s="179">
        <f t="shared" ref="U4" si="4">(SUM(G4:G9)+SUM(I4:I9))/$F$1</f>
        <v>0</v>
      </c>
      <c r="V4" s="152">
        <f>SUM(R4:R9)</f>
        <v>0</v>
      </c>
      <c r="W4" s="152">
        <v>0</v>
      </c>
      <c r="X4" s="99"/>
      <c r="Y4" s="76">
        <f>X4*X$3</f>
        <v>0</v>
      </c>
      <c r="Z4" s="99"/>
      <c r="AA4" s="76">
        <f>Z4*Z$3</f>
        <v>0</v>
      </c>
      <c r="AB4" s="2"/>
      <c r="AC4" s="2"/>
      <c r="AD4" s="2"/>
      <c r="AE4" s="2"/>
      <c r="AF4" s="2"/>
      <c r="AG4" s="2"/>
      <c r="AH4" s="2"/>
      <c r="AI4" s="1"/>
      <c r="AJ4" s="1"/>
      <c r="AK4" s="1"/>
      <c r="AL4" s="1"/>
      <c r="AM4" s="1"/>
      <c r="AN4" s="1"/>
      <c r="AO4" s="1"/>
      <c r="AP4" s="1"/>
      <c r="AQ4" s="1"/>
      <c r="AR4" s="1"/>
      <c r="AS4" s="1"/>
    </row>
    <row r="5" spans="1:45" ht="17.25" thickBot="1" x14ac:dyDescent="0.35">
      <c r="A5" s="147"/>
      <c r="B5" s="96"/>
      <c r="C5" s="107"/>
      <c r="D5" s="150"/>
      <c r="E5" s="150"/>
      <c r="F5" s="100"/>
      <c r="G5" s="6">
        <f t="shared" ref="G5:G9" si="5">F5*F$3</f>
        <v>0</v>
      </c>
      <c r="H5" s="100"/>
      <c r="I5" s="6">
        <f t="shared" ref="I5:I9" si="6">H5*H$3</f>
        <v>0</v>
      </c>
      <c r="J5" s="100"/>
      <c r="K5" s="6">
        <f t="shared" si="0"/>
        <v>0</v>
      </c>
      <c r="L5" s="100"/>
      <c r="M5" s="6">
        <f t="shared" si="1"/>
        <v>0</v>
      </c>
      <c r="N5" s="100"/>
      <c r="O5" s="6">
        <f t="shared" si="2"/>
        <v>0</v>
      </c>
      <c r="P5" s="100"/>
      <c r="Q5" s="6">
        <f t="shared" si="3"/>
        <v>0</v>
      </c>
      <c r="R5" s="78">
        <f t="shared" ref="R5:R9" si="7">(G5+I5+M5+O5+K5)/F$1</f>
        <v>0</v>
      </c>
      <c r="S5" s="8" t="str">
        <f t="shared" ref="S5:S68" si="8">IF(C5=0,"",(G5+I5+M5+O5+Q5+K5)/C5)</f>
        <v/>
      </c>
      <c r="T5" s="152"/>
      <c r="U5" s="180"/>
      <c r="V5" s="152"/>
      <c r="W5" s="152"/>
      <c r="X5" s="100"/>
      <c r="Y5" s="6">
        <f t="shared" ref="Y5:Y9" si="9">X5*X$3</f>
        <v>0</v>
      </c>
      <c r="Z5" s="100"/>
      <c r="AA5" s="6">
        <f t="shared" ref="AA5:AA9" si="10">Z5*Z$3</f>
        <v>0</v>
      </c>
      <c r="AB5" s="2"/>
      <c r="AC5" s="2"/>
      <c r="AD5" s="2"/>
      <c r="AE5" s="2"/>
      <c r="AF5" s="2"/>
      <c r="AG5" s="2"/>
      <c r="AH5" s="2"/>
      <c r="AI5" s="1"/>
      <c r="AJ5" s="1"/>
      <c r="AK5" s="1"/>
      <c r="AL5" s="1"/>
      <c r="AM5" s="1"/>
      <c r="AN5" s="1"/>
      <c r="AO5" s="1"/>
      <c r="AP5" s="1"/>
      <c r="AQ5" s="1"/>
      <c r="AR5" s="1"/>
      <c r="AS5" s="1"/>
    </row>
    <row r="6" spans="1:45" ht="17.25" thickBot="1" x14ac:dyDescent="0.35">
      <c r="A6" s="147"/>
      <c r="B6" s="97"/>
      <c r="C6" s="107"/>
      <c r="D6" s="150"/>
      <c r="E6" s="150"/>
      <c r="F6" s="100"/>
      <c r="G6" s="6">
        <f t="shared" si="5"/>
        <v>0</v>
      </c>
      <c r="H6" s="100"/>
      <c r="I6" s="6">
        <f t="shared" si="6"/>
        <v>0</v>
      </c>
      <c r="J6" s="100"/>
      <c r="K6" s="6">
        <f t="shared" si="0"/>
        <v>0</v>
      </c>
      <c r="L6" s="100"/>
      <c r="M6" s="6">
        <f t="shared" si="1"/>
        <v>0</v>
      </c>
      <c r="N6" s="100"/>
      <c r="O6" s="6">
        <f t="shared" si="2"/>
        <v>0</v>
      </c>
      <c r="P6" s="100"/>
      <c r="Q6" s="6">
        <f t="shared" si="3"/>
        <v>0</v>
      </c>
      <c r="R6" s="78">
        <f t="shared" si="7"/>
        <v>0</v>
      </c>
      <c r="S6" s="8" t="str">
        <f t="shared" si="8"/>
        <v/>
      </c>
      <c r="T6" s="152"/>
      <c r="U6" s="180"/>
      <c r="V6" s="152"/>
      <c r="W6" s="152"/>
      <c r="X6" s="100"/>
      <c r="Y6" s="6">
        <f t="shared" si="9"/>
        <v>0</v>
      </c>
      <c r="Z6" s="100"/>
      <c r="AA6" s="6">
        <f t="shared" si="10"/>
        <v>0</v>
      </c>
      <c r="AB6" s="2"/>
      <c r="AC6" s="2"/>
      <c r="AD6" s="2"/>
      <c r="AE6" s="2"/>
      <c r="AF6" s="2"/>
      <c r="AG6" s="2"/>
      <c r="AH6" s="2"/>
      <c r="AI6" s="1"/>
      <c r="AJ6" s="1"/>
      <c r="AK6" s="1"/>
      <c r="AL6" s="1"/>
      <c r="AM6" s="1"/>
      <c r="AN6" s="1"/>
      <c r="AO6" s="1"/>
      <c r="AP6" s="1"/>
      <c r="AQ6" s="1"/>
      <c r="AR6" s="1"/>
      <c r="AS6" s="1"/>
    </row>
    <row r="7" spans="1:45" ht="17.25" thickBot="1" x14ac:dyDescent="0.35">
      <c r="A7" s="147"/>
      <c r="B7" s="97"/>
      <c r="C7" s="107"/>
      <c r="D7" s="150"/>
      <c r="E7" s="150"/>
      <c r="F7" s="100"/>
      <c r="G7" s="6">
        <f t="shared" si="5"/>
        <v>0</v>
      </c>
      <c r="H7" s="100"/>
      <c r="I7" s="6">
        <f t="shared" si="6"/>
        <v>0</v>
      </c>
      <c r="J7" s="100"/>
      <c r="K7" s="6">
        <f t="shared" si="0"/>
        <v>0</v>
      </c>
      <c r="L7" s="100"/>
      <c r="M7" s="6">
        <f t="shared" si="1"/>
        <v>0</v>
      </c>
      <c r="N7" s="100"/>
      <c r="O7" s="6">
        <f t="shared" si="2"/>
        <v>0</v>
      </c>
      <c r="P7" s="100"/>
      <c r="Q7" s="6">
        <f t="shared" si="3"/>
        <v>0</v>
      </c>
      <c r="R7" s="78">
        <f t="shared" si="7"/>
        <v>0</v>
      </c>
      <c r="S7" s="8" t="str">
        <f t="shared" si="8"/>
        <v/>
      </c>
      <c r="T7" s="152"/>
      <c r="U7" s="180"/>
      <c r="V7" s="152"/>
      <c r="W7" s="152"/>
      <c r="X7" s="100"/>
      <c r="Y7" s="6">
        <f t="shared" si="9"/>
        <v>0</v>
      </c>
      <c r="Z7" s="100"/>
      <c r="AA7" s="6">
        <f t="shared" si="10"/>
        <v>0</v>
      </c>
      <c r="AB7" s="2"/>
      <c r="AC7" s="2"/>
      <c r="AD7" s="2"/>
      <c r="AE7" s="2"/>
      <c r="AF7" s="2"/>
      <c r="AG7" s="2"/>
      <c r="AH7" s="2"/>
      <c r="AI7" s="1"/>
      <c r="AJ7" s="1"/>
      <c r="AK7" s="1"/>
      <c r="AL7" s="1"/>
      <c r="AM7" s="1"/>
      <c r="AN7" s="1"/>
      <c r="AO7" s="1"/>
      <c r="AP7" s="1"/>
      <c r="AQ7" s="1"/>
      <c r="AR7" s="1"/>
      <c r="AS7" s="1"/>
    </row>
    <row r="8" spans="1:45" ht="17.25" thickBot="1" x14ac:dyDescent="0.35">
      <c r="A8" s="147"/>
      <c r="B8" s="97"/>
      <c r="C8" s="107"/>
      <c r="D8" s="150"/>
      <c r="E8" s="150"/>
      <c r="F8" s="100"/>
      <c r="G8" s="6">
        <f t="shared" si="5"/>
        <v>0</v>
      </c>
      <c r="H8" s="100"/>
      <c r="I8" s="6">
        <f t="shared" si="6"/>
        <v>0</v>
      </c>
      <c r="J8" s="100"/>
      <c r="K8" s="6">
        <f t="shared" si="0"/>
        <v>0</v>
      </c>
      <c r="L8" s="100"/>
      <c r="M8" s="6">
        <f t="shared" si="1"/>
        <v>0</v>
      </c>
      <c r="N8" s="100"/>
      <c r="O8" s="6">
        <f t="shared" si="2"/>
        <v>0</v>
      </c>
      <c r="P8" s="100"/>
      <c r="Q8" s="6">
        <f t="shared" si="3"/>
        <v>0</v>
      </c>
      <c r="R8" s="78">
        <f t="shared" si="7"/>
        <v>0</v>
      </c>
      <c r="S8" s="8" t="str">
        <f t="shared" si="8"/>
        <v/>
      </c>
      <c r="T8" s="152"/>
      <c r="U8" s="180"/>
      <c r="V8" s="152"/>
      <c r="W8" s="152"/>
      <c r="X8" s="100"/>
      <c r="Y8" s="6">
        <f t="shared" si="9"/>
        <v>0</v>
      </c>
      <c r="Z8" s="100"/>
      <c r="AA8" s="6">
        <f t="shared" si="10"/>
        <v>0</v>
      </c>
      <c r="AB8" s="2"/>
      <c r="AC8" s="2"/>
      <c r="AD8" s="2"/>
      <c r="AE8" s="2"/>
      <c r="AF8" s="2"/>
      <c r="AG8" s="2"/>
      <c r="AH8" s="2"/>
      <c r="AI8" s="1"/>
      <c r="AJ8" s="1"/>
      <c r="AK8" s="1"/>
      <c r="AL8" s="1"/>
      <c r="AM8" s="1"/>
      <c r="AN8" s="1"/>
      <c r="AO8" s="1"/>
      <c r="AP8" s="1"/>
      <c r="AQ8" s="1"/>
      <c r="AR8" s="1"/>
      <c r="AS8" s="1"/>
    </row>
    <row r="9" spans="1:45" ht="17.25" thickBot="1" x14ac:dyDescent="0.35">
      <c r="A9" s="148"/>
      <c r="B9" s="98"/>
      <c r="C9" s="108"/>
      <c r="D9" s="151"/>
      <c r="E9" s="151"/>
      <c r="F9" s="101"/>
      <c r="G9" s="37">
        <f t="shared" si="5"/>
        <v>0</v>
      </c>
      <c r="H9" s="101"/>
      <c r="I9" s="37">
        <f t="shared" si="6"/>
        <v>0</v>
      </c>
      <c r="J9" s="101"/>
      <c r="K9" s="37">
        <f t="shared" si="0"/>
        <v>0</v>
      </c>
      <c r="L9" s="101"/>
      <c r="M9" s="37">
        <f t="shared" si="1"/>
        <v>0</v>
      </c>
      <c r="N9" s="101"/>
      <c r="O9" s="37">
        <f t="shared" si="2"/>
        <v>0</v>
      </c>
      <c r="P9" s="101"/>
      <c r="Q9" s="37">
        <f t="shared" si="3"/>
        <v>0</v>
      </c>
      <c r="R9" s="79">
        <f t="shared" si="7"/>
        <v>0</v>
      </c>
      <c r="S9" s="36" t="str">
        <f t="shared" si="8"/>
        <v/>
      </c>
      <c r="T9" s="152"/>
      <c r="U9" s="181"/>
      <c r="V9" s="152"/>
      <c r="W9" s="152"/>
      <c r="X9" s="101"/>
      <c r="Y9" s="37">
        <f t="shared" si="9"/>
        <v>0</v>
      </c>
      <c r="Z9" s="101"/>
      <c r="AA9" s="37">
        <f t="shared" si="10"/>
        <v>0</v>
      </c>
      <c r="AB9" s="2"/>
      <c r="AC9" s="2"/>
      <c r="AD9" s="2"/>
      <c r="AE9" s="2"/>
      <c r="AF9" s="2"/>
      <c r="AG9" s="2"/>
      <c r="AH9" s="2"/>
      <c r="AI9" s="1"/>
      <c r="AJ9" s="1"/>
      <c r="AK9" s="1"/>
      <c r="AL9" s="1"/>
      <c r="AM9" s="1"/>
      <c r="AN9" s="1"/>
      <c r="AO9" s="1"/>
      <c r="AP9" s="1"/>
      <c r="AQ9" s="1"/>
      <c r="AR9" s="1"/>
      <c r="AS9" s="1"/>
    </row>
    <row r="10" spans="1:45" ht="17.25" thickBot="1" x14ac:dyDescent="0.35">
      <c r="A10" s="146">
        <v>14</v>
      </c>
      <c r="B10" s="95"/>
      <c r="C10" s="106"/>
      <c r="D10" s="149">
        <f>SUM(G10:G15,I10:I15,K10:K15)</f>
        <v>0</v>
      </c>
      <c r="E10" s="149">
        <f>SUM(G10:G15,I10:I15,M10:M15,O10:O15,Q10:Q15,K10:K15)</f>
        <v>0</v>
      </c>
      <c r="F10" s="99"/>
      <c r="G10" s="76">
        <f>F10*F$3</f>
        <v>0</v>
      </c>
      <c r="H10" s="99"/>
      <c r="I10" s="76">
        <f>H10*H$3</f>
        <v>0</v>
      </c>
      <c r="J10" s="99"/>
      <c r="K10" s="76">
        <f t="shared" ref="K10:K73" si="11">J10*J$3</f>
        <v>0</v>
      </c>
      <c r="L10" s="99"/>
      <c r="M10" s="76">
        <f t="shared" ref="M10:M73" si="12">L10*L$3</f>
        <v>0</v>
      </c>
      <c r="N10" s="99"/>
      <c r="O10" s="76">
        <f t="shared" ref="O10:O73" si="13">N10*N$3</f>
        <v>0</v>
      </c>
      <c r="P10" s="99"/>
      <c r="Q10" s="76">
        <f t="shared" ref="Q10:Q73" si="14">P10*P$3</f>
        <v>0</v>
      </c>
      <c r="R10" s="77">
        <f>(G10+I10+M10+O10+K10)/F$1</f>
        <v>0</v>
      </c>
      <c r="S10" s="34" t="str">
        <f t="shared" si="8"/>
        <v/>
      </c>
      <c r="T10" s="152" t="e">
        <f>AVERAGE(S10:S15)</f>
        <v>#DIV/0!</v>
      </c>
      <c r="U10" s="179">
        <f t="shared" ref="U10" si="15">(SUM(G10:G15)+SUM(I10:I15))/$F$1</f>
        <v>0</v>
      </c>
      <c r="V10" s="152">
        <f>SUM(R10:R15)</f>
        <v>0</v>
      </c>
      <c r="W10" s="152">
        <v>0</v>
      </c>
      <c r="X10" s="99"/>
      <c r="Y10" s="76">
        <f>X10*X$3</f>
        <v>0</v>
      </c>
      <c r="Z10" s="99"/>
      <c r="AA10" s="76">
        <f>Z10*Z$3</f>
        <v>0</v>
      </c>
      <c r="AB10" s="2"/>
      <c r="AC10" s="2"/>
      <c r="AD10" s="2"/>
      <c r="AE10" s="2"/>
      <c r="AF10" s="2"/>
      <c r="AG10" s="2"/>
      <c r="AH10" s="2"/>
      <c r="AI10" s="1"/>
      <c r="AJ10" s="1"/>
      <c r="AK10" s="1"/>
      <c r="AL10" s="1"/>
      <c r="AM10" s="1"/>
      <c r="AN10" s="1"/>
      <c r="AO10" s="1"/>
      <c r="AP10" s="1"/>
      <c r="AQ10" s="1"/>
      <c r="AR10" s="1"/>
      <c r="AS10" s="1"/>
    </row>
    <row r="11" spans="1:45" ht="17.25" thickBot="1" x14ac:dyDescent="0.35">
      <c r="A11" s="147"/>
      <c r="B11" s="96"/>
      <c r="C11" s="107"/>
      <c r="D11" s="150"/>
      <c r="E11" s="150"/>
      <c r="F11" s="100"/>
      <c r="G11" s="6">
        <f t="shared" ref="G11:G74" si="16">F11*F$3</f>
        <v>0</v>
      </c>
      <c r="H11" s="100"/>
      <c r="I11" s="6">
        <f t="shared" ref="I11:I74" si="17">H11*H$3</f>
        <v>0</v>
      </c>
      <c r="J11" s="100"/>
      <c r="K11" s="6">
        <f t="shared" si="11"/>
        <v>0</v>
      </c>
      <c r="L11" s="100"/>
      <c r="M11" s="6">
        <f t="shared" si="12"/>
        <v>0</v>
      </c>
      <c r="N11" s="100"/>
      <c r="O11" s="6">
        <f t="shared" si="13"/>
        <v>0</v>
      </c>
      <c r="P11" s="100"/>
      <c r="Q11" s="6">
        <f t="shared" si="14"/>
        <v>0</v>
      </c>
      <c r="R11" s="78">
        <f t="shared" ref="R11:R74" si="18">(G11+I11+M11+O11+K11)/F$1</f>
        <v>0</v>
      </c>
      <c r="S11" s="8" t="str">
        <f t="shared" si="8"/>
        <v/>
      </c>
      <c r="T11" s="152"/>
      <c r="U11" s="180"/>
      <c r="V11" s="152"/>
      <c r="W11" s="152"/>
      <c r="X11" s="100"/>
      <c r="Y11" s="6">
        <f t="shared" ref="Y11:Y74" si="19">X11*X$3</f>
        <v>0</v>
      </c>
      <c r="Z11" s="100"/>
      <c r="AA11" s="6">
        <f t="shared" ref="AA11:AA30" si="20">Z11*Z$3</f>
        <v>0</v>
      </c>
      <c r="AB11" s="2"/>
      <c r="AC11" s="2"/>
      <c r="AD11" s="2"/>
      <c r="AE11" s="2"/>
      <c r="AF11" s="2"/>
      <c r="AG11" s="2"/>
      <c r="AH11" s="2"/>
      <c r="AI11" s="1"/>
      <c r="AJ11" s="1"/>
      <c r="AK11" s="1"/>
      <c r="AL11" s="1"/>
      <c r="AM11" s="1"/>
      <c r="AN11" s="1"/>
      <c r="AO11" s="1"/>
      <c r="AP11" s="1"/>
      <c r="AQ11" s="1"/>
      <c r="AR11" s="1"/>
      <c r="AS11" s="1"/>
    </row>
    <row r="12" spans="1:45" ht="17.25" thickBot="1" x14ac:dyDescent="0.35">
      <c r="A12" s="147"/>
      <c r="B12" s="97"/>
      <c r="C12" s="107"/>
      <c r="D12" s="150"/>
      <c r="E12" s="150"/>
      <c r="F12" s="100"/>
      <c r="G12" s="6">
        <f t="shared" si="16"/>
        <v>0</v>
      </c>
      <c r="H12" s="100"/>
      <c r="I12" s="6">
        <f t="shared" si="17"/>
        <v>0</v>
      </c>
      <c r="J12" s="100"/>
      <c r="K12" s="6">
        <f t="shared" si="11"/>
        <v>0</v>
      </c>
      <c r="L12" s="100"/>
      <c r="M12" s="6">
        <f t="shared" si="12"/>
        <v>0</v>
      </c>
      <c r="N12" s="100"/>
      <c r="O12" s="6">
        <f t="shared" si="13"/>
        <v>0</v>
      </c>
      <c r="P12" s="100"/>
      <c r="Q12" s="6">
        <f t="shared" si="14"/>
        <v>0</v>
      </c>
      <c r="R12" s="78">
        <f t="shared" si="18"/>
        <v>0</v>
      </c>
      <c r="S12" s="8" t="str">
        <f t="shared" si="8"/>
        <v/>
      </c>
      <c r="T12" s="152"/>
      <c r="U12" s="180"/>
      <c r="V12" s="152"/>
      <c r="W12" s="152"/>
      <c r="X12" s="100"/>
      <c r="Y12" s="6">
        <f t="shared" si="19"/>
        <v>0</v>
      </c>
      <c r="Z12" s="100"/>
      <c r="AA12" s="6">
        <f t="shared" si="20"/>
        <v>0</v>
      </c>
      <c r="AB12" s="2"/>
      <c r="AC12" s="2"/>
      <c r="AD12" s="2"/>
      <c r="AE12" s="2"/>
      <c r="AF12" s="2"/>
      <c r="AG12" s="2"/>
      <c r="AH12" s="2"/>
      <c r="AI12" s="1"/>
      <c r="AJ12" s="1"/>
      <c r="AK12" s="1"/>
      <c r="AL12" s="1"/>
      <c r="AM12" s="1"/>
      <c r="AN12" s="1"/>
      <c r="AO12" s="1"/>
      <c r="AP12" s="1"/>
      <c r="AQ12" s="1"/>
      <c r="AR12" s="1"/>
      <c r="AS12" s="1"/>
    </row>
    <row r="13" spans="1:45" ht="17.25" thickBot="1" x14ac:dyDescent="0.35">
      <c r="A13" s="147"/>
      <c r="B13" s="97"/>
      <c r="C13" s="107"/>
      <c r="D13" s="150"/>
      <c r="E13" s="150"/>
      <c r="F13" s="100"/>
      <c r="G13" s="6">
        <f t="shared" si="16"/>
        <v>0</v>
      </c>
      <c r="H13" s="100"/>
      <c r="I13" s="6">
        <f t="shared" si="17"/>
        <v>0</v>
      </c>
      <c r="J13" s="100"/>
      <c r="K13" s="6">
        <f t="shared" si="11"/>
        <v>0</v>
      </c>
      <c r="L13" s="100"/>
      <c r="M13" s="6">
        <f t="shared" si="12"/>
        <v>0</v>
      </c>
      <c r="N13" s="100"/>
      <c r="O13" s="6">
        <f t="shared" si="13"/>
        <v>0</v>
      </c>
      <c r="P13" s="100"/>
      <c r="Q13" s="6">
        <f t="shared" si="14"/>
        <v>0</v>
      </c>
      <c r="R13" s="78">
        <f t="shared" si="18"/>
        <v>0</v>
      </c>
      <c r="S13" s="8" t="str">
        <f t="shared" si="8"/>
        <v/>
      </c>
      <c r="T13" s="152"/>
      <c r="U13" s="180"/>
      <c r="V13" s="152"/>
      <c r="W13" s="152"/>
      <c r="X13" s="100"/>
      <c r="Y13" s="6">
        <f t="shared" si="19"/>
        <v>0</v>
      </c>
      <c r="Z13" s="100"/>
      <c r="AA13" s="6">
        <f t="shared" si="20"/>
        <v>0</v>
      </c>
      <c r="AB13" s="2"/>
      <c r="AC13" s="2"/>
      <c r="AD13" s="2"/>
      <c r="AE13" s="2"/>
      <c r="AF13" s="2"/>
      <c r="AG13" s="2"/>
      <c r="AH13" s="2"/>
      <c r="AI13" s="1"/>
      <c r="AJ13" s="1"/>
      <c r="AK13" s="1"/>
      <c r="AL13" s="1"/>
      <c r="AM13" s="1"/>
      <c r="AN13" s="1"/>
      <c r="AO13" s="1"/>
      <c r="AP13" s="1"/>
      <c r="AQ13" s="1"/>
      <c r="AR13" s="1"/>
      <c r="AS13" s="1"/>
    </row>
    <row r="14" spans="1:45" ht="17.25" thickBot="1" x14ac:dyDescent="0.35">
      <c r="A14" s="147"/>
      <c r="B14" s="97"/>
      <c r="C14" s="107"/>
      <c r="D14" s="150"/>
      <c r="E14" s="150"/>
      <c r="F14" s="100"/>
      <c r="G14" s="6">
        <f t="shared" si="16"/>
        <v>0</v>
      </c>
      <c r="H14" s="100"/>
      <c r="I14" s="6">
        <f t="shared" si="17"/>
        <v>0</v>
      </c>
      <c r="J14" s="100"/>
      <c r="K14" s="6">
        <f t="shared" si="11"/>
        <v>0</v>
      </c>
      <c r="L14" s="100"/>
      <c r="M14" s="6">
        <f t="shared" si="12"/>
        <v>0</v>
      </c>
      <c r="N14" s="100"/>
      <c r="O14" s="6">
        <f t="shared" si="13"/>
        <v>0</v>
      </c>
      <c r="P14" s="100"/>
      <c r="Q14" s="6">
        <f t="shared" si="14"/>
        <v>0</v>
      </c>
      <c r="R14" s="78">
        <f t="shared" si="18"/>
        <v>0</v>
      </c>
      <c r="S14" s="8" t="str">
        <f t="shared" si="8"/>
        <v/>
      </c>
      <c r="T14" s="152"/>
      <c r="U14" s="180"/>
      <c r="V14" s="152"/>
      <c r="W14" s="152"/>
      <c r="X14" s="100"/>
      <c r="Y14" s="6">
        <f t="shared" si="19"/>
        <v>0</v>
      </c>
      <c r="Z14" s="100"/>
      <c r="AA14" s="6">
        <f t="shared" si="20"/>
        <v>0</v>
      </c>
      <c r="AB14" s="2"/>
      <c r="AC14" s="2"/>
      <c r="AD14" s="2"/>
      <c r="AE14" s="2"/>
      <c r="AF14" s="2"/>
      <c r="AG14" s="2"/>
      <c r="AH14" s="2"/>
      <c r="AI14" s="1"/>
      <c r="AJ14" s="1"/>
      <c r="AK14" s="1"/>
      <c r="AL14" s="1"/>
      <c r="AM14" s="1"/>
      <c r="AN14" s="1"/>
      <c r="AO14" s="1"/>
      <c r="AP14" s="1"/>
      <c r="AQ14" s="1"/>
      <c r="AR14" s="1"/>
      <c r="AS14" s="1"/>
    </row>
    <row r="15" spans="1:45" ht="17.25" thickBot="1" x14ac:dyDescent="0.35">
      <c r="A15" s="148"/>
      <c r="B15" s="98"/>
      <c r="C15" s="108"/>
      <c r="D15" s="151"/>
      <c r="E15" s="151"/>
      <c r="F15" s="101"/>
      <c r="G15" s="37">
        <f t="shared" si="16"/>
        <v>0</v>
      </c>
      <c r="H15" s="101"/>
      <c r="I15" s="37">
        <f t="shared" si="17"/>
        <v>0</v>
      </c>
      <c r="J15" s="101"/>
      <c r="K15" s="37">
        <f t="shared" si="11"/>
        <v>0</v>
      </c>
      <c r="L15" s="101"/>
      <c r="M15" s="37">
        <f t="shared" si="12"/>
        <v>0</v>
      </c>
      <c r="N15" s="101"/>
      <c r="O15" s="37">
        <f t="shared" si="13"/>
        <v>0</v>
      </c>
      <c r="P15" s="101"/>
      <c r="Q15" s="37">
        <f t="shared" si="14"/>
        <v>0</v>
      </c>
      <c r="R15" s="79">
        <f t="shared" si="18"/>
        <v>0</v>
      </c>
      <c r="S15" s="36" t="str">
        <f t="shared" si="8"/>
        <v/>
      </c>
      <c r="T15" s="152"/>
      <c r="U15" s="181"/>
      <c r="V15" s="152"/>
      <c r="W15" s="152"/>
      <c r="X15" s="101"/>
      <c r="Y15" s="37">
        <f t="shared" si="19"/>
        <v>0</v>
      </c>
      <c r="Z15" s="101"/>
      <c r="AA15" s="37">
        <f t="shared" si="20"/>
        <v>0</v>
      </c>
      <c r="AB15" s="2"/>
      <c r="AC15" s="2"/>
      <c r="AD15" s="2"/>
      <c r="AE15" s="2"/>
      <c r="AF15" s="2"/>
      <c r="AG15" s="2"/>
      <c r="AH15" s="2"/>
      <c r="AI15" s="1"/>
      <c r="AJ15" s="1"/>
      <c r="AK15" s="1"/>
      <c r="AL15" s="1"/>
      <c r="AM15" s="1"/>
      <c r="AN15" s="1"/>
      <c r="AO15" s="1"/>
      <c r="AP15" s="1"/>
      <c r="AQ15" s="1"/>
      <c r="AR15" s="1"/>
      <c r="AS15" s="1"/>
    </row>
    <row r="16" spans="1:45" ht="17.25" thickBot="1" x14ac:dyDescent="0.35">
      <c r="A16" s="146">
        <v>15</v>
      </c>
      <c r="B16" s="95"/>
      <c r="C16" s="106"/>
      <c r="D16" s="149">
        <f t="shared" ref="D16" si="21">SUM(G16:G21,I16:I21,K16:K21)</f>
        <v>0</v>
      </c>
      <c r="E16" s="149">
        <f t="shared" ref="E16" si="22">SUM(G16:G21,I16:I21,M16:M21,O16:O21,Q16:Q21,K16:K21)</f>
        <v>0</v>
      </c>
      <c r="F16" s="99"/>
      <c r="G16" s="38">
        <f t="shared" si="16"/>
        <v>0</v>
      </c>
      <c r="H16" s="99"/>
      <c r="I16" s="38">
        <f t="shared" si="17"/>
        <v>0</v>
      </c>
      <c r="J16" s="99"/>
      <c r="K16" s="38">
        <f t="shared" si="11"/>
        <v>0</v>
      </c>
      <c r="L16" s="99"/>
      <c r="M16" s="38">
        <f t="shared" si="12"/>
        <v>0</v>
      </c>
      <c r="N16" s="99"/>
      <c r="O16" s="38">
        <f t="shared" si="13"/>
        <v>0</v>
      </c>
      <c r="P16" s="99"/>
      <c r="Q16" s="38">
        <f t="shared" si="14"/>
        <v>0</v>
      </c>
      <c r="R16" s="77">
        <f t="shared" si="18"/>
        <v>0</v>
      </c>
      <c r="S16" s="34" t="str">
        <f t="shared" si="8"/>
        <v/>
      </c>
      <c r="T16" s="152" t="e">
        <f t="shared" ref="T16" si="23">AVERAGE(S16:S21)</f>
        <v>#DIV/0!</v>
      </c>
      <c r="U16" s="179">
        <f t="shared" ref="U16" si="24">(SUM(G16:G21)+SUM(I16:I21))/$F$1</f>
        <v>0</v>
      </c>
      <c r="V16" s="152">
        <f t="shared" ref="V16" si="25">SUM(R16:R21)</f>
        <v>0</v>
      </c>
      <c r="W16" s="152">
        <v>0</v>
      </c>
      <c r="X16" s="99"/>
      <c r="Y16" s="38">
        <f t="shared" si="19"/>
        <v>0</v>
      </c>
      <c r="Z16" s="99"/>
      <c r="AA16" s="38">
        <f t="shared" si="20"/>
        <v>0</v>
      </c>
      <c r="AB16" s="2"/>
      <c r="AC16" s="2"/>
      <c r="AD16" s="2"/>
      <c r="AE16" s="2"/>
      <c r="AF16" s="2"/>
      <c r="AG16" s="2"/>
      <c r="AH16" s="2"/>
      <c r="AI16" s="1"/>
      <c r="AJ16" s="1"/>
      <c r="AK16" s="1"/>
      <c r="AL16" s="1"/>
      <c r="AM16" s="1"/>
      <c r="AN16" s="1"/>
      <c r="AO16" s="1"/>
      <c r="AP16" s="1"/>
      <c r="AQ16" s="1"/>
      <c r="AR16" s="1"/>
      <c r="AS16" s="1"/>
    </row>
    <row r="17" spans="1:45" ht="17.25" thickBot="1" x14ac:dyDescent="0.35">
      <c r="A17" s="147"/>
      <c r="B17" s="96"/>
      <c r="C17" s="107"/>
      <c r="D17" s="150"/>
      <c r="E17" s="150"/>
      <c r="F17" s="100"/>
      <c r="G17" s="6">
        <f t="shared" si="16"/>
        <v>0</v>
      </c>
      <c r="H17" s="100"/>
      <c r="I17" s="6">
        <f t="shared" si="17"/>
        <v>0</v>
      </c>
      <c r="J17" s="100"/>
      <c r="K17" s="6">
        <f t="shared" si="11"/>
        <v>0</v>
      </c>
      <c r="L17" s="100"/>
      <c r="M17" s="6">
        <f t="shared" si="12"/>
        <v>0</v>
      </c>
      <c r="N17" s="100"/>
      <c r="O17" s="6">
        <f t="shared" si="13"/>
        <v>0</v>
      </c>
      <c r="P17" s="100"/>
      <c r="Q17" s="6">
        <f t="shared" si="14"/>
        <v>0</v>
      </c>
      <c r="R17" s="78">
        <f t="shared" si="18"/>
        <v>0</v>
      </c>
      <c r="S17" s="8" t="str">
        <f t="shared" si="8"/>
        <v/>
      </c>
      <c r="T17" s="152"/>
      <c r="U17" s="180"/>
      <c r="V17" s="152"/>
      <c r="W17" s="152"/>
      <c r="X17" s="100"/>
      <c r="Y17" s="6">
        <f t="shared" si="19"/>
        <v>0</v>
      </c>
      <c r="Z17" s="100"/>
      <c r="AA17" s="6">
        <f t="shared" si="20"/>
        <v>0</v>
      </c>
      <c r="AB17" s="2"/>
      <c r="AC17" s="2"/>
      <c r="AD17" s="2"/>
      <c r="AE17" s="2"/>
      <c r="AF17" s="2"/>
      <c r="AG17" s="2"/>
      <c r="AH17" s="2"/>
      <c r="AI17" s="1"/>
      <c r="AJ17" s="1"/>
      <c r="AK17" s="1"/>
      <c r="AL17" s="1"/>
      <c r="AM17" s="1"/>
      <c r="AN17" s="1"/>
      <c r="AO17" s="1"/>
      <c r="AP17" s="1"/>
      <c r="AQ17" s="1"/>
      <c r="AR17" s="1"/>
      <c r="AS17" s="1"/>
    </row>
    <row r="18" spans="1:45" ht="17.25" thickBot="1" x14ac:dyDescent="0.35">
      <c r="A18" s="147"/>
      <c r="B18" s="97"/>
      <c r="C18" s="107"/>
      <c r="D18" s="150"/>
      <c r="E18" s="150"/>
      <c r="F18" s="100"/>
      <c r="G18" s="6">
        <f t="shared" si="16"/>
        <v>0</v>
      </c>
      <c r="H18" s="100"/>
      <c r="I18" s="6">
        <f t="shared" si="17"/>
        <v>0</v>
      </c>
      <c r="J18" s="100"/>
      <c r="K18" s="6">
        <f t="shared" si="11"/>
        <v>0</v>
      </c>
      <c r="L18" s="100"/>
      <c r="M18" s="6">
        <f t="shared" si="12"/>
        <v>0</v>
      </c>
      <c r="N18" s="100"/>
      <c r="O18" s="6">
        <f t="shared" si="13"/>
        <v>0</v>
      </c>
      <c r="P18" s="100"/>
      <c r="Q18" s="6">
        <f t="shared" si="14"/>
        <v>0</v>
      </c>
      <c r="R18" s="78">
        <f t="shared" si="18"/>
        <v>0</v>
      </c>
      <c r="S18" s="8" t="str">
        <f t="shared" si="8"/>
        <v/>
      </c>
      <c r="T18" s="152"/>
      <c r="U18" s="180"/>
      <c r="V18" s="152"/>
      <c r="W18" s="152"/>
      <c r="X18" s="100"/>
      <c r="Y18" s="6">
        <f t="shared" si="19"/>
        <v>0</v>
      </c>
      <c r="Z18" s="100"/>
      <c r="AA18" s="6">
        <f t="shared" si="20"/>
        <v>0</v>
      </c>
      <c r="AB18" s="2"/>
      <c r="AC18" s="2"/>
      <c r="AD18" s="2"/>
      <c r="AE18" s="2"/>
      <c r="AF18" s="2"/>
      <c r="AG18" s="2"/>
      <c r="AH18" s="2"/>
      <c r="AI18" s="1"/>
      <c r="AJ18" s="1"/>
      <c r="AK18" s="1"/>
      <c r="AL18" s="1"/>
      <c r="AM18" s="1"/>
      <c r="AN18" s="1"/>
      <c r="AO18" s="1"/>
      <c r="AP18" s="1"/>
      <c r="AQ18" s="1"/>
      <c r="AR18" s="1"/>
      <c r="AS18" s="1"/>
    </row>
    <row r="19" spans="1:45" ht="17.25" thickBot="1" x14ac:dyDescent="0.35">
      <c r="A19" s="147"/>
      <c r="B19" s="97"/>
      <c r="C19" s="107"/>
      <c r="D19" s="150"/>
      <c r="E19" s="150"/>
      <c r="F19" s="100"/>
      <c r="G19" s="6">
        <f t="shared" si="16"/>
        <v>0</v>
      </c>
      <c r="H19" s="100"/>
      <c r="I19" s="6">
        <f t="shared" si="17"/>
        <v>0</v>
      </c>
      <c r="J19" s="100"/>
      <c r="K19" s="6">
        <f t="shared" si="11"/>
        <v>0</v>
      </c>
      <c r="L19" s="100"/>
      <c r="M19" s="6">
        <f t="shared" si="12"/>
        <v>0</v>
      </c>
      <c r="N19" s="100"/>
      <c r="O19" s="6">
        <f t="shared" si="13"/>
        <v>0</v>
      </c>
      <c r="P19" s="100"/>
      <c r="Q19" s="6">
        <f t="shared" si="14"/>
        <v>0</v>
      </c>
      <c r="R19" s="78">
        <f t="shared" si="18"/>
        <v>0</v>
      </c>
      <c r="S19" s="8" t="str">
        <f t="shared" si="8"/>
        <v/>
      </c>
      <c r="T19" s="152"/>
      <c r="U19" s="180"/>
      <c r="V19" s="152"/>
      <c r="W19" s="152"/>
      <c r="X19" s="100"/>
      <c r="Y19" s="6">
        <f t="shared" si="19"/>
        <v>0</v>
      </c>
      <c r="Z19" s="100"/>
      <c r="AA19" s="6">
        <f t="shared" si="20"/>
        <v>0</v>
      </c>
      <c r="AB19" s="2"/>
      <c r="AC19" s="2"/>
      <c r="AD19" s="2"/>
      <c r="AE19" s="2"/>
      <c r="AF19" s="2"/>
      <c r="AG19" s="2"/>
      <c r="AH19" s="2"/>
      <c r="AI19" s="1"/>
      <c r="AJ19" s="1"/>
      <c r="AK19" s="1"/>
      <c r="AL19" s="1"/>
      <c r="AM19" s="1"/>
      <c r="AN19" s="1"/>
      <c r="AO19" s="1"/>
      <c r="AP19" s="1"/>
      <c r="AQ19" s="1"/>
      <c r="AR19" s="1"/>
      <c r="AS19" s="1"/>
    </row>
    <row r="20" spans="1:45" ht="17.25" thickBot="1" x14ac:dyDescent="0.35">
      <c r="A20" s="147"/>
      <c r="B20" s="97"/>
      <c r="C20" s="107"/>
      <c r="D20" s="150"/>
      <c r="E20" s="150"/>
      <c r="F20" s="100"/>
      <c r="G20" s="6">
        <f t="shared" si="16"/>
        <v>0</v>
      </c>
      <c r="H20" s="100"/>
      <c r="I20" s="6">
        <f t="shared" si="17"/>
        <v>0</v>
      </c>
      <c r="J20" s="100"/>
      <c r="K20" s="6">
        <f t="shared" si="11"/>
        <v>0</v>
      </c>
      <c r="L20" s="100"/>
      <c r="M20" s="6">
        <f t="shared" si="12"/>
        <v>0</v>
      </c>
      <c r="N20" s="100"/>
      <c r="O20" s="6">
        <f t="shared" si="13"/>
        <v>0</v>
      </c>
      <c r="P20" s="100"/>
      <c r="Q20" s="6">
        <f t="shared" si="14"/>
        <v>0</v>
      </c>
      <c r="R20" s="78">
        <f t="shared" si="18"/>
        <v>0</v>
      </c>
      <c r="S20" s="8" t="str">
        <f t="shared" si="8"/>
        <v/>
      </c>
      <c r="T20" s="152"/>
      <c r="U20" s="180"/>
      <c r="V20" s="152"/>
      <c r="W20" s="152"/>
      <c r="X20" s="100"/>
      <c r="Y20" s="6">
        <f t="shared" si="19"/>
        <v>0</v>
      </c>
      <c r="Z20" s="100"/>
      <c r="AA20" s="6">
        <f t="shared" si="20"/>
        <v>0</v>
      </c>
      <c r="AB20" s="2"/>
      <c r="AC20" s="2"/>
      <c r="AD20" s="2"/>
      <c r="AE20" s="2"/>
      <c r="AF20" s="2"/>
      <c r="AG20" s="2"/>
      <c r="AH20" s="2"/>
      <c r="AI20" s="1"/>
      <c r="AJ20" s="1"/>
      <c r="AK20" s="1"/>
      <c r="AL20" s="1"/>
      <c r="AM20" s="1"/>
      <c r="AN20" s="1"/>
      <c r="AO20" s="1"/>
      <c r="AP20" s="1"/>
      <c r="AQ20" s="1"/>
      <c r="AR20" s="1"/>
      <c r="AS20" s="1"/>
    </row>
    <row r="21" spans="1:45" ht="17.25" thickBot="1" x14ac:dyDescent="0.35">
      <c r="A21" s="148"/>
      <c r="B21" s="98"/>
      <c r="C21" s="108"/>
      <c r="D21" s="151"/>
      <c r="E21" s="151"/>
      <c r="F21" s="101"/>
      <c r="G21" s="37">
        <f t="shared" si="16"/>
        <v>0</v>
      </c>
      <c r="H21" s="101"/>
      <c r="I21" s="37">
        <f t="shared" si="17"/>
        <v>0</v>
      </c>
      <c r="J21" s="101"/>
      <c r="K21" s="37">
        <f t="shared" si="11"/>
        <v>0</v>
      </c>
      <c r="L21" s="101"/>
      <c r="M21" s="37">
        <f t="shared" si="12"/>
        <v>0</v>
      </c>
      <c r="N21" s="101"/>
      <c r="O21" s="37">
        <f t="shared" si="13"/>
        <v>0</v>
      </c>
      <c r="P21" s="101"/>
      <c r="Q21" s="37">
        <f t="shared" si="14"/>
        <v>0</v>
      </c>
      <c r="R21" s="79">
        <f t="shared" si="18"/>
        <v>0</v>
      </c>
      <c r="S21" s="36" t="str">
        <f t="shared" si="8"/>
        <v/>
      </c>
      <c r="T21" s="152"/>
      <c r="U21" s="181"/>
      <c r="V21" s="152"/>
      <c r="W21" s="152"/>
      <c r="X21" s="101"/>
      <c r="Y21" s="37">
        <f t="shared" si="19"/>
        <v>0</v>
      </c>
      <c r="Z21" s="101"/>
      <c r="AA21" s="37">
        <f t="shared" si="20"/>
        <v>0</v>
      </c>
      <c r="AB21" s="2"/>
      <c r="AC21" s="2"/>
      <c r="AD21" s="2"/>
      <c r="AE21" s="2"/>
      <c r="AF21" s="2"/>
      <c r="AG21" s="2"/>
      <c r="AH21" s="2"/>
      <c r="AI21" s="1"/>
      <c r="AJ21" s="1"/>
      <c r="AK21" s="1"/>
      <c r="AL21" s="1"/>
      <c r="AM21" s="1"/>
      <c r="AN21" s="1"/>
      <c r="AO21" s="1"/>
      <c r="AP21" s="1"/>
      <c r="AQ21" s="1"/>
      <c r="AR21" s="1"/>
      <c r="AS21" s="1"/>
    </row>
    <row r="22" spans="1:45" ht="17.25" thickBot="1" x14ac:dyDescent="0.35">
      <c r="A22" s="146">
        <v>16</v>
      </c>
      <c r="B22" s="105"/>
      <c r="C22" s="106"/>
      <c r="D22" s="149">
        <f t="shared" ref="D22" si="26">SUM(G22:G27,I22:I27,K22:K27)</f>
        <v>0</v>
      </c>
      <c r="E22" s="149">
        <f t="shared" ref="E22" si="27">SUM(G22:G27,I22:I27,M22:M27,O22:O27,Q22:Q27,K22:K27)</f>
        <v>0</v>
      </c>
      <c r="F22" s="99"/>
      <c r="G22" s="38">
        <f t="shared" si="16"/>
        <v>0</v>
      </c>
      <c r="H22" s="99"/>
      <c r="I22" s="38">
        <f t="shared" si="17"/>
        <v>0</v>
      </c>
      <c r="J22" s="99"/>
      <c r="K22" s="38">
        <f t="shared" si="11"/>
        <v>0</v>
      </c>
      <c r="L22" s="99"/>
      <c r="M22" s="38">
        <f t="shared" si="12"/>
        <v>0</v>
      </c>
      <c r="N22" s="99"/>
      <c r="O22" s="38">
        <f t="shared" si="13"/>
        <v>0</v>
      </c>
      <c r="P22" s="99"/>
      <c r="Q22" s="38">
        <f t="shared" si="14"/>
        <v>0</v>
      </c>
      <c r="R22" s="77">
        <f t="shared" si="18"/>
        <v>0</v>
      </c>
      <c r="S22" s="34" t="str">
        <f t="shared" si="8"/>
        <v/>
      </c>
      <c r="T22" s="152" t="e">
        <f t="shared" ref="T22" si="28">AVERAGE(S22:S27)</f>
        <v>#DIV/0!</v>
      </c>
      <c r="U22" s="179">
        <f>(SUM(G22:G27)+SUM(I22:I27))/$F$1</f>
        <v>0</v>
      </c>
      <c r="V22" s="152">
        <f t="shared" ref="V22" si="29">SUM(R22:R27)</f>
        <v>0</v>
      </c>
      <c r="W22" s="152">
        <v>0</v>
      </c>
      <c r="X22" s="99"/>
      <c r="Y22" s="38">
        <f t="shared" si="19"/>
        <v>0</v>
      </c>
      <c r="Z22" s="99"/>
      <c r="AA22" s="38">
        <f t="shared" si="20"/>
        <v>0</v>
      </c>
      <c r="AB22" s="2"/>
      <c r="AC22" s="2"/>
      <c r="AD22" s="2"/>
      <c r="AE22" s="2"/>
      <c r="AF22" s="2"/>
      <c r="AG22" s="2"/>
      <c r="AH22" s="2"/>
      <c r="AI22" s="1"/>
      <c r="AJ22" s="1"/>
      <c r="AK22" s="1"/>
      <c r="AL22" s="1"/>
      <c r="AM22" s="1"/>
      <c r="AN22" s="1"/>
      <c r="AO22" s="1"/>
      <c r="AP22" s="1"/>
      <c r="AQ22" s="1"/>
      <c r="AR22" s="1"/>
      <c r="AS22" s="1"/>
    </row>
    <row r="23" spans="1:45" ht="17.25" thickBot="1" x14ac:dyDescent="0.35">
      <c r="A23" s="147"/>
      <c r="B23" s="97"/>
      <c r="C23" s="107"/>
      <c r="D23" s="150"/>
      <c r="E23" s="150"/>
      <c r="F23" s="100"/>
      <c r="G23" s="6">
        <f t="shared" si="16"/>
        <v>0</v>
      </c>
      <c r="H23" s="100"/>
      <c r="I23" s="6">
        <f t="shared" si="17"/>
        <v>0</v>
      </c>
      <c r="J23" s="100"/>
      <c r="K23" s="6">
        <f t="shared" si="11"/>
        <v>0</v>
      </c>
      <c r="L23" s="100"/>
      <c r="M23" s="6">
        <f t="shared" si="12"/>
        <v>0</v>
      </c>
      <c r="N23" s="100"/>
      <c r="O23" s="6">
        <f t="shared" si="13"/>
        <v>0</v>
      </c>
      <c r="P23" s="100"/>
      <c r="Q23" s="6">
        <f t="shared" si="14"/>
        <v>0</v>
      </c>
      <c r="R23" s="78">
        <f t="shared" si="18"/>
        <v>0</v>
      </c>
      <c r="S23" s="8" t="str">
        <f t="shared" si="8"/>
        <v/>
      </c>
      <c r="T23" s="152"/>
      <c r="U23" s="180"/>
      <c r="V23" s="152"/>
      <c r="W23" s="152"/>
      <c r="X23" s="100"/>
      <c r="Y23" s="6">
        <f t="shared" si="19"/>
        <v>0</v>
      </c>
      <c r="Z23" s="100"/>
      <c r="AA23" s="6">
        <f t="shared" si="20"/>
        <v>0</v>
      </c>
      <c r="AB23" s="2"/>
      <c r="AC23" s="2"/>
      <c r="AD23" s="2"/>
      <c r="AE23" s="2"/>
      <c r="AF23" s="2"/>
      <c r="AG23" s="2"/>
      <c r="AH23" s="2"/>
      <c r="AI23" s="1"/>
      <c r="AJ23" s="1"/>
      <c r="AK23" s="1"/>
      <c r="AL23" s="1"/>
      <c r="AM23" s="1"/>
      <c r="AN23" s="1"/>
      <c r="AO23" s="1"/>
      <c r="AP23" s="1"/>
      <c r="AQ23" s="1"/>
      <c r="AR23" s="1"/>
      <c r="AS23" s="1"/>
    </row>
    <row r="24" spans="1:45" ht="17.25" thickBot="1" x14ac:dyDescent="0.35">
      <c r="A24" s="147"/>
      <c r="B24" s="97"/>
      <c r="C24" s="107"/>
      <c r="D24" s="150"/>
      <c r="E24" s="150"/>
      <c r="F24" s="100"/>
      <c r="G24" s="6">
        <f t="shared" si="16"/>
        <v>0</v>
      </c>
      <c r="H24" s="100"/>
      <c r="I24" s="6">
        <f t="shared" si="17"/>
        <v>0</v>
      </c>
      <c r="J24" s="100"/>
      <c r="K24" s="6">
        <f t="shared" si="11"/>
        <v>0</v>
      </c>
      <c r="L24" s="100"/>
      <c r="M24" s="6">
        <f t="shared" si="12"/>
        <v>0</v>
      </c>
      <c r="N24" s="100"/>
      <c r="O24" s="6">
        <f t="shared" si="13"/>
        <v>0</v>
      </c>
      <c r="P24" s="100"/>
      <c r="Q24" s="6">
        <f t="shared" si="14"/>
        <v>0</v>
      </c>
      <c r="R24" s="80">
        <f t="shared" si="18"/>
        <v>0</v>
      </c>
      <c r="S24" s="8" t="str">
        <f t="shared" si="8"/>
        <v/>
      </c>
      <c r="T24" s="152"/>
      <c r="U24" s="180"/>
      <c r="V24" s="152"/>
      <c r="W24" s="152"/>
      <c r="X24" s="100"/>
      <c r="Y24" s="6">
        <f t="shared" si="19"/>
        <v>0</v>
      </c>
      <c r="Z24" s="100"/>
      <c r="AA24" s="6">
        <f t="shared" si="20"/>
        <v>0</v>
      </c>
      <c r="AB24" s="2"/>
      <c r="AC24" s="2"/>
      <c r="AD24" s="2"/>
      <c r="AE24" s="2"/>
      <c r="AF24" s="2"/>
      <c r="AG24" s="2"/>
      <c r="AH24" s="2"/>
      <c r="AI24" s="1"/>
      <c r="AJ24" s="1"/>
      <c r="AK24" s="1"/>
      <c r="AL24" s="1"/>
      <c r="AM24" s="1"/>
      <c r="AN24" s="1"/>
      <c r="AO24" s="1"/>
      <c r="AP24" s="1"/>
      <c r="AQ24" s="1"/>
      <c r="AR24" s="1"/>
      <c r="AS24" s="1"/>
    </row>
    <row r="25" spans="1:45" ht="17.25" thickBot="1" x14ac:dyDescent="0.35">
      <c r="A25" s="147"/>
      <c r="B25" s="97"/>
      <c r="C25" s="107"/>
      <c r="D25" s="150"/>
      <c r="E25" s="150"/>
      <c r="F25" s="100"/>
      <c r="G25" s="6">
        <f t="shared" si="16"/>
        <v>0</v>
      </c>
      <c r="H25" s="100"/>
      <c r="I25" s="6">
        <f t="shared" si="17"/>
        <v>0</v>
      </c>
      <c r="J25" s="100"/>
      <c r="K25" s="6">
        <f t="shared" si="11"/>
        <v>0</v>
      </c>
      <c r="L25" s="100"/>
      <c r="M25" s="6">
        <f t="shared" si="12"/>
        <v>0</v>
      </c>
      <c r="N25" s="100"/>
      <c r="O25" s="6">
        <f t="shared" si="13"/>
        <v>0</v>
      </c>
      <c r="P25" s="100"/>
      <c r="Q25" s="6">
        <f t="shared" si="14"/>
        <v>0</v>
      </c>
      <c r="R25" s="80">
        <f t="shared" si="18"/>
        <v>0</v>
      </c>
      <c r="S25" s="8" t="str">
        <f t="shared" si="8"/>
        <v/>
      </c>
      <c r="T25" s="152"/>
      <c r="U25" s="180"/>
      <c r="V25" s="152"/>
      <c r="W25" s="152"/>
      <c r="X25" s="100"/>
      <c r="Y25" s="6">
        <f t="shared" si="19"/>
        <v>0</v>
      </c>
      <c r="Z25" s="100"/>
      <c r="AA25" s="6">
        <f t="shared" si="20"/>
        <v>0</v>
      </c>
      <c r="AB25" s="2"/>
      <c r="AC25" s="2"/>
      <c r="AD25" s="2"/>
      <c r="AE25" s="2"/>
      <c r="AF25" s="2"/>
      <c r="AG25" s="2"/>
      <c r="AH25" s="2"/>
      <c r="AI25" s="1"/>
      <c r="AJ25" s="1"/>
      <c r="AK25" s="1"/>
      <c r="AL25" s="1"/>
      <c r="AM25" s="1"/>
      <c r="AN25" s="1"/>
      <c r="AO25" s="1"/>
      <c r="AP25" s="1"/>
      <c r="AQ25" s="1"/>
      <c r="AR25" s="1"/>
      <c r="AS25" s="1"/>
    </row>
    <row r="26" spans="1:45" ht="17.25" thickBot="1" x14ac:dyDescent="0.35">
      <c r="A26" s="147"/>
      <c r="B26" s="97"/>
      <c r="C26" s="107"/>
      <c r="D26" s="150"/>
      <c r="E26" s="150"/>
      <c r="F26" s="100"/>
      <c r="G26" s="6">
        <f t="shared" si="16"/>
        <v>0</v>
      </c>
      <c r="H26" s="100"/>
      <c r="I26" s="6">
        <f t="shared" si="17"/>
        <v>0</v>
      </c>
      <c r="J26" s="100"/>
      <c r="K26" s="6">
        <f t="shared" si="11"/>
        <v>0</v>
      </c>
      <c r="L26" s="100"/>
      <c r="M26" s="6">
        <f t="shared" si="12"/>
        <v>0</v>
      </c>
      <c r="N26" s="100"/>
      <c r="O26" s="6">
        <f t="shared" si="13"/>
        <v>0</v>
      </c>
      <c r="P26" s="100"/>
      <c r="Q26" s="6">
        <f t="shared" si="14"/>
        <v>0</v>
      </c>
      <c r="R26" s="80">
        <f t="shared" si="18"/>
        <v>0</v>
      </c>
      <c r="S26" s="8" t="str">
        <f t="shared" si="8"/>
        <v/>
      </c>
      <c r="T26" s="152"/>
      <c r="U26" s="180"/>
      <c r="V26" s="152"/>
      <c r="W26" s="152"/>
      <c r="X26" s="100"/>
      <c r="Y26" s="6">
        <f t="shared" si="19"/>
        <v>0</v>
      </c>
      <c r="Z26" s="100"/>
      <c r="AA26" s="6">
        <f t="shared" si="20"/>
        <v>0</v>
      </c>
      <c r="AB26" s="2"/>
      <c r="AC26" s="2"/>
      <c r="AD26" s="2"/>
      <c r="AE26" s="2"/>
      <c r="AF26" s="2"/>
      <c r="AG26" s="2"/>
      <c r="AH26" s="2"/>
      <c r="AI26" s="1"/>
      <c r="AJ26" s="1"/>
      <c r="AK26" s="1"/>
      <c r="AL26" s="1"/>
      <c r="AM26" s="1"/>
      <c r="AN26" s="1"/>
      <c r="AO26" s="1"/>
      <c r="AP26" s="1"/>
      <c r="AQ26" s="1"/>
      <c r="AR26" s="1"/>
      <c r="AS26" s="1"/>
    </row>
    <row r="27" spans="1:45" ht="17.25" thickBot="1" x14ac:dyDescent="0.35">
      <c r="A27" s="148"/>
      <c r="B27" s="98"/>
      <c r="C27" s="108"/>
      <c r="D27" s="151"/>
      <c r="E27" s="151"/>
      <c r="F27" s="101"/>
      <c r="G27" s="37">
        <f t="shared" si="16"/>
        <v>0</v>
      </c>
      <c r="H27" s="101"/>
      <c r="I27" s="37">
        <f t="shared" si="17"/>
        <v>0</v>
      </c>
      <c r="J27" s="101"/>
      <c r="K27" s="37">
        <f t="shared" si="11"/>
        <v>0</v>
      </c>
      <c r="L27" s="101"/>
      <c r="M27" s="37">
        <f t="shared" si="12"/>
        <v>0</v>
      </c>
      <c r="N27" s="101"/>
      <c r="O27" s="37">
        <f t="shared" si="13"/>
        <v>0</v>
      </c>
      <c r="P27" s="101"/>
      <c r="Q27" s="37">
        <f t="shared" si="14"/>
        <v>0</v>
      </c>
      <c r="R27" s="81">
        <f t="shared" si="18"/>
        <v>0</v>
      </c>
      <c r="S27" s="36" t="str">
        <f t="shared" si="8"/>
        <v/>
      </c>
      <c r="T27" s="152"/>
      <c r="U27" s="181"/>
      <c r="V27" s="152"/>
      <c r="W27" s="152"/>
      <c r="X27" s="101"/>
      <c r="Y27" s="37">
        <f t="shared" si="19"/>
        <v>0</v>
      </c>
      <c r="Z27" s="101"/>
      <c r="AA27" s="37">
        <f t="shared" si="20"/>
        <v>0</v>
      </c>
      <c r="AB27" s="2"/>
      <c r="AC27" s="2"/>
      <c r="AD27" s="2"/>
      <c r="AE27" s="2"/>
      <c r="AF27" s="2"/>
      <c r="AG27" s="2"/>
      <c r="AH27" s="2"/>
      <c r="AI27" s="1"/>
      <c r="AJ27" s="1"/>
      <c r="AK27" s="1"/>
      <c r="AL27" s="1"/>
      <c r="AM27" s="1"/>
      <c r="AN27" s="1"/>
      <c r="AO27" s="1"/>
      <c r="AP27" s="1"/>
      <c r="AQ27" s="1"/>
      <c r="AR27" s="1"/>
      <c r="AS27" s="1"/>
    </row>
    <row r="28" spans="1:45" ht="17.25" thickBot="1" x14ac:dyDescent="0.35">
      <c r="A28" s="147">
        <v>17</v>
      </c>
      <c r="B28" s="105"/>
      <c r="C28" s="106"/>
      <c r="D28" s="149">
        <f t="shared" ref="D28" si="30">SUM(G28:G33,I28:I33,K28:K33)</f>
        <v>4468.8</v>
      </c>
      <c r="E28" s="149">
        <f t="shared" ref="E28" si="31">SUM(G28:G33,I28:I33,M28:M33,O28:O33,Q28:Q33,K28:K33)</f>
        <v>5515.8</v>
      </c>
      <c r="F28" s="99"/>
      <c r="G28" s="6">
        <f t="shared" si="16"/>
        <v>0</v>
      </c>
      <c r="H28" s="99"/>
      <c r="I28" s="6">
        <f t="shared" si="17"/>
        <v>0</v>
      </c>
      <c r="J28" s="99"/>
      <c r="K28" s="6">
        <f t="shared" si="11"/>
        <v>0</v>
      </c>
      <c r="L28" s="99"/>
      <c r="M28" s="6">
        <f t="shared" si="12"/>
        <v>0</v>
      </c>
      <c r="N28" s="99"/>
      <c r="O28" s="6">
        <f t="shared" si="13"/>
        <v>0</v>
      </c>
      <c r="P28" s="99"/>
      <c r="Q28" s="6">
        <f t="shared" si="14"/>
        <v>0</v>
      </c>
      <c r="R28" s="80">
        <f t="shared" si="18"/>
        <v>0</v>
      </c>
      <c r="S28" s="8" t="str">
        <f t="shared" si="8"/>
        <v/>
      </c>
      <c r="T28" s="152">
        <f t="shared" ref="T28" si="32">AVERAGE(S28:S33)</f>
        <v>113.33877777777779</v>
      </c>
      <c r="U28" s="179">
        <f>(SUM(G28:G33)+SUM(I28:I33))/$F$1</f>
        <v>0.49653333333333333</v>
      </c>
      <c r="V28" s="152">
        <f t="shared" ref="V28" si="33">SUM(R28:R33)</f>
        <v>0.56186666666666663</v>
      </c>
      <c r="W28" s="152">
        <v>0</v>
      </c>
      <c r="X28" s="99"/>
      <c r="Y28" s="6">
        <f t="shared" si="19"/>
        <v>0</v>
      </c>
      <c r="Z28" s="99"/>
      <c r="AA28" s="6">
        <f t="shared" si="20"/>
        <v>0</v>
      </c>
      <c r="AB28" s="2"/>
      <c r="AC28" s="2"/>
      <c r="AD28" s="2"/>
      <c r="AE28" s="2"/>
      <c r="AF28" s="2"/>
      <c r="AG28" s="2"/>
      <c r="AH28" s="2"/>
      <c r="AI28" s="1"/>
      <c r="AJ28" s="1"/>
      <c r="AK28" s="1"/>
      <c r="AL28" s="1"/>
      <c r="AM28" s="1"/>
      <c r="AN28" s="1"/>
      <c r="AO28" s="1"/>
      <c r="AP28" s="1"/>
      <c r="AQ28" s="1"/>
      <c r="AR28" s="1"/>
      <c r="AS28" s="1"/>
    </row>
    <row r="29" spans="1:45" ht="17.25" thickBot="1" x14ac:dyDescent="0.35">
      <c r="A29" s="147"/>
      <c r="B29" s="97"/>
      <c r="C29" s="107"/>
      <c r="D29" s="150"/>
      <c r="E29" s="150"/>
      <c r="F29" s="100"/>
      <c r="G29" s="6">
        <f t="shared" si="16"/>
        <v>0</v>
      </c>
      <c r="H29" s="100"/>
      <c r="I29" s="6">
        <f t="shared" si="17"/>
        <v>0</v>
      </c>
      <c r="J29" s="100"/>
      <c r="K29" s="6">
        <f t="shared" si="11"/>
        <v>0</v>
      </c>
      <c r="L29" s="100"/>
      <c r="M29" s="6">
        <f t="shared" si="12"/>
        <v>0</v>
      </c>
      <c r="N29" s="100"/>
      <c r="O29" s="6">
        <f t="shared" si="13"/>
        <v>0</v>
      </c>
      <c r="P29" s="100"/>
      <c r="Q29" s="6">
        <f t="shared" si="14"/>
        <v>0</v>
      </c>
      <c r="R29" s="80">
        <f t="shared" si="18"/>
        <v>0</v>
      </c>
      <c r="S29" s="8" t="str">
        <f t="shared" si="8"/>
        <v/>
      </c>
      <c r="T29" s="152"/>
      <c r="U29" s="180"/>
      <c r="V29" s="152"/>
      <c r="W29" s="152"/>
      <c r="X29" s="100"/>
      <c r="Y29" s="6">
        <f t="shared" si="19"/>
        <v>0</v>
      </c>
      <c r="Z29" s="100"/>
      <c r="AA29" s="6">
        <f t="shared" si="20"/>
        <v>0</v>
      </c>
      <c r="AB29" s="2"/>
      <c r="AC29" s="2"/>
      <c r="AD29" s="2"/>
      <c r="AE29" s="2"/>
      <c r="AF29" s="2"/>
      <c r="AG29" s="2"/>
      <c r="AH29" s="2"/>
      <c r="AI29" s="1"/>
      <c r="AJ29" s="1"/>
      <c r="AK29" s="1"/>
      <c r="AL29" s="1"/>
      <c r="AM29" s="1"/>
      <c r="AN29" s="1"/>
      <c r="AO29" s="1"/>
      <c r="AP29" s="1"/>
      <c r="AQ29" s="1"/>
      <c r="AR29" s="1"/>
      <c r="AS29" s="1"/>
    </row>
    <row r="30" spans="1:45" ht="17.25" thickBot="1" x14ac:dyDescent="0.35">
      <c r="A30" s="147"/>
      <c r="B30" s="97"/>
      <c r="C30" s="107"/>
      <c r="D30" s="150"/>
      <c r="E30" s="150"/>
      <c r="F30" s="100"/>
      <c r="G30" s="6">
        <f t="shared" si="16"/>
        <v>0</v>
      </c>
      <c r="H30" s="100"/>
      <c r="I30" s="6">
        <f t="shared" si="17"/>
        <v>0</v>
      </c>
      <c r="J30" s="100"/>
      <c r="K30" s="6">
        <f t="shared" si="11"/>
        <v>0</v>
      </c>
      <c r="L30" s="100"/>
      <c r="M30" s="6">
        <f t="shared" si="12"/>
        <v>0</v>
      </c>
      <c r="N30" s="100"/>
      <c r="O30" s="6">
        <f t="shared" si="13"/>
        <v>0</v>
      </c>
      <c r="P30" s="100"/>
      <c r="Q30" s="6">
        <f t="shared" si="14"/>
        <v>0</v>
      </c>
      <c r="R30" s="80">
        <f t="shared" si="18"/>
        <v>0</v>
      </c>
      <c r="S30" s="8" t="str">
        <f t="shared" si="8"/>
        <v/>
      </c>
      <c r="T30" s="152"/>
      <c r="U30" s="180"/>
      <c r="V30" s="152"/>
      <c r="W30" s="152"/>
      <c r="X30" s="100"/>
      <c r="Y30" s="6">
        <f t="shared" si="19"/>
        <v>0</v>
      </c>
      <c r="Z30" s="100"/>
      <c r="AA30" s="6">
        <f t="shared" si="20"/>
        <v>0</v>
      </c>
      <c r="AB30" s="2"/>
      <c r="AC30" s="2"/>
      <c r="AD30" s="2"/>
      <c r="AE30" s="2"/>
      <c r="AF30" s="2"/>
      <c r="AG30" s="2"/>
      <c r="AH30" s="2"/>
      <c r="AI30" s="1"/>
      <c r="AJ30" s="1"/>
      <c r="AK30" s="1"/>
      <c r="AL30" s="1"/>
      <c r="AM30" s="1"/>
      <c r="AN30" s="1"/>
      <c r="AO30" s="1"/>
      <c r="AP30" s="1"/>
      <c r="AQ30" s="1"/>
      <c r="AR30" s="1"/>
      <c r="AS30" s="1"/>
    </row>
    <row r="31" spans="1:45" ht="17.25" thickBot="1" x14ac:dyDescent="0.35">
      <c r="A31" s="147"/>
      <c r="B31" s="97">
        <v>43580</v>
      </c>
      <c r="C31" s="107">
        <v>25</v>
      </c>
      <c r="D31" s="150"/>
      <c r="E31" s="150"/>
      <c r="F31" s="100">
        <v>161</v>
      </c>
      <c r="G31" s="6">
        <f t="shared" si="16"/>
        <v>1835.4</v>
      </c>
      <c r="H31" s="100">
        <v>22</v>
      </c>
      <c r="I31" s="6">
        <f t="shared" si="17"/>
        <v>250.8</v>
      </c>
      <c r="J31" s="100"/>
      <c r="K31" s="6">
        <f t="shared" si="11"/>
        <v>0</v>
      </c>
      <c r="L31" s="100">
        <v>13</v>
      </c>
      <c r="M31" s="6">
        <f t="shared" si="12"/>
        <v>182</v>
      </c>
      <c r="N31" s="100">
        <v>6</v>
      </c>
      <c r="O31" s="6">
        <f t="shared" si="13"/>
        <v>84</v>
      </c>
      <c r="P31" s="100">
        <v>17</v>
      </c>
      <c r="Q31" s="6">
        <f t="shared" si="14"/>
        <v>229.5</v>
      </c>
      <c r="R31" s="80">
        <f t="shared" si="18"/>
        <v>0.26135555555555556</v>
      </c>
      <c r="S31" s="8">
        <f t="shared" si="8"/>
        <v>103.26800000000001</v>
      </c>
      <c r="T31" s="152"/>
      <c r="U31" s="180"/>
      <c r="V31" s="152"/>
      <c r="W31" s="152"/>
      <c r="X31" s="100"/>
      <c r="Y31" s="6">
        <v>0</v>
      </c>
      <c r="Z31" s="100"/>
      <c r="AA31" s="6">
        <v>0</v>
      </c>
      <c r="AB31" s="2"/>
      <c r="AC31" s="2"/>
      <c r="AD31" s="2"/>
      <c r="AE31" s="2"/>
      <c r="AF31" s="2"/>
      <c r="AG31" s="2"/>
      <c r="AH31" s="2"/>
      <c r="AI31" s="1"/>
      <c r="AJ31" s="1"/>
      <c r="AK31" s="1"/>
      <c r="AL31" s="1"/>
      <c r="AM31" s="1"/>
      <c r="AN31" s="1"/>
      <c r="AO31" s="1"/>
      <c r="AP31" s="1"/>
      <c r="AQ31" s="1"/>
      <c r="AR31" s="1"/>
      <c r="AS31" s="1"/>
    </row>
    <row r="32" spans="1:45" ht="17.25" thickBot="1" x14ac:dyDescent="0.35">
      <c r="A32" s="147"/>
      <c r="B32" s="97">
        <v>43581</v>
      </c>
      <c r="C32" s="107">
        <v>20</v>
      </c>
      <c r="D32" s="150"/>
      <c r="E32" s="150"/>
      <c r="F32" s="100">
        <v>140</v>
      </c>
      <c r="G32" s="6">
        <f t="shared" si="16"/>
        <v>1596</v>
      </c>
      <c r="H32" s="100">
        <v>17</v>
      </c>
      <c r="I32" s="6">
        <f t="shared" si="17"/>
        <v>193.8</v>
      </c>
      <c r="J32" s="100"/>
      <c r="K32" s="6">
        <f t="shared" si="11"/>
        <v>0</v>
      </c>
      <c r="L32" s="100">
        <v>10</v>
      </c>
      <c r="M32" s="6">
        <f t="shared" si="12"/>
        <v>140</v>
      </c>
      <c r="N32" s="100">
        <v>6</v>
      </c>
      <c r="O32" s="6">
        <f t="shared" si="13"/>
        <v>84</v>
      </c>
      <c r="P32" s="100">
        <v>11</v>
      </c>
      <c r="Q32" s="6">
        <f t="shared" si="14"/>
        <v>148.5</v>
      </c>
      <c r="R32" s="80">
        <f t="shared" si="18"/>
        <v>0.22375555555555554</v>
      </c>
      <c r="S32" s="8">
        <f t="shared" si="8"/>
        <v>108.11500000000001</v>
      </c>
      <c r="T32" s="152"/>
      <c r="U32" s="180"/>
      <c r="V32" s="152"/>
      <c r="W32" s="152"/>
      <c r="X32" s="100"/>
      <c r="Y32" s="6">
        <v>0</v>
      </c>
      <c r="Z32" s="100"/>
      <c r="AA32" s="6">
        <v>0</v>
      </c>
      <c r="AB32" s="2"/>
      <c r="AC32" s="2"/>
      <c r="AD32" s="2"/>
      <c r="AE32" s="2"/>
      <c r="AF32" s="2"/>
      <c r="AG32" s="2"/>
      <c r="AH32" s="2"/>
      <c r="AI32" s="1"/>
      <c r="AJ32" s="1"/>
      <c r="AK32" s="1"/>
      <c r="AL32" s="1"/>
      <c r="AM32" s="1"/>
      <c r="AN32" s="1"/>
      <c r="AO32" s="1"/>
      <c r="AP32" s="1"/>
      <c r="AQ32" s="1"/>
      <c r="AR32" s="1"/>
      <c r="AS32" s="1"/>
    </row>
    <row r="33" spans="1:45" ht="17.25" thickBot="1" x14ac:dyDescent="0.35">
      <c r="A33" s="148"/>
      <c r="B33" s="98">
        <v>43582</v>
      </c>
      <c r="C33" s="108">
        <v>6</v>
      </c>
      <c r="D33" s="151"/>
      <c r="E33" s="151"/>
      <c r="F33" s="101">
        <v>46</v>
      </c>
      <c r="G33" s="37">
        <f t="shared" si="16"/>
        <v>524.4</v>
      </c>
      <c r="H33" s="101">
        <v>6</v>
      </c>
      <c r="I33" s="37">
        <f t="shared" si="17"/>
        <v>68.400000000000006</v>
      </c>
      <c r="J33" s="101"/>
      <c r="K33" s="37">
        <f t="shared" si="11"/>
        <v>0</v>
      </c>
      <c r="L33" s="101">
        <v>4</v>
      </c>
      <c r="M33" s="37">
        <f t="shared" si="12"/>
        <v>56</v>
      </c>
      <c r="N33" s="101">
        <v>3</v>
      </c>
      <c r="O33" s="37">
        <f t="shared" si="13"/>
        <v>42</v>
      </c>
      <c r="P33" s="101">
        <v>6</v>
      </c>
      <c r="Q33" s="37">
        <f t="shared" si="14"/>
        <v>81</v>
      </c>
      <c r="R33" s="81">
        <f t="shared" si="18"/>
        <v>7.6755555555555549E-2</v>
      </c>
      <c r="S33" s="36">
        <f t="shared" si="8"/>
        <v>128.63333333333333</v>
      </c>
      <c r="T33" s="152"/>
      <c r="U33" s="181"/>
      <c r="V33" s="152"/>
      <c r="W33" s="152"/>
      <c r="X33" s="101">
        <v>4</v>
      </c>
      <c r="Y33" s="37">
        <v>0</v>
      </c>
      <c r="Z33" s="101"/>
      <c r="AA33" s="37">
        <v>0</v>
      </c>
      <c r="AB33" s="2"/>
      <c r="AC33" s="2"/>
      <c r="AD33" s="2"/>
      <c r="AE33" s="2"/>
      <c r="AF33" s="2"/>
      <c r="AG33" s="2"/>
      <c r="AH33" s="2"/>
      <c r="AI33" s="1"/>
      <c r="AJ33" s="1"/>
      <c r="AK33" s="1"/>
      <c r="AL33" s="1"/>
      <c r="AM33" s="1"/>
      <c r="AN33" s="1"/>
      <c r="AO33" s="1"/>
      <c r="AP33" s="1"/>
      <c r="AQ33" s="1"/>
      <c r="AR33" s="1"/>
      <c r="AS33" s="1"/>
    </row>
    <row r="34" spans="1:45" ht="17.25" thickBot="1" x14ac:dyDescent="0.35">
      <c r="A34" s="146">
        <v>18</v>
      </c>
      <c r="B34" s="105">
        <v>43584</v>
      </c>
      <c r="C34" s="106">
        <v>10</v>
      </c>
      <c r="D34" s="149">
        <f t="shared" ref="D34" si="34">SUM(G34:G39,I34:I39,K34:K39)</f>
        <v>8076.9000000000005</v>
      </c>
      <c r="E34" s="149">
        <f t="shared" ref="E34" si="35">SUM(G34:G39,I34:I39,M34:M39,O34:O39,Q34:Q39,K34:K39)</f>
        <v>10137.400000000001</v>
      </c>
      <c r="F34" s="99">
        <v>105</v>
      </c>
      <c r="G34" s="38">
        <f t="shared" si="16"/>
        <v>1197</v>
      </c>
      <c r="H34" s="99">
        <v>6</v>
      </c>
      <c r="I34" s="38">
        <f t="shared" si="17"/>
        <v>68.400000000000006</v>
      </c>
      <c r="J34" s="99"/>
      <c r="K34" s="38">
        <f t="shared" si="11"/>
        <v>0</v>
      </c>
      <c r="L34" s="99">
        <v>5</v>
      </c>
      <c r="M34" s="38">
        <f t="shared" si="12"/>
        <v>70</v>
      </c>
      <c r="N34" s="99">
        <v>3</v>
      </c>
      <c r="O34" s="38">
        <f t="shared" si="13"/>
        <v>42</v>
      </c>
      <c r="P34" s="99">
        <v>12</v>
      </c>
      <c r="Q34" s="38">
        <f t="shared" si="14"/>
        <v>162</v>
      </c>
      <c r="R34" s="82">
        <f t="shared" si="18"/>
        <v>0.15304444444444446</v>
      </c>
      <c r="S34" s="34">
        <f t="shared" si="8"/>
        <v>153.94</v>
      </c>
      <c r="T34" s="152">
        <f>AVERAGE(S34:S39)</f>
        <v>141.77157407407407</v>
      </c>
      <c r="U34" s="179">
        <f>(SUM(G34:G39)+SUM(I34:I39))/$F$1</f>
        <v>0.89743333333333331</v>
      </c>
      <c r="V34" s="152">
        <f t="shared" ref="V34" si="36">SUM(R34:R39)</f>
        <v>0.98687777777777774</v>
      </c>
      <c r="W34" s="152">
        <v>1.0053555555555556</v>
      </c>
      <c r="X34" s="99"/>
      <c r="Y34" s="38">
        <f t="shared" si="19"/>
        <v>0</v>
      </c>
      <c r="Z34" s="99"/>
      <c r="AA34" s="38">
        <f t="shared" ref="AA34:AA97" si="37">Z34*Z$3</f>
        <v>0</v>
      </c>
      <c r="AB34" s="2"/>
      <c r="AC34" s="2"/>
      <c r="AD34" s="2"/>
      <c r="AE34" s="2"/>
      <c r="AF34" s="2"/>
      <c r="AG34" s="2"/>
      <c r="AH34" s="2"/>
      <c r="AI34" s="1"/>
      <c r="AJ34" s="1"/>
      <c r="AK34" s="1"/>
      <c r="AL34" s="1"/>
      <c r="AM34" s="1"/>
      <c r="AN34" s="1"/>
      <c r="AO34" s="1"/>
      <c r="AP34" s="1"/>
      <c r="AQ34" s="1"/>
      <c r="AR34" s="1"/>
      <c r="AS34" s="1"/>
    </row>
    <row r="35" spans="1:45" ht="17.25" thickBot="1" x14ac:dyDescent="0.35">
      <c r="A35" s="147"/>
      <c r="B35" s="97">
        <v>43585</v>
      </c>
      <c r="C35" s="107">
        <v>10</v>
      </c>
      <c r="D35" s="150"/>
      <c r="E35" s="150"/>
      <c r="F35" s="100">
        <v>90</v>
      </c>
      <c r="G35" s="6">
        <f t="shared" si="16"/>
        <v>1026</v>
      </c>
      <c r="H35" s="100">
        <v>9</v>
      </c>
      <c r="I35" s="6">
        <f t="shared" si="17"/>
        <v>102.60000000000001</v>
      </c>
      <c r="J35" s="100"/>
      <c r="K35" s="6">
        <f t="shared" si="11"/>
        <v>0</v>
      </c>
      <c r="L35" s="100">
        <v>5</v>
      </c>
      <c r="M35" s="6">
        <f t="shared" si="12"/>
        <v>70</v>
      </c>
      <c r="N35" s="100">
        <v>3</v>
      </c>
      <c r="O35" s="6">
        <f t="shared" si="13"/>
        <v>42</v>
      </c>
      <c r="P35" s="100">
        <v>18</v>
      </c>
      <c r="Q35" s="6">
        <f t="shared" si="14"/>
        <v>243</v>
      </c>
      <c r="R35" s="80">
        <f t="shared" si="18"/>
        <v>0.13784444444444444</v>
      </c>
      <c r="S35" s="8">
        <f t="shared" si="8"/>
        <v>148.35999999999999</v>
      </c>
      <c r="T35" s="152"/>
      <c r="U35" s="180"/>
      <c r="V35" s="152"/>
      <c r="W35" s="152"/>
      <c r="X35" s="100"/>
      <c r="Y35" s="6">
        <f t="shared" si="19"/>
        <v>0</v>
      </c>
      <c r="Z35" s="100"/>
      <c r="AA35" s="6">
        <f t="shared" si="37"/>
        <v>0</v>
      </c>
      <c r="AB35" s="2"/>
      <c r="AC35" s="2"/>
      <c r="AD35" s="2"/>
      <c r="AE35" s="2"/>
      <c r="AF35" s="2"/>
      <c r="AG35" s="2"/>
      <c r="AH35" s="2"/>
      <c r="AI35" s="1"/>
      <c r="AJ35" s="1"/>
      <c r="AK35" s="1"/>
      <c r="AL35" s="1"/>
      <c r="AM35" s="1"/>
      <c r="AN35" s="1"/>
      <c r="AO35" s="1"/>
      <c r="AP35" s="1"/>
      <c r="AQ35" s="1"/>
      <c r="AR35" s="1"/>
      <c r="AS35" s="1"/>
    </row>
    <row r="36" spans="1:45" ht="17.25" thickBot="1" x14ac:dyDescent="0.35">
      <c r="A36" s="147"/>
      <c r="B36" s="97">
        <v>43586</v>
      </c>
      <c r="C36" s="107">
        <v>5</v>
      </c>
      <c r="D36" s="150"/>
      <c r="E36" s="150"/>
      <c r="F36" s="100">
        <v>45</v>
      </c>
      <c r="G36" s="6">
        <f t="shared" si="16"/>
        <v>513</v>
      </c>
      <c r="H36" s="100">
        <v>4</v>
      </c>
      <c r="I36" s="6">
        <f t="shared" si="17"/>
        <v>45.6</v>
      </c>
      <c r="J36" s="100"/>
      <c r="K36" s="6">
        <f t="shared" si="11"/>
        <v>0</v>
      </c>
      <c r="L36" s="100">
        <v>2</v>
      </c>
      <c r="M36" s="6">
        <f t="shared" si="12"/>
        <v>28</v>
      </c>
      <c r="N36" s="100">
        <v>1.5</v>
      </c>
      <c r="O36" s="6">
        <f t="shared" si="13"/>
        <v>21</v>
      </c>
      <c r="P36" s="100">
        <v>10</v>
      </c>
      <c r="Q36" s="6">
        <f t="shared" si="14"/>
        <v>135</v>
      </c>
      <c r="R36" s="80">
        <f t="shared" si="18"/>
        <v>6.7511111111111119E-2</v>
      </c>
      <c r="S36" s="8">
        <f t="shared" si="8"/>
        <v>148.52000000000001</v>
      </c>
      <c r="T36" s="152"/>
      <c r="U36" s="180"/>
      <c r="V36" s="152"/>
      <c r="W36" s="152"/>
      <c r="X36" s="100"/>
      <c r="Y36" s="6">
        <f t="shared" si="19"/>
        <v>0</v>
      </c>
      <c r="Z36" s="100"/>
      <c r="AA36" s="6">
        <f t="shared" si="37"/>
        <v>0</v>
      </c>
      <c r="AB36" s="2"/>
      <c r="AC36" s="2"/>
      <c r="AD36" s="2"/>
      <c r="AE36" s="2"/>
      <c r="AF36" s="2"/>
      <c r="AG36" s="2"/>
      <c r="AH36" s="2"/>
      <c r="AI36" s="1"/>
      <c r="AJ36" s="1"/>
      <c r="AK36" s="1"/>
      <c r="AL36" s="1"/>
      <c r="AM36" s="1"/>
      <c r="AN36" s="1"/>
      <c r="AO36" s="1"/>
      <c r="AP36" s="1"/>
      <c r="AQ36" s="1"/>
      <c r="AR36" s="1"/>
      <c r="AS36" s="1"/>
    </row>
    <row r="37" spans="1:45" ht="17.25" thickBot="1" x14ac:dyDescent="0.35">
      <c r="A37" s="147"/>
      <c r="B37" s="97">
        <v>43587</v>
      </c>
      <c r="C37" s="107">
        <v>20</v>
      </c>
      <c r="D37" s="150"/>
      <c r="E37" s="150"/>
      <c r="F37" s="100">
        <v>143</v>
      </c>
      <c r="G37" s="6">
        <f t="shared" si="16"/>
        <v>1630.2</v>
      </c>
      <c r="H37" s="100">
        <v>17</v>
      </c>
      <c r="I37" s="6">
        <f t="shared" si="17"/>
        <v>193.8</v>
      </c>
      <c r="J37" s="100"/>
      <c r="K37" s="6">
        <f t="shared" si="11"/>
        <v>0</v>
      </c>
      <c r="L37" s="100">
        <v>10</v>
      </c>
      <c r="M37" s="6">
        <f t="shared" si="12"/>
        <v>140</v>
      </c>
      <c r="N37" s="100">
        <v>7</v>
      </c>
      <c r="O37" s="6">
        <f t="shared" si="13"/>
        <v>98</v>
      </c>
      <c r="P37" s="100">
        <v>33</v>
      </c>
      <c r="Q37" s="6">
        <f t="shared" si="14"/>
        <v>445.5</v>
      </c>
      <c r="R37" s="80">
        <f t="shared" si="18"/>
        <v>0.2291111111111111</v>
      </c>
      <c r="S37" s="8">
        <f t="shared" si="8"/>
        <v>125.375</v>
      </c>
      <c r="T37" s="152"/>
      <c r="U37" s="180"/>
      <c r="V37" s="152"/>
      <c r="W37" s="152"/>
      <c r="X37" s="100"/>
      <c r="Y37" s="6">
        <f t="shared" si="19"/>
        <v>0</v>
      </c>
      <c r="Z37" s="100"/>
      <c r="AA37" s="6">
        <f t="shared" si="37"/>
        <v>0</v>
      </c>
      <c r="AB37" s="2"/>
      <c r="AC37" s="2"/>
      <c r="AD37" s="2"/>
      <c r="AE37" s="2"/>
      <c r="AF37" s="2"/>
      <c r="AG37" s="2"/>
      <c r="AH37" s="2"/>
      <c r="AI37" s="1"/>
      <c r="AJ37" s="1"/>
      <c r="AK37" s="1"/>
      <c r="AL37" s="1"/>
      <c r="AM37" s="1"/>
      <c r="AN37" s="1"/>
      <c r="AO37" s="1"/>
      <c r="AP37" s="1"/>
      <c r="AQ37" s="1"/>
      <c r="AR37" s="1"/>
      <c r="AS37" s="1"/>
    </row>
    <row r="38" spans="1:45" ht="17.25" thickBot="1" x14ac:dyDescent="0.35">
      <c r="A38" s="147"/>
      <c r="B38" s="97">
        <v>43223</v>
      </c>
      <c r="C38" s="107">
        <v>10</v>
      </c>
      <c r="D38" s="150"/>
      <c r="E38" s="150"/>
      <c r="F38" s="100">
        <v>97</v>
      </c>
      <c r="G38" s="6">
        <f t="shared" si="16"/>
        <v>1105.8</v>
      </c>
      <c r="H38" s="100">
        <v>4</v>
      </c>
      <c r="I38" s="6">
        <f t="shared" si="17"/>
        <v>45.6</v>
      </c>
      <c r="J38" s="100"/>
      <c r="K38" s="6">
        <f t="shared" si="11"/>
        <v>0</v>
      </c>
      <c r="L38" s="100">
        <v>5</v>
      </c>
      <c r="M38" s="6">
        <f t="shared" si="12"/>
        <v>70</v>
      </c>
      <c r="N38" s="100">
        <v>3</v>
      </c>
      <c r="O38" s="6">
        <f t="shared" si="13"/>
        <v>42</v>
      </c>
      <c r="P38" s="100">
        <v>6</v>
      </c>
      <c r="Q38" s="6">
        <f t="shared" si="14"/>
        <v>81</v>
      </c>
      <c r="R38" s="80">
        <f t="shared" si="18"/>
        <v>0.14037777777777777</v>
      </c>
      <c r="S38" s="8">
        <f t="shared" si="8"/>
        <v>134.44</v>
      </c>
      <c r="T38" s="152"/>
      <c r="U38" s="180"/>
      <c r="V38" s="152"/>
      <c r="W38" s="152"/>
      <c r="X38" s="100"/>
      <c r="Y38" s="6">
        <f t="shared" si="19"/>
        <v>0</v>
      </c>
      <c r="Z38" s="100"/>
      <c r="AA38" s="6">
        <f t="shared" si="37"/>
        <v>0</v>
      </c>
      <c r="AB38" s="2"/>
      <c r="AC38" s="2"/>
      <c r="AD38" s="2"/>
      <c r="AE38" s="2"/>
      <c r="AF38" s="2"/>
      <c r="AG38" s="2"/>
      <c r="AH38" s="2"/>
      <c r="AI38" s="1"/>
      <c r="AJ38" s="1"/>
      <c r="AK38" s="1"/>
      <c r="AL38" s="1"/>
      <c r="AM38" s="1"/>
      <c r="AN38" s="1"/>
      <c r="AO38" s="1"/>
      <c r="AP38" s="1"/>
      <c r="AQ38" s="1"/>
      <c r="AR38" s="1"/>
      <c r="AS38" s="1"/>
    </row>
    <row r="39" spans="1:45" ht="17.25" thickBot="1" x14ac:dyDescent="0.35">
      <c r="A39" s="148"/>
      <c r="B39" s="98">
        <v>43589</v>
      </c>
      <c r="C39" s="108">
        <v>18</v>
      </c>
      <c r="D39" s="151"/>
      <c r="E39" s="151"/>
      <c r="F39" s="101">
        <v>180</v>
      </c>
      <c r="G39" s="39">
        <f t="shared" si="16"/>
        <v>2052</v>
      </c>
      <c r="H39" s="101">
        <v>8.5</v>
      </c>
      <c r="I39" s="39">
        <f t="shared" si="17"/>
        <v>96.9</v>
      </c>
      <c r="J39" s="101"/>
      <c r="K39" s="39">
        <f t="shared" si="11"/>
        <v>0</v>
      </c>
      <c r="L39" s="101">
        <v>8</v>
      </c>
      <c r="M39" s="39">
        <f t="shared" si="12"/>
        <v>112</v>
      </c>
      <c r="N39" s="101">
        <v>5</v>
      </c>
      <c r="O39" s="39">
        <f t="shared" si="13"/>
        <v>70</v>
      </c>
      <c r="P39" s="101">
        <v>14</v>
      </c>
      <c r="Q39" s="39">
        <f t="shared" si="14"/>
        <v>189</v>
      </c>
      <c r="R39" s="36">
        <f t="shared" si="18"/>
        <v>0.25898888888888888</v>
      </c>
      <c r="S39" s="36">
        <f t="shared" si="8"/>
        <v>139.99444444444444</v>
      </c>
      <c r="T39" s="152"/>
      <c r="U39" s="181"/>
      <c r="V39" s="152"/>
      <c r="W39" s="152"/>
      <c r="X39" s="101"/>
      <c r="Y39" s="39">
        <f t="shared" si="19"/>
        <v>0</v>
      </c>
      <c r="Z39" s="101"/>
      <c r="AA39" s="39">
        <f t="shared" si="37"/>
        <v>0</v>
      </c>
      <c r="AB39" s="2"/>
      <c r="AC39" s="2"/>
      <c r="AD39" s="2"/>
      <c r="AE39" s="2"/>
      <c r="AF39" s="2"/>
      <c r="AG39" s="2"/>
      <c r="AH39" s="2"/>
      <c r="AI39" s="1"/>
      <c r="AJ39" s="1"/>
      <c r="AK39" s="1"/>
      <c r="AL39" s="1"/>
      <c r="AM39" s="1"/>
      <c r="AN39" s="1"/>
      <c r="AO39" s="1"/>
      <c r="AP39" s="1"/>
      <c r="AQ39" s="1"/>
      <c r="AR39" s="1"/>
      <c r="AS39" s="1"/>
    </row>
    <row r="40" spans="1:45" ht="17.25" thickBot="1" x14ac:dyDescent="0.35">
      <c r="A40" s="147">
        <v>19</v>
      </c>
      <c r="B40" s="105">
        <v>43591</v>
      </c>
      <c r="C40" s="106">
        <v>25</v>
      </c>
      <c r="D40" s="149">
        <f t="shared" ref="D40" si="38">SUM(G40:G45,I40:I45,K40:K45)</f>
        <v>25154.100000000002</v>
      </c>
      <c r="E40" s="149">
        <f>SUM(G40:G45,I40:I45,M40:M45,O40:O45,Q40:Q45,K40:K45)</f>
        <v>29711.100000000002</v>
      </c>
      <c r="F40" s="99">
        <v>257</v>
      </c>
      <c r="G40" s="7">
        <f t="shared" si="16"/>
        <v>2929.8</v>
      </c>
      <c r="H40" s="99">
        <v>16.5</v>
      </c>
      <c r="I40" s="7">
        <f t="shared" si="17"/>
        <v>188.1</v>
      </c>
      <c r="J40" s="99"/>
      <c r="K40" s="7">
        <f t="shared" si="11"/>
        <v>0</v>
      </c>
      <c r="L40" s="99">
        <v>9</v>
      </c>
      <c r="M40" s="7">
        <f t="shared" si="12"/>
        <v>126</v>
      </c>
      <c r="N40" s="99">
        <v>7</v>
      </c>
      <c r="O40" s="7">
        <f t="shared" si="13"/>
        <v>98</v>
      </c>
      <c r="P40" s="99">
        <v>32</v>
      </c>
      <c r="Q40" s="7">
        <f t="shared" si="14"/>
        <v>432</v>
      </c>
      <c r="R40" s="8">
        <f t="shared" si="18"/>
        <v>0.37132222222222222</v>
      </c>
      <c r="S40" s="8">
        <f t="shared" si="8"/>
        <v>150.95600000000002</v>
      </c>
      <c r="T40" s="152">
        <f t="shared" ref="T40" si="39">AVERAGE(S40:S45)</f>
        <v>156.1594199134199</v>
      </c>
      <c r="U40" s="179">
        <f t="shared" ref="U40" si="40">(SUM(G40:G45)+SUM(I40:I45))/$F$1</f>
        <v>2.7949000000000002</v>
      </c>
      <c r="V40" s="152">
        <f t="shared" ref="V40" si="41">SUM(R40:R45)</f>
        <v>2.9862333333333333</v>
      </c>
      <c r="W40" s="152">
        <v>1.6075333333333335</v>
      </c>
      <c r="X40" s="99"/>
      <c r="Y40" s="7">
        <f t="shared" si="19"/>
        <v>0</v>
      </c>
      <c r="Z40" s="99"/>
      <c r="AA40" s="7">
        <f t="shared" si="37"/>
        <v>0</v>
      </c>
      <c r="AB40" s="2"/>
      <c r="AC40" s="2"/>
      <c r="AD40" s="2"/>
      <c r="AE40" s="2"/>
      <c r="AF40" s="2"/>
      <c r="AG40" s="1"/>
      <c r="AH40" s="1"/>
      <c r="AI40" s="1"/>
      <c r="AJ40" s="1"/>
      <c r="AK40" s="1"/>
      <c r="AL40" s="1"/>
      <c r="AM40" s="1"/>
      <c r="AN40" s="1"/>
      <c r="AO40" s="1"/>
      <c r="AP40" s="1"/>
      <c r="AQ40" s="1"/>
    </row>
    <row r="41" spans="1:45" ht="17.25" thickBot="1" x14ac:dyDescent="0.35">
      <c r="A41" s="147"/>
      <c r="B41" s="97">
        <v>43592</v>
      </c>
      <c r="C41" s="107">
        <v>30</v>
      </c>
      <c r="D41" s="150"/>
      <c r="E41" s="150"/>
      <c r="F41" s="100">
        <v>319</v>
      </c>
      <c r="G41" s="7">
        <f t="shared" si="16"/>
        <v>3636.6</v>
      </c>
      <c r="H41" s="100">
        <v>17</v>
      </c>
      <c r="I41" s="7">
        <f t="shared" si="17"/>
        <v>193.8</v>
      </c>
      <c r="J41" s="100"/>
      <c r="K41" s="7">
        <f t="shared" si="11"/>
        <v>0</v>
      </c>
      <c r="L41" s="100">
        <v>8</v>
      </c>
      <c r="M41" s="7">
        <f t="shared" si="12"/>
        <v>112</v>
      </c>
      <c r="N41" s="100">
        <v>8</v>
      </c>
      <c r="O41" s="7">
        <f t="shared" si="13"/>
        <v>112</v>
      </c>
      <c r="P41" s="100">
        <v>33</v>
      </c>
      <c r="Q41" s="7">
        <f t="shared" si="14"/>
        <v>445.5</v>
      </c>
      <c r="R41" s="8">
        <f t="shared" si="18"/>
        <v>0.45048888888888888</v>
      </c>
      <c r="S41" s="8">
        <f t="shared" si="8"/>
        <v>149.99666666666664</v>
      </c>
      <c r="T41" s="152"/>
      <c r="U41" s="180"/>
      <c r="V41" s="152"/>
      <c r="W41" s="152"/>
      <c r="X41" s="100">
        <v>1.5</v>
      </c>
      <c r="Y41" s="7">
        <f t="shared" si="19"/>
        <v>17.100000000000001</v>
      </c>
      <c r="Z41" s="100">
        <v>2</v>
      </c>
      <c r="AA41" s="7">
        <f t="shared" si="37"/>
        <v>22.8</v>
      </c>
      <c r="AB41" s="2"/>
      <c r="AC41" s="2"/>
      <c r="AD41" s="2"/>
      <c r="AE41" s="2"/>
      <c r="AF41" s="2"/>
      <c r="AG41" s="1"/>
      <c r="AH41" s="1"/>
      <c r="AI41" s="1"/>
      <c r="AJ41" s="1"/>
      <c r="AK41" s="1"/>
      <c r="AL41" s="1"/>
      <c r="AM41" s="1"/>
      <c r="AN41" s="1"/>
      <c r="AO41" s="1"/>
      <c r="AP41" s="1"/>
      <c r="AQ41" s="1"/>
    </row>
    <row r="42" spans="1:45" ht="17.25" thickBot="1" x14ac:dyDescent="0.35">
      <c r="A42" s="147"/>
      <c r="B42" s="97">
        <v>43593</v>
      </c>
      <c r="C42" s="107">
        <v>30</v>
      </c>
      <c r="D42" s="150"/>
      <c r="E42" s="150"/>
      <c r="F42" s="100">
        <v>357</v>
      </c>
      <c r="G42" s="7">
        <f t="shared" si="16"/>
        <v>4069.8</v>
      </c>
      <c r="H42" s="100">
        <v>16</v>
      </c>
      <c r="I42" s="7">
        <f t="shared" si="17"/>
        <v>182.4</v>
      </c>
      <c r="J42" s="100"/>
      <c r="K42" s="7">
        <f t="shared" si="11"/>
        <v>0</v>
      </c>
      <c r="L42" s="100">
        <v>12</v>
      </c>
      <c r="M42" s="7">
        <f t="shared" si="12"/>
        <v>168</v>
      </c>
      <c r="N42" s="100">
        <v>7</v>
      </c>
      <c r="O42" s="7">
        <f t="shared" si="13"/>
        <v>98</v>
      </c>
      <c r="P42" s="100">
        <v>33</v>
      </c>
      <c r="Q42" s="7">
        <f t="shared" si="14"/>
        <v>445.5</v>
      </c>
      <c r="R42" s="8">
        <f t="shared" si="18"/>
        <v>0.50202222222222215</v>
      </c>
      <c r="S42" s="8">
        <f t="shared" si="8"/>
        <v>165.45666666666665</v>
      </c>
      <c r="T42" s="152"/>
      <c r="U42" s="180"/>
      <c r="V42" s="152"/>
      <c r="W42" s="152"/>
      <c r="X42" s="100"/>
      <c r="Y42" s="7">
        <f t="shared" si="19"/>
        <v>0</v>
      </c>
      <c r="Z42" s="100"/>
      <c r="AA42" s="7">
        <f t="shared" si="37"/>
        <v>0</v>
      </c>
      <c r="AB42" s="2"/>
      <c r="AC42" s="2"/>
      <c r="AD42" s="2"/>
      <c r="AE42" s="2"/>
      <c r="AF42" s="2"/>
      <c r="AG42" s="1"/>
      <c r="AH42" s="1"/>
      <c r="AI42" s="1"/>
      <c r="AJ42" s="1"/>
      <c r="AK42" s="1"/>
      <c r="AL42" s="1"/>
      <c r="AM42" s="1"/>
      <c r="AN42" s="1"/>
      <c r="AO42" s="1"/>
      <c r="AP42" s="1"/>
      <c r="AQ42" s="1"/>
    </row>
    <row r="43" spans="1:45" ht="17.25" thickBot="1" x14ac:dyDescent="0.35">
      <c r="A43" s="147"/>
      <c r="B43" s="97">
        <v>43594</v>
      </c>
      <c r="C43" s="107">
        <v>35</v>
      </c>
      <c r="D43" s="150"/>
      <c r="E43" s="150"/>
      <c r="F43" s="100">
        <v>365</v>
      </c>
      <c r="G43" s="7">
        <f t="shared" si="16"/>
        <v>4161</v>
      </c>
      <c r="H43" s="100">
        <v>23</v>
      </c>
      <c r="I43" s="7">
        <f t="shared" si="17"/>
        <v>262.2</v>
      </c>
      <c r="J43" s="100"/>
      <c r="K43" s="7">
        <f t="shared" si="11"/>
        <v>0</v>
      </c>
      <c r="L43" s="100">
        <v>16</v>
      </c>
      <c r="M43" s="7">
        <f t="shared" si="12"/>
        <v>224</v>
      </c>
      <c r="N43" s="100">
        <v>8</v>
      </c>
      <c r="O43" s="7">
        <f t="shared" si="13"/>
        <v>112</v>
      </c>
      <c r="P43" s="100">
        <v>41</v>
      </c>
      <c r="Q43" s="7">
        <f t="shared" si="14"/>
        <v>553.5</v>
      </c>
      <c r="R43" s="8">
        <f t="shared" si="18"/>
        <v>0.52879999999999994</v>
      </c>
      <c r="S43" s="8">
        <f t="shared" si="8"/>
        <v>151.79142857142855</v>
      </c>
      <c r="T43" s="152"/>
      <c r="U43" s="180"/>
      <c r="V43" s="152"/>
      <c r="W43" s="152"/>
      <c r="X43" s="100"/>
      <c r="Y43" s="7">
        <f t="shared" si="19"/>
        <v>0</v>
      </c>
      <c r="Z43" s="100"/>
      <c r="AA43" s="7">
        <f t="shared" si="37"/>
        <v>0</v>
      </c>
      <c r="AB43" s="2"/>
      <c r="AC43" s="2"/>
      <c r="AD43" s="2"/>
      <c r="AE43" s="2"/>
      <c r="AF43" s="2"/>
      <c r="AG43" s="1"/>
      <c r="AH43" s="1"/>
      <c r="AI43" s="1"/>
      <c r="AJ43" s="1"/>
      <c r="AK43" s="1"/>
      <c r="AL43" s="1"/>
      <c r="AM43" s="1"/>
      <c r="AN43" s="1"/>
      <c r="AO43" s="1"/>
      <c r="AP43" s="1"/>
      <c r="AQ43" s="1"/>
    </row>
    <row r="44" spans="1:45" ht="17.25" thickBot="1" x14ac:dyDescent="0.35">
      <c r="A44" s="147"/>
      <c r="B44" s="97">
        <v>43595</v>
      </c>
      <c r="C44" s="107">
        <v>55</v>
      </c>
      <c r="D44" s="150"/>
      <c r="E44" s="150"/>
      <c r="F44" s="100">
        <v>611</v>
      </c>
      <c r="G44" s="7">
        <f t="shared" si="16"/>
        <v>6965.4000000000005</v>
      </c>
      <c r="H44" s="100">
        <v>30</v>
      </c>
      <c r="I44" s="7">
        <f t="shared" si="17"/>
        <v>342</v>
      </c>
      <c r="J44" s="100"/>
      <c r="K44" s="7">
        <f t="shared" si="11"/>
        <v>0</v>
      </c>
      <c r="L44" s="100">
        <v>28</v>
      </c>
      <c r="M44" s="7">
        <f t="shared" si="12"/>
        <v>392</v>
      </c>
      <c r="N44" s="100">
        <v>12</v>
      </c>
      <c r="O44" s="7">
        <f t="shared" si="13"/>
        <v>168</v>
      </c>
      <c r="P44" s="100">
        <v>67</v>
      </c>
      <c r="Q44" s="7">
        <f t="shared" si="14"/>
        <v>904.5</v>
      </c>
      <c r="R44" s="8">
        <f t="shared" si="18"/>
        <v>0.87415555555555557</v>
      </c>
      <c r="S44" s="8">
        <f t="shared" si="8"/>
        <v>159.48909090909095</v>
      </c>
      <c r="T44" s="152"/>
      <c r="U44" s="180"/>
      <c r="V44" s="152"/>
      <c r="W44" s="152"/>
      <c r="X44" s="100"/>
      <c r="Y44" s="7">
        <f t="shared" si="19"/>
        <v>0</v>
      </c>
      <c r="Z44" s="100"/>
      <c r="AA44" s="7">
        <f t="shared" si="37"/>
        <v>0</v>
      </c>
      <c r="AB44" s="2"/>
      <c r="AC44" s="2"/>
      <c r="AD44" s="2"/>
      <c r="AE44" s="2"/>
      <c r="AF44" s="2"/>
      <c r="AG44" s="1"/>
      <c r="AH44" s="1"/>
      <c r="AI44" s="1"/>
      <c r="AJ44" s="1"/>
      <c r="AK44" s="1"/>
      <c r="AL44" s="1"/>
      <c r="AM44" s="1"/>
      <c r="AN44" s="1"/>
      <c r="AO44" s="1"/>
      <c r="AP44" s="1"/>
      <c r="AQ44" s="1"/>
    </row>
    <row r="45" spans="1:45" ht="17.25" thickBot="1" x14ac:dyDescent="0.35">
      <c r="A45" s="147"/>
      <c r="B45" s="98">
        <v>43596</v>
      </c>
      <c r="C45" s="108">
        <v>15</v>
      </c>
      <c r="D45" s="151"/>
      <c r="E45" s="151"/>
      <c r="F45" s="101">
        <v>192</v>
      </c>
      <c r="G45" s="7">
        <f t="shared" si="16"/>
        <v>2188.8000000000002</v>
      </c>
      <c r="H45" s="101">
        <v>3</v>
      </c>
      <c r="I45" s="7">
        <f t="shared" si="17"/>
        <v>34.200000000000003</v>
      </c>
      <c r="J45" s="101"/>
      <c r="K45" s="7">
        <f t="shared" si="11"/>
        <v>0</v>
      </c>
      <c r="L45" s="101">
        <v>6</v>
      </c>
      <c r="M45" s="7">
        <f t="shared" si="12"/>
        <v>84</v>
      </c>
      <c r="N45" s="101">
        <v>2</v>
      </c>
      <c r="O45" s="7">
        <f t="shared" si="13"/>
        <v>28</v>
      </c>
      <c r="P45" s="101">
        <v>4</v>
      </c>
      <c r="Q45" s="7">
        <f t="shared" si="14"/>
        <v>54</v>
      </c>
      <c r="R45" s="8">
        <f t="shared" si="18"/>
        <v>0.25944444444444442</v>
      </c>
      <c r="S45" s="8">
        <f t="shared" si="8"/>
        <v>159.26666666666668</v>
      </c>
      <c r="T45" s="152"/>
      <c r="U45" s="181"/>
      <c r="V45" s="152"/>
      <c r="W45" s="152"/>
      <c r="X45" s="101"/>
      <c r="Y45" s="7">
        <f t="shared" si="19"/>
        <v>0</v>
      </c>
      <c r="Z45" s="101"/>
      <c r="AA45" s="7">
        <f t="shared" si="37"/>
        <v>0</v>
      </c>
      <c r="AB45" s="2"/>
      <c r="AC45" s="2"/>
      <c r="AD45" s="2"/>
      <c r="AE45" s="2"/>
      <c r="AF45" s="2"/>
      <c r="AG45" s="1"/>
      <c r="AH45" s="1"/>
      <c r="AI45" s="1"/>
      <c r="AJ45" s="1"/>
      <c r="AK45" s="1"/>
      <c r="AL45" s="1"/>
      <c r="AM45" s="1"/>
      <c r="AN45" s="1"/>
      <c r="AO45" s="1"/>
      <c r="AP45" s="1"/>
      <c r="AQ45" s="1"/>
    </row>
    <row r="46" spans="1:45" ht="17.25" thickBot="1" x14ac:dyDescent="0.35">
      <c r="A46" s="146">
        <v>20</v>
      </c>
      <c r="B46" s="105">
        <v>43598</v>
      </c>
      <c r="C46" s="106">
        <v>20</v>
      </c>
      <c r="D46" s="149">
        <f t="shared" ref="D46" si="42">SUM(G46:G51,I46:I51,K46:K51)</f>
        <v>21688.5</v>
      </c>
      <c r="E46" s="149">
        <f t="shared" ref="E46" si="43">SUM(G46:G51,I46:I51,M46:M51,O46:O51,Q46:Q51,K46:K51)</f>
        <v>24085.5</v>
      </c>
      <c r="F46" s="99">
        <v>240</v>
      </c>
      <c r="G46" s="40">
        <f t="shared" si="16"/>
        <v>2736</v>
      </c>
      <c r="H46" s="99">
        <v>5</v>
      </c>
      <c r="I46" s="40">
        <f t="shared" si="17"/>
        <v>57</v>
      </c>
      <c r="J46" s="99"/>
      <c r="K46" s="40">
        <f t="shared" si="11"/>
        <v>0</v>
      </c>
      <c r="L46" s="99">
        <v>6</v>
      </c>
      <c r="M46" s="40">
        <f t="shared" si="12"/>
        <v>84</v>
      </c>
      <c r="N46" s="99">
        <v>4</v>
      </c>
      <c r="O46" s="40">
        <f t="shared" si="13"/>
        <v>56</v>
      </c>
      <c r="P46" s="99">
        <v>8</v>
      </c>
      <c r="Q46" s="40">
        <f t="shared" si="14"/>
        <v>108</v>
      </c>
      <c r="R46" s="34">
        <f t="shared" si="18"/>
        <v>0.32588888888888889</v>
      </c>
      <c r="S46" s="34">
        <f t="shared" si="8"/>
        <v>152.05000000000001</v>
      </c>
      <c r="T46" s="152">
        <f>AVERAGE(S46:S51)</f>
        <v>159.26097055154594</v>
      </c>
      <c r="U46" s="179">
        <f t="shared" ref="U46" si="44">(SUM(G46:G51)+SUM(I46:I51))/$F$1</f>
        <v>2.4098333333333333</v>
      </c>
      <c r="V46" s="152">
        <f t="shared" ref="V46" si="45">SUM(R46:R51)</f>
        <v>2.5381666666666671</v>
      </c>
      <c r="W46" s="152">
        <v>2.2001333333333335</v>
      </c>
      <c r="X46" s="99">
        <v>1</v>
      </c>
      <c r="Y46" s="40">
        <f t="shared" si="19"/>
        <v>11.4</v>
      </c>
      <c r="Z46" s="99">
        <v>1.5</v>
      </c>
      <c r="AA46" s="40">
        <f t="shared" si="37"/>
        <v>17.100000000000001</v>
      </c>
      <c r="AB46" s="2"/>
      <c r="AC46" s="2"/>
      <c r="AD46" s="2"/>
      <c r="AE46" s="2"/>
      <c r="AF46" s="2"/>
      <c r="AG46" s="1"/>
      <c r="AH46" s="1"/>
      <c r="AI46" s="1"/>
      <c r="AJ46" s="1"/>
      <c r="AK46" s="1"/>
      <c r="AL46" s="1"/>
      <c r="AM46" s="1"/>
      <c r="AN46" s="1"/>
      <c r="AO46" s="1"/>
      <c r="AP46" s="1"/>
      <c r="AQ46" s="1"/>
    </row>
    <row r="47" spans="1:45" ht="17.25" thickBot="1" x14ac:dyDescent="0.35">
      <c r="A47" s="147"/>
      <c r="B47" s="97">
        <v>43599</v>
      </c>
      <c r="C47" s="107">
        <v>20</v>
      </c>
      <c r="D47" s="150"/>
      <c r="E47" s="150"/>
      <c r="F47" s="100">
        <v>240</v>
      </c>
      <c r="G47" s="7">
        <f t="shared" si="16"/>
        <v>2736</v>
      </c>
      <c r="H47" s="100">
        <v>3.5</v>
      </c>
      <c r="I47" s="7">
        <f t="shared" si="17"/>
        <v>39.9</v>
      </c>
      <c r="J47" s="100"/>
      <c r="K47" s="7">
        <f t="shared" si="11"/>
        <v>0</v>
      </c>
      <c r="L47" s="100">
        <v>4</v>
      </c>
      <c r="M47" s="7">
        <f t="shared" si="12"/>
        <v>56</v>
      </c>
      <c r="N47" s="100">
        <v>4.5</v>
      </c>
      <c r="O47" s="7">
        <f t="shared" si="13"/>
        <v>63</v>
      </c>
      <c r="P47" s="100">
        <v>8</v>
      </c>
      <c r="Q47" s="7">
        <f t="shared" si="14"/>
        <v>108</v>
      </c>
      <c r="R47" s="8">
        <f t="shared" si="18"/>
        <v>0.32165555555555558</v>
      </c>
      <c r="S47" s="8">
        <f t="shared" si="8"/>
        <v>150.14500000000001</v>
      </c>
      <c r="T47" s="152"/>
      <c r="U47" s="180"/>
      <c r="V47" s="152"/>
      <c r="W47" s="152"/>
      <c r="X47" s="100"/>
      <c r="Y47" s="7">
        <f t="shared" si="19"/>
        <v>0</v>
      </c>
      <c r="Z47" s="100"/>
      <c r="AA47" s="7">
        <f t="shared" si="37"/>
        <v>0</v>
      </c>
      <c r="AB47" s="2"/>
      <c r="AC47" s="2"/>
      <c r="AD47" s="2"/>
      <c r="AE47" s="2"/>
      <c r="AF47" s="2"/>
      <c r="AG47" s="1"/>
      <c r="AH47" s="1"/>
      <c r="AI47" s="1"/>
      <c r="AJ47" s="1"/>
      <c r="AK47" s="1"/>
      <c r="AL47" s="1"/>
      <c r="AM47" s="1"/>
      <c r="AN47" s="1"/>
      <c r="AO47" s="1"/>
      <c r="AP47" s="1"/>
      <c r="AQ47" s="1"/>
    </row>
    <row r="48" spans="1:45" ht="17.25" thickBot="1" x14ac:dyDescent="0.35">
      <c r="A48" s="147"/>
      <c r="B48" s="97">
        <v>43600</v>
      </c>
      <c r="C48" s="107">
        <v>32.25</v>
      </c>
      <c r="D48" s="150"/>
      <c r="E48" s="150"/>
      <c r="F48" s="100">
        <v>390</v>
      </c>
      <c r="G48" s="7">
        <f t="shared" si="16"/>
        <v>4446</v>
      </c>
      <c r="H48" s="100">
        <v>13</v>
      </c>
      <c r="I48" s="7">
        <f t="shared" si="17"/>
        <v>148.20000000000002</v>
      </c>
      <c r="J48" s="100"/>
      <c r="K48" s="7">
        <f t="shared" si="11"/>
        <v>0</v>
      </c>
      <c r="L48" s="100">
        <v>13</v>
      </c>
      <c r="M48" s="7">
        <f t="shared" si="12"/>
        <v>182</v>
      </c>
      <c r="N48" s="100">
        <v>8</v>
      </c>
      <c r="O48" s="7">
        <f t="shared" si="13"/>
        <v>112</v>
      </c>
      <c r="P48" s="100">
        <v>29</v>
      </c>
      <c r="Q48" s="7">
        <f t="shared" si="14"/>
        <v>391.5</v>
      </c>
      <c r="R48" s="8">
        <f t="shared" si="18"/>
        <v>0.54313333333333336</v>
      </c>
      <c r="S48" s="8">
        <f t="shared" si="8"/>
        <v>163.71162790697673</v>
      </c>
      <c r="T48" s="152"/>
      <c r="U48" s="180"/>
      <c r="V48" s="152"/>
      <c r="W48" s="152"/>
      <c r="X48" s="100"/>
      <c r="Y48" s="7">
        <f t="shared" si="19"/>
        <v>0</v>
      </c>
      <c r="Z48" s="100"/>
      <c r="AA48" s="7">
        <f t="shared" si="37"/>
        <v>0</v>
      </c>
      <c r="AB48" s="2"/>
      <c r="AC48" s="2"/>
      <c r="AD48" s="2"/>
      <c r="AE48" s="2"/>
      <c r="AF48" s="2"/>
      <c r="AG48" s="1"/>
      <c r="AH48" s="1"/>
      <c r="AI48" s="1"/>
      <c r="AJ48" s="1"/>
      <c r="AK48" s="1"/>
      <c r="AL48" s="1"/>
      <c r="AM48" s="1"/>
      <c r="AN48" s="1"/>
      <c r="AO48" s="1"/>
      <c r="AP48" s="1"/>
      <c r="AQ48" s="1"/>
    </row>
    <row r="49" spans="1:43" ht="17.25" thickBot="1" x14ac:dyDescent="0.35">
      <c r="A49" s="147"/>
      <c r="B49" s="97">
        <v>43601</v>
      </c>
      <c r="C49" s="107">
        <v>36.25</v>
      </c>
      <c r="D49" s="150"/>
      <c r="E49" s="150"/>
      <c r="F49" s="100">
        <v>465</v>
      </c>
      <c r="G49" s="7">
        <f t="shared" si="16"/>
        <v>5301</v>
      </c>
      <c r="H49" s="100">
        <v>14</v>
      </c>
      <c r="I49" s="7">
        <f t="shared" si="17"/>
        <v>159.6</v>
      </c>
      <c r="J49" s="100"/>
      <c r="K49" s="7">
        <f t="shared" si="11"/>
        <v>0</v>
      </c>
      <c r="L49" s="100">
        <v>13</v>
      </c>
      <c r="M49" s="7">
        <f t="shared" si="12"/>
        <v>182</v>
      </c>
      <c r="N49" s="100">
        <v>9</v>
      </c>
      <c r="O49" s="7">
        <f t="shared" si="13"/>
        <v>126</v>
      </c>
      <c r="P49" s="100">
        <v>34</v>
      </c>
      <c r="Q49" s="7">
        <f t="shared" si="14"/>
        <v>459</v>
      </c>
      <c r="R49" s="8">
        <f t="shared" si="18"/>
        <v>0.64095555555555561</v>
      </c>
      <c r="S49" s="8">
        <f t="shared" si="8"/>
        <v>171.79586206896553</v>
      </c>
      <c r="T49" s="152"/>
      <c r="U49" s="180"/>
      <c r="V49" s="152"/>
      <c r="W49" s="152"/>
      <c r="X49" s="100"/>
      <c r="Y49" s="7">
        <f t="shared" si="19"/>
        <v>0</v>
      </c>
      <c r="Z49" s="100"/>
      <c r="AA49" s="7">
        <f t="shared" si="37"/>
        <v>0</v>
      </c>
      <c r="AB49" s="2"/>
      <c r="AC49" s="2"/>
      <c r="AD49" s="2"/>
      <c r="AE49" s="2"/>
      <c r="AF49" s="2"/>
      <c r="AG49" s="1"/>
      <c r="AH49" s="1"/>
      <c r="AI49" s="1"/>
      <c r="AJ49" s="1"/>
      <c r="AK49" s="1"/>
      <c r="AL49" s="1"/>
      <c r="AM49" s="1"/>
      <c r="AN49" s="1"/>
      <c r="AO49" s="1"/>
      <c r="AP49" s="1"/>
      <c r="AQ49" s="1"/>
    </row>
    <row r="50" spans="1:43" ht="17.25" thickBot="1" x14ac:dyDescent="0.35">
      <c r="A50" s="147"/>
      <c r="B50" s="97">
        <v>43602</v>
      </c>
      <c r="C50" s="107">
        <v>30</v>
      </c>
      <c r="D50" s="150"/>
      <c r="E50" s="150"/>
      <c r="F50" s="100">
        <v>405</v>
      </c>
      <c r="G50" s="7">
        <f t="shared" si="16"/>
        <v>4617</v>
      </c>
      <c r="H50" s="100">
        <v>5</v>
      </c>
      <c r="I50" s="7">
        <f t="shared" si="17"/>
        <v>57</v>
      </c>
      <c r="J50" s="100"/>
      <c r="K50" s="7">
        <f t="shared" si="11"/>
        <v>0</v>
      </c>
      <c r="L50" s="100">
        <v>10</v>
      </c>
      <c r="M50" s="7">
        <f t="shared" si="12"/>
        <v>140</v>
      </c>
      <c r="N50" s="100">
        <v>7</v>
      </c>
      <c r="O50" s="7">
        <f t="shared" si="13"/>
        <v>98</v>
      </c>
      <c r="P50" s="100">
        <v>9</v>
      </c>
      <c r="Q50" s="7">
        <f t="shared" si="14"/>
        <v>121.5</v>
      </c>
      <c r="R50" s="8">
        <f t="shared" si="18"/>
        <v>0.54577777777777781</v>
      </c>
      <c r="S50" s="8">
        <f t="shared" si="8"/>
        <v>167.78333333333333</v>
      </c>
      <c r="T50" s="152"/>
      <c r="U50" s="180"/>
      <c r="V50" s="152"/>
      <c r="W50" s="152"/>
      <c r="X50" s="100"/>
      <c r="Y50" s="7">
        <f t="shared" si="19"/>
        <v>0</v>
      </c>
      <c r="Z50" s="100"/>
      <c r="AA50" s="7">
        <f t="shared" si="37"/>
        <v>0</v>
      </c>
      <c r="AB50" s="2"/>
      <c r="AC50" s="2"/>
      <c r="AD50" s="2"/>
      <c r="AE50" s="2"/>
      <c r="AF50" s="2"/>
      <c r="AG50" s="1"/>
      <c r="AH50" s="1"/>
      <c r="AI50" s="1"/>
      <c r="AJ50" s="1"/>
      <c r="AK50" s="1"/>
      <c r="AL50" s="1"/>
      <c r="AM50" s="1"/>
      <c r="AN50" s="1"/>
      <c r="AO50" s="1"/>
      <c r="AP50" s="1"/>
      <c r="AQ50" s="1"/>
    </row>
    <row r="51" spans="1:43" ht="17.25" thickBot="1" x14ac:dyDescent="0.35">
      <c r="A51" s="148"/>
      <c r="B51" s="98">
        <v>43603</v>
      </c>
      <c r="C51" s="108">
        <v>10</v>
      </c>
      <c r="D51" s="151"/>
      <c r="E51" s="151"/>
      <c r="F51" s="101">
        <v>120</v>
      </c>
      <c r="G51" s="39">
        <f t="shared" si="16"/>
        <v>1368</v>
      </c>
      <c r="H51" s="101">
        <v>2</v>
      </c>
      <c r="I51" s="39">
        <f t="shared" si="17"/>
        <v>22.8</v>
      </c>
      <c r="J51" s="101"/>
      <c r="K51" s="39">
        <f t="shared" si="11"/>
        <v>0</v>
      </c>
      <c r="L51" s="101">
        <v>2</v>
      </c>
      <c r="M51" s="39">
        <f t="shared" si="12"/>
        <v>28</v>
      </c>
      <c r="N51" s="101">
        <v>2</v>
      </c>
      <c r="O51" s="39">
        <f t="shared" si="13"/>
        <v>28</v>
      </c>
      <c r="P51" s="101">
        <v>4</v>
      </c>
      <c r="Q51" s="39">
        <f t="shared" si="14"/>
        <v>54</v>
      </c>
      <c r="R51" s="36">
        <f t="shared" si="18"/>
        <v>0.16075555555555554</v>
      </c>
      <c r="S51" s="36">
        <f t="shared" si="8"/>
        <v>150.07999999999998</v>
      </c>
      <c r="T51" s="152"/>
      <c r="U51" s="181"/>
      <c r="V51" s="152"/>
      <c r="W51" s="152"/>
      <c r="X51" s="101"/>
      <c r="Y51" s="39">
        <f t="shared" si="19"/>
        <v>0</v>
      </c>
      <c r="Z51" s="101"/>
      <c r="AA51" s="39">
        <f t="shared" si="37"/>
        <v>0</v>
      </c>
      <c r="AB51" s="2"/>
      <c r="AC51" s="2"/>
      <c r="AD51" s="2"/>
      <c r="AE51" s="2"/>
      <c r="AF51" s="2"/>
      <c r="AG51" s="1"/>
      <c r="AH51" s="1"/>
      <c r="AI51" s="1"/>
      <c r="AJ51" s="1"/>
      <c r="AK51" s="1"/>
      <c r="AL51" s="1"/>
      <c r="AM51" s="1"/>
      <c r="AN51" s="1"/>
      <c r="AO51" s="1"/>
      <c r="AP51" s="1"/>
      <c r="AQ51" s="1"/>
    </row>
    <row r="52" spans="1:43" ht="17.25" thickBot="1" x14ac:dyDescent="0.35">
      <c r="A52" s="147">
        <v>21</v>
      </c>
      <c r="B52" s="105">
        <v>43605</v>
      </c>
      <c r="C52" s="106">
        <v>20</v>
      </c>
      <c r="D52" s="149">
        <f t="shared" ref="D52" si="46">SUM(G52:G57,I52:I57,K52:K57)</f>
        <v>19710.599999999999</v>
      </c>
      <c r="E52" s="149">
        <f t="shared" ref="E52" si="47">SUM(G52:G57,I52:I57,M52:M57,O52:O57,Q52:Q57,K52:K57)</f>
        <v>21842.1</v>
      </c>
      <c r="F52" s="99">
        <v>270</v>
      </c>
      <c r="G52" s="7">
        <f t="shared" si="16"/>
        <v>3078</v>
      </c>
      <c r="H52" s="99">
        <v>3</v>
      </c>
      <c r="I52" s="7">
        <f t="shared" si="17"/>
        <v>34.200000000000003</v>
      </c>
      <c r="J52" s="99"/>
      <c r="K52" s="7">
        <f t="shared" si="11"/>
        <v>0</v>
      </c>
      <c r="L52" s="99">
        <v>4</v>
      </c>
      <c r="M52" s="7">
        <f t="shared" si="12"/>
        <v>56</v>
      </c>
      <c r="N52" s="99">
        <v>4</v>
      </c>
      <c r="O52" s="7">
        <f t="shared" si="13"/>
        <v>56</v>
      </c>
      <c r="P52" s="99">
        <v>5</v>
      </c>
      <c r="Q52" s="7">
        <f t="shared" si="14"/>
        <v>67.5</v>
      </c>
      <c r="R52" s="8">
        <f t="shared" si="18"/>
        <v>0.35824444444444442</v>
      </c>
      <c r="S52" s="8">
        <f t="shared" si="8"/>
        <v>164.58499999999998</v>
      </c>
      <c r="T52" s="152">
        <f t="shared" ref="T52" si="48">AVERAGE(S52:S57)</f>
        <v>166.29215277777777</v>
      </c>
      <c r="U52" s="179">
        <f t="shared" ref="U52" si="49">(SUM(G52:G57)+SUM(I52:I57))/$F$1</f>
        <v>2.1900666666666671</v>
      </c>
      <c r="V52" s="152">
        <f t="shared" ref="V52" si="50">SUM(R52:R57)</f>
        <v>2.3113999999999999</v>
      </c>
      <c r="W52" s="152">
        <v>2.9465333333333334</v>
      </c>
      <c r="X52" s="99">
        <v>1</v>
      </c>
      <c r="Y52" s="7">
        <f t="shared" si="19"/>
        <v>11.4</v>
      </c>
      <c r="Z52" s="99">
        <v>1</v>
      </c>
      <c r="AA52" s="7">
        <f t="shared" si="37"/>
        <v>11.4</v>
      </c>
      <c r="AB52" s="2"/>
      <c r="AC52" s="2"/>
      <c r="AD52" s="2"/>
      <c r="AE52" s="2"/>
      <c r="AF52" s="2"/>
      <c r="AG52" s="1"/>
      <c r="AH52" s="1"/>
      <c r="AI52" s="1"/>
      <c r="AJ52" s="1"/>
      <c r="AK52" s="1"/>
      <c r="AL52" s="1"/>
      <c r="AM52" s="1"/>
      <c r="AN52" s="1"/>
      <c r="AO52" s="1"/>
      <c r="AP52" s="1"/>
      <c r="AQ52" s="1"/>
    </row>
    <row r="53" spans="1:43" ht="17.25" thickBot="1" x14ac:dyDescent="0.35">
      <c r="A53" s="147"/>
      <c r="B53" s="97">
        <v>43606</v>
      </c>
      <c r="C53" s="107">
        <v>20</v>
      </c>
      <c r="D53" s="150"/>
      <c r="E53" s="150"/>
      <c r="F53" s="100">
        <v>272</v>
      </c>
      <c r="G53" s="7">
        <f t="shared" si="16"/>
        <v>3100.8</v>
      </c>
      <c r="H53" s="100">
        <v>4</v>
      </c>
      <c r="I53" s="7">
        <f t="shared" si="17"/>
        <v>45.6</v>
      </c>
      <c r="J53" s="100"/>
      <c r="K53" s="7">
        <f t="shared" si="11"/>
        <v>0</v>
      </c>
      <c r="L53" s="100">
        <v>4</v>
      </c>
      <c r="M53" s="7">
        <f t="shared" si="12"/>
        <v>56</v>
      </c>
      <c r="N53" s="100">
        <v>3</v>
      </c>
      <c r="O53" s="7">
        <f t="shared" si="13"/>
        <v>42</v>
      </c>
      <c r="P53" s="100">
        <v>8</v>
      </c>
      <c r="Q53" s="7">
        <f t="shared" si="14"/>
        <v>108</v>
      </c>
      <c r="R53" s="8">
        <f t="shared" si="18"/>
        <v>0.36048888888888891</v>
      </c>
      <c r="S53" s="8">
        <f t="shared" si="8"/>
        <v>167.62</v>
      </c>
      <c r="T53" s="152"/>
      <c r="U53" s="180"/>
      <c r="V53" s="152"/>
      <c r="W53" s="152"/>
      <c r="X53" s="100"/>
      <c r="Y53" s="7">
        <f t="shared" si="19"/>
        <v>0</v>
      </c>
      <c r="Z53" s="100"/>
      <c r="AA53" s="7">
        <f t="shared" si="37"/>
        <v>0</v>
      </c>
      <c r="AB53" s="2"/>
      <c r="AC53" s="2"/>
      <c r="AD53" s="2"/>
      <c r="AE53" s="2"/>
      <c r="AF53" s="2"/>
      <c r="AG53" s="1"/>
      <c r="AH53" s="1"/>
      <c r="AI53" s="1"/>
      <c r="AJ53" s="1"/>
      <c r="AK53" s="1"/>
      <c r="AL53" s="1"/>
      <c r="AM53" s="1"/>
      <c r="AN53" s="1"/>
      <c r="AO53" s="1"/>
      <c r="AP53" s="1"/>
      <c r="AQ53" s="1"/>
    </row>
    <row r="54" spans="1:43" ht="17.25" thickBot="1" x14ac:dyDescent="0.35">
      <c r="A54" s="147"/>
      <c r="B54" s="97">
        <v>43607</v>
      </c>
      <c r="C54" s="107">
        <v>25</v>
      </c>
      <c r="D54" s="150"/>
      <c r="E54" s="150"/>
      <c r="F54" s="100">
        <v>310</v>
      </c>
      <c r="G54" s="7">
        <f t="shared" si="16"/>
        <v>3534</v>
      </c>
      <c r="H54" s="100">
        <v>5</v>
      </c>
      <c r="I54" s="7">
        <f t="shared" si="17"/>
        <v>57</v>
      </c>
      <c r="J54" s="100"/>
      <c r="K54" s="7">
        <f t="shared" si="11"/>
        <v>0</v>
      </c>
      <c r="L54" s="100">
        <v>7</v>
      </c>
      <c r="M54" s="7">
        <f t="shared" si="12"/>
        <v>98</v>
      </c>
      <c r="N54" s="100">
        <v>4</v>
      </c>
      <c r="O54" s="7">
        <f t="shared" si="13"/>
        <v>56</v>
      </c>
      <c r="P54" s="100">
        <v>18</v>
      </c>
      <c r="Q54" s="7">
        <f t="shared" si="14"/>
        <v>243</v>
      </c>
      <c r="R54" s="8">
        <f t="shared" si="18"/>
        <v>0.4161111111111111</v>
      </c>
      <c r="S54" s="8">
        <f t="shared" si="8"/>
        <v>159.52000000000001</v>
      </c>
      <c r="T54" s="152"/>
      <c r="U54" s="180"/>
      <c r="V54" s="152"/>
      <c r="W54" s="152"/>
      <c r="X54" s="100"/>
      <c r="Y54" s="7">
        <f t="shared" si="19"/>
        <v>0</v>
      </c>
      <c r="Z54" s="100"/>
      <c r="AA54" s="7">
        <f t="shared" si="37"/>
        <v>0</v>
      </c>
      <c r="AB54" s="2"/>
      <c r="AC54" s="2"/>
      <c r="AD54" s="2"/>
      <c r="AE54" s="2"/>
      <c r="AF54" s="2"/>
      <c r="AG54" s="1"/>
      <c r="AH54" s="1"/>
      <c r="AI54" s="1"/>
      <c r="AJ54" s="1"/>
      <c r="AK54" s="1"/>
      <c r="AL54" s="1"/>
      <c r="AM54" s="1"/>
      <c r="AN54" s="1"/>
      <c r="AO54" s="1"/>
      <c r="AP54" s="1"/>
      <c r="AQ54" s="1"/>
    </row>
    <row r="55" spans="1:43" ht="17.25" thickBot="1" x14ac:dyDescent="0.35">
      <c r="A55" s="147"/>
      <c r="B55" s="97">
        <v>43608</v>
      </c>
      <c r="C55" s="107">
        <v>30</v>
      </c>
      <c r="D55" s="150"/>
      <c r="E55" s="150"/>
      <c r="F55" s="100">
        <v>365</v>
      </c>
      <c r="G55" s="7">
        <f t="shared" si="16"/>
        <v>4161</v>
      </c>
      <c r="H55" s="100">
        <v>9</v>
      </c>
      <c r="I55" s="7">
        <f t="shared" si="17"/>
        <v>102.60000000000001</v>
      </c>
      <c r="J55" s="100"/>
      <c r="K55" s="7">
        <f t="shared" si="11"/>
        <v>0</v>
      </c>
      <c r="L55" s="100">
        <v>23</v>
      </c>
      <c r="M55" s="7">
        <f t="shared" si="12"/>
        <v>322</v>
      </c>
      <c r="N55" s="100">
        <v>11</v>
      </c>
      <c r="O55" s="7">
        <f t="shared" si="13"/>
        <v>154</v>
      </c>
      <c r="P55" s="100">
        <v>36</v>
      </c>
      <c r="Q55" s="7">
        <f t="shared" si="14"/>
        <v>486</v>
      </c>
      <c r="R55" s="8">
        <f t="shared" si="18"/>
        <v>0.52662222222222221</v>
      </c>
      <c r="S55" s="8">
        <f t="shared" si="8"/>
        <v>174.18666666666667</v>
      </c>
      <c r="T55" s="152"/>
      <c r="U55" s="180"/>
      <c r="V55" s="152"/>
      <c r="W55" s="152"/>
      <c r="X55" s="100"/>
      <c r="Y55" s="7">
        <f t="shared" si="19"/>
        <v>0</v>
      </c>
      <c r="Z55" s="100"/>
      <c r="AA55" s="7">
        <f t="shared" si="37"/>
        <v>0</v>
      </c>
      <c r="AB55" s="2"/>
      <c r="AC55" s="2"/>
      <c r="AD55" s="2"/>
      <c r="AE55" s="2"/>
      <c r="AF55" s="2"/>
      <c r="AG55" s="1"/>
      <c r="AH55" s="1"/>
      <c r="AI55" s="1"/>
      <c r="AJ55" s="1"/>
      <c r="AK55" s="1"/>
      <c r="AL55" s="1"/>
      <c r="AM55" s="1"/>
      <c r="AN55" s="1"/>
      <c r="AO55" s="1"/>
      <c r="AP55" s="1"/>
      <c r="AQ55" s="1"/>
    </row>
    <row r="56" spans="1:43" ht="17.25" thickBot="1" x14ac:dyDescent="0.35">
      <c r="A56" s="147"/>
      <c r="B56" s="97">
        <v>43609</v>
      </c>
      <c r="C56" s="107">
        <v>20</v>
      </c>
      <c r="D56" s="150"/>
      <c r="E56" s="150"/>
      <c r="F56" s="100">
        <v>270</v>
      </c>
      <c r="G56" s="7">
        <f t="shared" si="16"/>
        <v>3078</v>
      </c>
      <c r="H56" s="100">
        <v>3</v>
      </c>
      <c r="I56" s="7">
        <f t="shared" si="17"/>
        <v>34.200000000000003</v>
      </c>
      <c r="J56" s="100"/>
      <c r="K56" s="7">
        <f t="shared" si="11"/>
        <v>0</v>
      </c>
      <c r="L56" s="100">
        <v>9</v>
      </c>
      <c r="M56" s="7">
        <f t="shared" si="12"/>
        <v>126</v>
      </c>
      <c r="N56" s="100">
        <v>3</v>
      </c>
      <c r="O56" s="7">
        <f t="shared" si="13"/>
        <v>42</v>
      </c>
      <c r="P56" s="100">
        <v>7</v>
      </c>
      <c r="Q56" s="7">
        <f t="shared" si="14"/>
        <v>94.5</v>
      </c>
      <c r="R56" s="8">
        <f t="shared" si="18"/>
        <v>0.36446666666666666</v>
      </c>
      <c r="S56" s="8">
        <f t="shared" si="8"/>
        <v>168.73499999999999</v>
      </c>
      <c r="T56" s="152"/>
      <c r="U56" s="180"/>
      <c r="V56" s="152"/>
      <c r="W56" s="152"/>
      <c r="X56" s="100"/>
      <c r="Y56" s="7">
        <f t="shared" si="19"/>
        <v>0</v>
      </c>
      <c r="Z56" s="100"/>
      <c r="AA56" s="7">
        <f t="shared" si="37"/>
        <v>0</v>
      </c>
      <c r="AB56" s="2"/>
      <c r="AC56" s="2"/>
      <c r="AD56" s="2"/>
      <c r="AE56" s="2"/>
      <c r="AF56" s="2"/>
      <c r="AG56" s="1"/>
      <c r="AH56" s="1"/>
      <c r="AI56" s="1"/>
      <c r="AJ56" s="1"/>
      <c r="AK56" s="1"/>
      <c r="AL56" s="1"/>
      <c r="AM56" s="1"/>
      <c r="AN56" s="1"/>
      <c r="AO56" s="1"/>
      <c r="AP56" s="1"/>
      <c r="AQ56" s="1"/>
    </row>
    <row r="57" spans="1:43" ht="17.25" thickBot="1" x14ac:dyDescent="0.35">
      <c r="A57" s="147"/>
      <c r="B57" s="98">
        <v>43610</v>
      </c>
      <c r="C57" s="108">
        <v>16</v>
      </c>
      <c r="D57" s="151"/>
      <c r="E57" s="151"/>
      <c r="F57" s="101">
        <v>216</v>
      </c>
      <c r="G57" s="7">
        <f t="shared" si="16"/>
        <v>2462.4</v>
      </c>
      <c r="H57" s="101">
        <v>2</v>
      </c>
      <c r="I57" s="7">
        <f t="shared" si="17"/>
        <v>22.8</v>
      </c>
      <c r="J57" s="101"/>
      <c r="K57" s="7">
        <f t="shared" si="11"/>
        <v>0</v>
      </c>
      <c r="L57" s="101">
        <v>4</v>
      </c>
      <c r="M57" s="7">
        <f t="shared" si="12"/>
        <v>56</v>
      </c>
      <c r="N57" s="101">
        <v>2</v>
      </c>
      <c r="O57" s="7">
        <f t="shared" si="13"/>
        <v>28</v>
      </c>
      <c r="P57" s="101">
        <v>3</v>
      </c>
      <c r="Q57" s="7">
        <f t="shared" si="14"/>
        <v>40.5</v>
      </c>
      <c r="R57" s="8">
        <f t="shared" si="18"/>
        <v>0.2854666666666667</v>
      </c>
      <c r="S57" s="8">
        <f t="shared" si="8"/>
        <v>163.10625000000002</v>
      </c>
      <c r="T57" s="152"/>
      <c r="U57" s="181"/>
      <c r="V57" s="152"/>
      <c r="W57" s="152"/>
      <c r="X57" s="101"/>
      <c r="Y57" s="7">
        <f t="shared" si="19"/>
        <v>0</v>
      </c>
      <c r="Z57" s="101"/>
      <c r="AA57" s="7">
        <f t="shared" si="37"/>
        <v>0</v>
      </c>
      <c r="AB57" s="2"/>
      <c r="AC57" s="2"/>
      <c r="AD57" s="2"/>
      <c r="AE57" s="2"/>
      <c r="AF57" s="2"/>
      <c r="AG57" s="1"/>
      <c r="AH57" s="1"/>
      <c r="AI57" s="1"/>
      <c r="AJ57" s="1"/>
      <c r="AK57" s="1"/>
      <c r="AL57" s="1"/>
      <c r="AM57" s="1"/>
      <c r="AN57" s="1"/>
      <c r="AO57" s="1"/>
      <c r="AP57" s="1"/>
      <c r="AQ57" s="1"/>
    </row>
    <row r="58" spans="1:43" ht="17.25" thickBot="1" x14ac:dyDescent="0.35">
      <c r="A58" s="146">
        <v>22</v>
      </c>
      <c r="B58" s="105">
        <v>43612</v>
      </c>
      <c r="C58" s="106">
        <v>15.75</v>
      </c>
      <c r="D58" s="149">
        <f t="shared" ref="D58" si="51">SUM(G58:G63,I58:I63,K58:K63)</f>
        <v>25838.100000000002</v>
      </c>
      <c r="E58" s="149">
        <f t="shared" ref="E58" si="52">SUM(G58:G63,I58:I63,M58:M63,O58:O63,Q58:Q63,K58:K63)</f>
        <v>28484.100000000002</v>
      </c>
      <c r="F58" s="99">
        <v>225</v>
      </c>
      <c r="G58" s="40">
        <f t="shared" si="16"/>
        <v>2565</v>
      </c>
      <c r="H58" s="99">
        <v>2</v>
      </c>
      <c r="I58" s="40">
        <f t="shared" si="17"/>
        <v>22.8</v>
      </c>
      <c r="J58" s="99"/>
      <c r="K58" s="40">
        <f t="shared" si="11"/>
        <v>0</v>
      </c>
      <c r="L58" s="99">
        <v>5</v>
      </c>
      <c r="M58" s="40">
        <f t="shared" si="12"/>
        <v>70</v>
      </c>
      <c r="N58" s="99">
        <v>3</v>
      </c>
      <c r="O58" s="40">
        <f t="shared" si="13"/>
        <v>42</v>
      </c>
      <c r="P58" s="99">
        <v>5</v>
      </c>
      <c r="Q58" s="40">
        <f t="shared" si="14"/>
        <v>67.5</v>
      </c>
      <c r="R58" s="34">
        <f t="shared" si="18"/>
        <v>0.29997777777777779</v>
      </c>
      <c r="S58" s="34">
        <f t="shared" si="8"/>
        <v>175.70158730158732</v>
      </c>
      <c r="T58" s="152">
        <f>AVERAGE(S58:S63)</f>
        <v>179.38177248677252</v>
      </c>
      <c r="U58" s="179">
        <f t="shared" ref="U58" si="53">(SUM(G58:G63)+SUM(I58:I63))/$F$1</f>
        <v>2.8708999999999998</v>
      </c>
      <c r="V58" s="152">
        <f t="shared" ref="V58" si="54">SUM(R58:R63)</f>
        <v>3.0388999999999999</v>
      </c>
      <c r="W58" s="152">
        <v>2.2706222222222223</v>
      </c>
      <c r="X58" s="99"/>
      <c r="Y58" s="40">
        <f t="shared" si="19"/>
        <v>0</v>
      </c>
      <c r="Z58" s="99"/>
      <c r="AA58" s="40">
        <f t="shared" si="37"/>
        <v>0</v>
      </c>
      <c r="AB58" s="2"/>
      <c r="AC58" s="2"/>
      <c r="AD58" s="2"/>
      <c r="AE58" s="2"/>
      <c r="AF58" s="2"/>
      <c r="AG58" s="1"/>
      <c r="AH58" s="1"/>
      <c r="AI58" s="1"/>
      <c r="AJ58" s="1"/>
      <c r="AK58" s="1"/>
      <c r="AL58" s="1"/>
      <c r="AM58" s="1"/>
      <c r="AN58" s="1"/>
      <c r="AO58" s="1"/>
      <c r="AP58" s="1"/>
      <c r="AQ58" s="1"/>
    </row>
    <row r="59" spans="1:43" ht="17.25" thickBot="1" x14ac:dyDescent="0.35">
      <c r="A59" s="147"/>
      <c r="B59" s="97">
        <v>43613</v>
      </c>
      <c r="C59" s="107">
        <v>30</v>
      </c>
      <c r="D59" s="150"/>
      <c r="E59" s="150"/>
      <c r="F59" s="100">
        <v>450</v>
      </c>
      <c r="G59" s="7">
        <f t="shared" si="16"/>
        <v>5130</v>
      </c>
      <c r="H59" s="100">
        <v>7</v>
      </c>
      <c r="I59" s="7">
        <f t="shared" si="17"/>
        <v>79.8</v>
      </c>
      <c r="J59" s="100"/>
      <c r="K59" s="7">
        <f t="shared" si="11"/>
        <v>0</v>
      </c>
      <c r="L59" s="100">
        <v>15</v>
      </c>
      <c r="M59" s="7">
        <f t="shared" si="12"/>
        <v>210</v>
      </c>
      <c r="N59" s="100">
        <v>6</v>
      </c>
      <c r="O59" s="7">
        <f t="shared" si="13"/>
        <v>84</v>
      </c>
      <c r="P59" s="100">
        <v>10</v>
      </c>
      <c r="Q59" s="7">
        <f t="shared" si="14"/>
        <v>135</v>
      </c>
      <c r="R59" s="8">
        <f t="shared" si="18"/>
        <v>0.61153333333333337</v>
      </c>
      <c r="S59" s="8">
        <f t="shared" si="8"/>
        <v>187.96</v>
      </c>
      <c r="T59" s="152"/>
      <c r="U59" s="180"/>
      <c r="V59" s="152"/>
      <c r="W59" s="152"/>
      <c r="X59" s="100">
        <v>0.5</v>
      </c>
      <c r="Y59" s="7">
        <f t="shared" si="19"/>
        <v>5.7</v>
      </c>
      <c r="Z59" s="100">
        <v>0.5</v>
      </c>
      <c r="AA59" s="7">
        <f t="shared" si="37"/>
        <v>5.7</v>
      </c>
      <c r="AB59" s="2"/>
      <c r="AC59" s="2"/>
      <c r="AD59" s="2"/>
      <c r="AE59" s="2"/>
      <c r="AF59" s="2"/>
      <c r="AG59" s="1"/>
      <c r="AH59" s="1"/>
      <c r="AI59" s="1"/>
      <c r="AJ59" s="1"/>
      <c r="AK59" s="1"/>
      <c r="AL59" s="1"/>
      <c r="AM59" s="1"/>
      <c r="AN59" s="1"/>
      <c r="AO59" s="1"/>
      <c r="AP59" s="1"/>
      <c r="AQ59" s="1"/>
    </row>
    <row r="60" spans="1:43" ht="17.25" thickBot="1" x14ac:dyDescent="0.35">
      <c r="A60" s="147"/>
      <c r="B60" s="97">
        <v>43614</v>
      </c>
      <c r="C60" s="107">
        <v>35</v>
      </c>
      <c r="D60" s="150"/>
      <c r="E60" s="150"/>
      <c r="F60" s="100">
        <v>525</v>
      </c>
      <c r="G60" s="7">
        <f t="shared" si="16"/>
        <v>5985</v>
      </c>
      <c r="H60" s="100">
        <v>8</v>
      </c>
      <c r="I60" s="7">
        <f t="shared" si="17"/>
        <v>91.2</v>
      </c>
      <c r="J60" s="100"/>
      <c r="K60" s="7">
        <f t="shared" si="11"/>
        <v>0</v>
      </c>
      <c r="L60" s="100">
        <v>15</v>
      </c>
      <c r="M60" s="7">
        <f t="shared" si="12"/>
        <v>210</v>
      </c>
      <c r="N60" s="100">
        <v>9</v>
      </c>
      <c r="O60" s="7">
        <f t="shared" si="13"/>
        <v>126</v>
      </c>
      <c r="P60" s="100">
        <v>21</v>
      </c>
      <c r="Q60" s="7">
        <f t="shared" si="14"/>
        <v>283.5</v>
      </c>
      <c r="R60" s="8">
        <f t="shared" si="18"/>
        <v>0.71246666666666669</v>
      </c>
      <c r="S60" s="8">
        <f t="shared" si="8"/>
        <v>191.30571428571429</v>
      </c>
      <c r="T60" s="152"/>
      <c r="U60" s="180"/>
      <c r="V60" s="152"/>
      <c r="W60" s="152"/>
      <c r="X60" s="100"/>
      <c r="Y60" s="7">
        <f t="shared" si="19"/>
        <v>0</v>
      </c>
      <c r="Z60" s="100"/>
      <c r="AA60" s="7">
        <f t="shared" si="37"/>
        <v>0</v>
      </c>
      <c r="AB60" s="2"/>
      <c r="AC60" s="2"/>
      <c r="AD60" s="2"/>
      <c r="AE60" s="2"/>
      <c r="AF60" s="2"/>
      <c r="AG60" s="1"/>
      <c r="AH60" s="1"/>
      <c r="AI60" s="1"/>
      <c r="AJ60" s="1"/>
      <c r="AK60" s="1"/>
      <c r="AL60" s="1"/>
      <c r="AM60" s="1"/>
      <c r="AN60" s="1"/>
      <c r="AO60" s="1"/>
      <c r="AP60" s="1"/>
      <c r="AQ60" s="1"/>
    </row>
    <row r="61" spans="1:43" ht="17.25" thickBot="1" x14ac:dyDescent="0.35">
      <c r="A61" s="147"/>
      <c r="B61" s="97">
        <v>43615</v>
      </c>
      <c r="C61" s="107">
        <v>30</v>
      </c>
      <c r="D61" s="150"/>
      <c r="E61" s="150"/>
      <c r="F61" s="100">
        <v>420</v>
      </c>
      <c r="G61" s="7">
        <f t="shared" si="16"/>
        <v>4788</v>
      </c>
      <c r="H61" s="100">
        <v>8.5</v>
      </c>
      <c r="I61" s="7">
        <f t="shared" si="17"/>
        <v>96.9</v>
      </c>
      <c r="J61" s="100"/>
      <c r="K61" s="7">
        <f t="shared" si="11"/>
        <v>0</v>
      </c>
      <c r="L61" s="100">
        <v>17</v>
      </c>
      <c r="M61" s="7">
        <f t="shared" si="12"/>
        <v>238</v>
      </c>
      <c r="N61" s="100">
        <v>9</v>
      </c>
      <c r="O61" s="7">
        <f t="shared" si="13"/>
        <v>126</v>
      </c>
      <c r="P61" s="100">
        <v>34</v>
      </c>
      <c r="Q61" s="7">
        <f t="shared" si="14"/>
        <v>459</v>
      </c>
      <c r="R61" s="8">
        <f t="shared" si="18"/>
        <v>0.58321111111111112</v>
      </c>
      <c r="S61" s="8">
        <f t="shared" si="8"/>
        <v>190.26333333333332</v>
      </c>
      <c r="T61" s="152"/>
      <c r="U61" s="180"/>
      <c r="V61" s="152"/>
      <c r="W61" s="152"/>
      <c r="X61" s="100"/>
      <c r="Y61" s="7">
        <f t="shared" si="19"/>
        <v>0</v>
      </c>
      <c r="Z61" s="100"/>
      <c r="AA61" s="7">
        <f t="shared" si="37"/>
        <v>0</v>
      </c>
      <c r="AB61" s="2"/>
      <c r="AC61" s="2"/>
      <c r="AD61" s="2"/>
      <c r="AE61" s="2"/>
      <c r="AF61" s="2"/>
      <c r="AG61" s="1"/>
      <c r="AH61" s="1"/>
      <c r="AI61" s="1"/>
      <c r="AJ61" s="1"/>
      <c r="AK61" s="1"/>
      <c r="AL61" s="1"/>
      <c r="AM61" s="1"/>
      <c r="AN61" s="1"/>
      <c r="AO61" s="1"/>
      <c r="AP61" s="1"/>
      <c r="AQ61" s="1"/>
    </row>
    <row r="62" spans="1:43" ht="17.25" thickBot="1" x14ac:dyDescent="0.35">
      <c r="A62" s="147"/>
      <c r="B62" s="97">
        <v>43616</v>
      </c>
      <c r="C62" s="107">
        <v>30</v>
      </c>
      <c r="D62" s="150"/>
      <c r="E62" s="150"/>
      <c r="F62" s="100">
        <v>435</v>
      </c>
      <c r="G62" s="7">
        <f t="shared" si="16"/>
        <v>4959</v>
      </c>
      <c r="H62" s="100">
        <v>5</v>
      </c>
      <c r="I62" s="7">
        <f t="shared" si="17"/>
        <v>57</v>
      </c>
      <c r="J62" s="100"/>
      <c r="K62" s="7">
        <f t="shared" si="11"/>
        <v>0</v>
      </c>
      <c r="L62" s="100">
        <v>11</v>
      </c>
      <c r="M62" s="7">
        <f t="shared" si="12"/>
        <v>154</v>
      </c>
      <c r="N62" s="100">
        <v>8</v>
      </c>
      <c r="O62" s="7">
        <f t="shared" si="13"/>
        <v>112</v>
      </c>
      <c r="P62" s="100">
        <v>10</v>
      </c>
      <c r="Q62" s="7">
        <f t="shared" si="14"/>
        <v>135</v>
      </c>
      <c r="R62" s="8">
        <f t="shared" si="18"/>
        <v>0.5868888888888889</v>
      </c>
      <c r="S62" s="8">
        <f t="shared" si="8"/>
        <v>180.56666666666666</v>
      </c>
      <c r="T62" s="152"/>
      <c r="U62" s="180"/>
      <c r="V62" s="152"/>
      <c r="W62" s="152"/>
      <c r="X62" s="100"/>
      <c r="Y62" s="7">
        <f t="shared" si="19"/>
        <v>0</v>
      </c>
      <c r="Z62" s="100"/>
      <c r="AA62" s="7">
        <f t="shared" si="37"/>
        <v>0</v>
      </c>
      <c r="AB62" s="2"/>
      <c r="AC62" s="2"/>
      <c r="AD62" s="2"/>
      <c r="AE62" s="2"/>
      <c r="AF62" s="2"/>
      <c r="AG62" s="1"/>
      <c r="AH62" s="1"/>
      <c r="AI62" s="1"/>
      <c r="AJ62" s="1"/>
      <c r="AK62" s="1"/>
      <c r="AL62" s="1"/>
      <c r="AM62" s="1"/>
      <c r="AN62" s="1"/>
      <c r="AO62" s="1"/>
      <c r="AP62" s="1"/>
      <c r="AQ62" s="1"/>
    </row>
    <row r="63" spans="1:43" ht="17.25" thickBot="1" x14ac:dyDescent="0.35">
      <c r="A63" s="148"/>
      <c r="B63" s="98">
        <v>43617</v>
      </c>
      <c r="C63" s="108">
        <v>15</v>
      </c>
      <c r="D63" s="151"/>
      <c r="E63" s="151"/>
      <c r="F63" s="101">
        <v>180</v>
      </c>
      <c r="G63" s="39">
        <f t="shared" si="16"/>
        <v>2052</v>
      </c>
      <c r="H63" s="101">
        <v>1</v>
      </c>
      <c r="I63" s="39">
        <f t="shared" si="17"/>
        <v>11.4</v>
      </c>
      <c r="J63" s="101"/>
      <c r="K63" s="39">
        <f t="shared" si="11"/>
        <v>0</v>
      </c>
      <c r="L63" s="101">
        <v>5</v>
      </c>
      <c r="M63" s="39">
        <f t="shared" si="12"/>
        <v>70</v>
      </c>
      <c r="N63" s="101">
        <v>5</v>
      </c>
      <c r="O63" s="39">
        <f t="shared" si="13"/>
        <v>70</v>
      </c>
      <c r="P63" s="101">
        <v>4</v>
      </c>
      <c r="Q63" s="39">
        <f t="shared" si="14"/>
        <v>54</v>
      </c>
      <c r="R63" s="36">
        <f t="shared" si="18"/>
        <v>0.24482222222222222</v>
      </c>
      <c r="S63" s="36">
        <f t="shared" si="8"/>
        <v>150.49333333333334</v>
      </c>
      <c r="T63" s="152"/>
      <c r="U63" s="181"/>
      <c r="V63" s="152"/>
      <c r="W63" s="152"/>
      <c r="X63" s="101"/>
      <c r="Y63" s="39">
        <f t="shared" si="19"/>
        <v>0</v>
      </c>
      <c r="Z63" s="101"/>
      <c r="AA63" s="39">
        <f t="shared" si="37"/>
        <v>0</v>
      </c>
      <c r="AB63" s="2"/>
      <c r="AC63" s="2"/>
      <c r="AD63" s="2"/>
      <c r="AE63" s="2"/>
      <c r="AF63" s="2"/>
      <c r="AG63" s="1"/>
      <c r="AH63" s="1"/>
      <c r="AI63" s="1"/>
      <c r="AJ63" s="1"/>
      <c r="AK63" s="1"/>
      <c r="AL63" s="1"/>
      <c r="AM63" s="1"/>
      <c r="AN63" s="1"/>
      <c r="AO63" s="1"/>
      <c r="AP63" s="1"/>
      <c r="AQ63" s="1"/>
    </row>
    <row r="64" spans="1:43" ht="17.25" thickBot="1" x14ac:dyDescent="0.35">
      <c r="A64" s="147">
        <v>23</v>
      </c>
      <c r="B64" s="105">
        <v>43619</v>
      </c>
      <c r="C64" s="106">
        <v>22.25</v>
      </c>
      <c r="D64" s="149">
        <f t="shared" ref="D64" si="55">SUM(G64:G69,I64:I69,K64:K69)</f>
        <v>13742.7</v>
      </c>
      <c r="E64" s="149">
        <f t="shared" ref="E64" si="56">SUM(G64:G69,I64:I69,M64:M69,O64:O69,Q64:Q69,K64:K69)</f>
        <v>15317.7</v>
      </c>
      <c r="F64" s="99">
        <v>270</v>
      </c>
      <c r="G64" s="7">
        <f t="shared" si="16"/>
        <v>3078</v>
      </c>
      <c r="H64" s="99">
        <v>2.5</v>
      </c>
      <c r="I64" s="7">
        <f t="shared" si="17"/>
        <v>28.5</v>
      </c>
      <c r="J64" s="99"/>
      <c r="K64" s="7">
        <f t="shared" si="11"/>
        <v>0</v>
      </c>
      <c r="L64" s="99">
        <v>5</v>
      </c>
      <c r="M64" s="7">
        <f t="shared" si="12"/>
        <v>70</v>
      </c>
      <c r="N64" s="99">
        <v>3.5</v>
      </c>
      <c r="O64" s="7">
        <f t="shared" si="13"/>
        <v>49</v>
      </c>
      <c r="P64" s="99">
        <v>9</v>
      </c>
      <c r="Q64" s="7">
        <f t="shared" si="14"/>
        <v>121.5</v>
      </c>
      <c r="R64" s="8">
        <f t="shared" si="18"/>
        <v>0.35838888888888887</v>
      </c>
      <c r="S64" s="8">
        <f t="shared" si="8"/>
        <v>150.42696629213484</v>
      </c>
      <c r="T64" s="152">
        <f t="shared" ref="T64" si="57">AVERAGE(S64:S69)</f>
        <v>154.06545208195638</v>
      </c>
      <c r="U64" s="179">
        <f t="shared" ref="U64" si="58">(SUM(G64:G69)+SUM(I64:I69))/$F$1</f>
        <v>1.5269666666666668</v>
      </c>
      <c r="V64" s="152">
        <f t="shared" ref="V64" si="59">SUM(R64:R69)</f>
        <v>1.6179666666666666</v>
      </c>
      <c r="W64" s="152">
        <v>2.426822222222222</v>
      </c>
      <c r="X64" s="99"/>
      <c r="Y64" s="7">
        <f t="shared" si="19"/>
        <v>0</v>
      </c>
      <c r="Z64" s="99"/>
      <c r="AA64" s="7">
        <f t="shared" si="37"/>
        <v>0</v>
      </c>
      <c r="AB64" s="2"/>
      <c r="AC64" s="2"/>
      <c r="AD64" s="2"/>
      <c r="AE64" s="2"/>
      <c r="AF64" s="2"/>
      <c r="AG64" s="1"/>
      <c r="AH64" s="1"/>
      <c r="AI64" s="1"/>
      <c r="AJ64" s="1"/>
      <c r="AK64" s="1"/>
      <c r="AL64" s="1"/>
      <c r="AM64" s="1"/>
      <c r="AN64" s="1"/>
      <c r="AO64" s="1"/>
      <c r="AP64" s="1"/>
      <c r="AQ64" s="1"/>
    </row>
    <row r="65" spans="1:43" ht="17.25" thickBot="1" x14ac:dyDescent="0.35">
      <c r="A65" s="147"/>
      <c r="B65" s="97">
        <v>43620</v>
      </c>
      <c r="C65" s="107">
        <v>25</v>
      </c>
      <c r="D65" s="150"/>
      <c r="E65" s="150"/>
      <c r="F65" s="100">
        <v>290</v>
      </c>
      <c r="G65" s="7">
        <f t="shared" si="16"/>
        <v>3306</v>
      </c>
      <c r="H65" s="100">
        <v>5</v>
      </c>
      <c r="I65" s="7">
        <f t="shared" si="17"/>
        <v>57</v>
      </c>
      <c r="J65" s="100"/>
      <c r="K65" s="7">
        <f t="shared" si="11"/>
        <v>0</v>
      </c>
      <c r="L65" s="100">
        <v>11</v>
      </c>
      <c r="M65" s="7">
        <f t="shared" si="12"/>
        <v>154</v>
      </c>
      <c r="N65" s="100">
        <v>8</v>
      </c>
      <c r="O65" s="7">
        <f t="shared" si="13"/>
        <v>112</v>
      </c>
      <c r="P65" s="100">
        <v>26</v>
      </c>
      <c r="Q65" s="7">
        <f t="shared" si="14"/>
        <v>351</v>
      </c>
      <c r="R65" s="8">
        <f t="shared" si="18"/>
        <v>0.4032222222222222</v>
      </c>
      <c r="S65" s="8">
        <f t="shared" si="8"/>
        <v>159.19999999999999</v>
      </c>
      <c r="T65" s="152"/>
      <c r="U65" s="180"/>
      <c r="V65" s="152"/>
      <c r="W65" s="152"/>
      <c r="X65" s="100"/>
      <c r="Y65" s="7">
        <f t="shared" si="19"/>
        <v>0</v>
      </c>
      <c r="Z65" s="100"/>
      <c r="AA65" s="7">
        <f t="shared" si="37"/>
        <v>0</v>
      </c>
      <c r="AB65" s="2"/>
      <c r="AC65" s="2"/>
      <c r="AD65" s="2"/>
      <c r="AE65" s="2"/>
      <c r="AF65" s="2"/>
      <c r="AG65" s="1"/>
      <c r="AH65" s="1"/>
      <c r="AI65" s="1"/>
      <c r="AJ65" s="1"/>
      <c r="AK65" s="1"/>
      <c r="AL65" s="1"/>
      <c r="AM65" s="1"/>
      <c r="AN65" s="1"/>
      <c r="AO65" s="1"/>
      <c r="AP65" s="1"/>
      <c r="AQ65" s="1"/>
    </row>
    <row r="66" spans="1:43" ht="17.25" thickBot="1" x14ac:dyDescent="0.35">
      <c r="A66" s="147"/>
      <c r="B66" s="97">
        <v>43621</v>
      </c>
      <c r="C66" s="107">
        <v>15</v>
      </c>
      <c r="D66" s="150"/>
      <c r="E66" s="150"/>
      <c r="F66" s="100">
        <v>180</v>
      </c>
      <c r="G66" s="7">
        <f t="shared" si="16"/>
        <v>2052</v>
      </c>
      <c r="H66" s="100">
        <v>3</v>
      </c>
      <c r="I66" s="7">
        <f t="shared" si="17"/>
        <v>34.200000000000003</v>
      </c>
      <c r="J66" s="100"/>
      <c r="K66" s="7">
        <f t="shared" si="11"/>
        <v>0</v>
      </c>
      <c r="L66" s="100">
        <v>3</v>
      </c>
      <c r="M66" s="7">
        <f t="shared" si="12"/>
        <v>42</v>
      </c>
      <c r="N66" s="100">
        <v>3</v>
      </c>
      <c r="O66" s="7">
        <f t="shared" si="13"/>
        <v>42</v>
      </c>
      <c r="P66" s="100">
        <v>6</v>
      </c>
      <c r="Q66" s="7">
        <f t="shared" si="14"/>
        <v>81</v>
      </c>
      <c r="R66" s="8">
        <f t="shared" si="18"/>
        <v>0.24113333333333331</v>
      </c>
      <c r="S66" s="8">
        <f t="shared" si="8"/>
        <v>150.07999999999998</v>
      </c>
      <c r="T66" s="152"/>
      <c r="U66" s="180"/>
      <c r="V66" s="152"/>
      <c r="W66" s="152"/>
      <c r="X66" s="100"/>
      <c r="Y66" s="7">
        <f t="shared" si="19"/>
        <v>0</v>
      </c>
      <c r="Z66" s="100"/>
      <c r="AA66" s="7">
        <f t="shared" si="37"/>
        <v>0</v>
      </c>
      <c r="AB66" s="2"/>
      <c r="AC66" s="2"/>
      <c r="AD66" s="2"/>
      <c r="AE66" s="2"/>
      <c r="AF66" s="2"/>
      <c r="AG66" s="1"/>
      <c r="AH66" s="1"/>
      <c r="AI66" s="1"/>
      <c r="AJ66" s="1"/>
      <c r="AK66" s="1"/>
      <c r="AL66" s="1"/>
      <c r="AM66" s="1"/>
      <c r="AN66" s="1"/>
      <c r="AO66" s="1"/>
      <c r="AP66" s="1"/>
      <c r="AQ66" s="1"/>
    </row>
    <row r="67" spans="1:43" ht="17.25" thickBot="1" x14ac:dyDescent="0.35">
      <c r="A67" s="147"/>
      <c r="B67" s="97">
        <v>43622</v>
      </c>
      <c r="C67" s="107">
        <v>17</v>
      </c>
      <c r="D67" s="150"/>
      <c r="E67" s="150"/>
      <c r="F67" s="100">
        <v>210</v>
      </c>
      <c r="G67" s="7">
        <f t="shared" si="16"/>
        <v>2394</v>
      </c>
      <c r="H67" s="100">
        <v>2</v>
      </c>
      <c r="I67" s="7">
        <f t="shared" si="17"/>
        <v>22.8</v>
      </c>
      <c r="J67" s="100"/>
      <c r="K67" s="7">
        <f t="shared" si="11"/>
        <v>0</v>
      </c>
      <c r="L67" s="100">
        <v>7</v>
      </c>
      <c r="M67" s="7">
        <f t="shared" si="12"/>
        <v>98</v>
      </c>
      <c r="N67" s="100">
        <v>6</v>
      </c>
      <c r="O67" s="7">
        <f t="shared" si="13"/>
        <v>84</v>
      </c>
      <c r="P67" s="100">
        <v>6</v>
      </c>
      <c r="Q67" s="7">
        <f t="shared" si="14"/>
        <v>81</v>
      </c>
      <c r="R67" s="8">
        <f t="shared" si="18"/>
        <v>0.2887555555555556</v>
      </c>
      <c r="S67" s="8">
        <f t="shared" si="8"/>
        <v>157.63529411764708</v>
      </c>
      <c r="T67" s="152"/>
      <c r="U67" s="180"/>
      <c r="V67" s="152"/>
      <c r="W67" s="152"/>
      <c r="X67" s="100">
        <v>2</v>
      </c>
      <c r="Y67" s="7">
        <f t="shared" si="19"/>
        <v>22.8</v>
      </c>
      <c r="Z67" s="100">
        <v>1</v>
      </c>
      <c r="AA67" s="7">
        <f t="shared" si="37"/>
        <v>11.4</v>
      </c>
      <c r="AB67" s="2"/>
      <c r="AC67" s="2"/>
      <c r="AD67" s="2"/>
      <c r="AE67" s="2"/>
      <c r="AF67" s="2"/>
      <c r="AG67" s="1"/>
      <c r="AH67" s="1"/>
      <c r="AI67" s="1"/>
      <c r="AJ67" s="1"/>
      <c r="AK67" s="1"/>
      <c r="AL67" s="1"/>
      <c r="AM67" s="1"/>
      <c r="AN67" s="1"/>
      <c r="AO67" s="1"/>
      <c r="AP67" s="1"/>
      <c r="AQ67" s="1"/>
    </row>
    <row r="68" spans="1:43" ht="17.25" thickBot="1" x14ac:dyDescent="0.35">
      <c r="A68" s="147"/>
      <c r="B68" s="97">
        <v>43623</v>
      </c>
      <c r="C68" s="107">
        <v>20</v>
      </c>
      <c r="D68" s="150"/>
      <c r="E68" s="150"/>
      <c r="F68" s="100">
        <v>240</v>
      </c>
      <c r="G68" s="7">
        <f t="shared" si="16"/>
        <v>2736</v>
      </c>
      <c r="H68" s="100">
        <v>3</v>
      </c>
      <c r="I68" s="7">
        <f t="shared" si="17"/>
        <v>34.200000000000003</v>
      </c>
      <c r="J68" s="100"/>
      <c r="K68" s="7">
        <f t="shared" si="11"/>
        <v>0</v>
      </c>
      <c r="L68" s="100">
        <v>6</v>
      </c>
      <c r="M68" s="7">
        <f t="shared" si="12"/>
        <v>84</v>
      </c>
      <c r="N68" s="100">
        <v>6</v>
      </c>
      <c r="O68" s="7">
        <f t="shared" si="13"/>
        <v>84</v>
      </c>
      <c r="P68" s="100">
        <v>9</v>
      </c>
      <c r="Q68" s="7">
        <f t="shared" si="14"/>
        <v>121.5</v>
      </c>
      <c r="R68" s="8">
        <f t="shared" si="18"/>
        <v>0.32646666666666663</v>
      </c>
      <c r="S68" s="8">
        <f t="shared" si="8"/>
        <v>152.98499999999999</v>
      </c>
      <c r="T68" s="152"/>
      <c r="U68" s="180"/>
      <c r="V68" s="152"/>
      <c r="W68" s="152"/>
      <c r="X68" s="100"/>
      <c r="Y68" s="7">
        <f t="shared" si="19"/>
        <v>0</v>
      </c>
      <c r="Z68" s="100"/>
      <c r="AA68" s="7">
        <f t="shared" si="37"/>
        <v>0</v>
      </c>
      <c r="AB68" s="2"/>
      <c r="AC68" s="2"/>
      <c r="AD68" s="2"/>
      <c r="AE68" s="2"/>
      <c r="AF68" s="2"/>
      <c r="AG68" s="1"/>
      <c r="AH68" s="1"/>
      <c r="AI68" s="1"/>
      <c r="AJ68" s="1"/>
      <c r="AK68" s="1"/>
      <c r="AL68" s="1"/>
      <c r="AM68" s="1"/>
      <c r="AN68" s="1"/>
      <c r="AO68" s="1"/>
      <c r="AP68" s="1"/>
      <c r="AQ68" s="1"/>
    </row>
    <row r="69" spans="1:43" ht="17.25" thickBot="1" x14ac:dyDescent="0.35">
      <c r="A69" s="148"/>
      <c r="B69" s="98"/>
      <c r="C69" s="108"/>
      <c r="D69" s="151"/>
      <c r="E69" s="151"/>
      <c r="F69" s="101"/>
      <c r="G69" s="39">
        <f t="shared" si="16"/>
        <v>0</v>
      </c>
      <c r="H69" s="101"/>
      <c r="I69" s="39">
        <f t="shared" si="17"/>
        <v>0</v>
      </c>
      <c r="J69" s="101"/>
      <c r="K69" s="39">
        <f t="shared" si="11"/>
        <v>0</v>
      </c>
      <c r="L69" s="101"/>
      <c r="M69" s="39">
        <f t="shared" si="12"/>
        <v>0</v>
      </c>
      <c r="N69" s="101"/>
      <c r="O69" s="39">
        <f t="shared" si="13"/>
        <v>0</v>
      </c>
      <c r="P69" s="101"/>
      <c r="Q69" s="39">
        <f t="shared" si="14"/>
        <v>0</v>
      </c>
      <c r="R69" s="36">
        <f t="shared" si="18"/>
        <v>0</v>
      </c>
      <c r="S69" s="36" t="str">
        <f t="shared" ref="S69:S132" si="60">IF(C69=0,"",(G69+I69+M69+O69+Q69+K69)/C69)</f>
        <v/>
      </c>
      <c r="T69" s="152"/>
      <c r="U69" s="181"/>
      <c r="V69" s="152"/>
      <c r="W69" s="152"/>
      <c r="X69" s="101"/>
      <c r="Y69" s="39">
        <f t="shared" si="19"/>
        <v>0</v>
      </c>
      <c r="Z69" s="101"/>
      <c r="AA69" s="39">
        <f t="shared" si="37"/>
        <v>0</v>
      </c>
      <c r="AB69" s="2"/>
      <c r="AC69" s="2"/>
      <c r="AD69" s="2"/>
      <c r="AE69" s="2"/>
      <c r="AF69" s="2"/>
      <c r="AG69" s="1"/>
      <c r="AH69" s="1"/>
      <c r="AI69" s="1"/>
      <c r="AJ69" s="1"/>
      <c r="AK69" s="1"/>
      <c r="AL69" s="1"/>
      <c r="AM69" s="1"/>
      <c r="AN69" s="1"/>
      <c r="AO69" s="1"/>
      <c r="AP69" s="1"/>
      <c r="AQ69" s="1"/>
    </row>
    <row r="70" spans="1:43" ht="17.25" thickBot="1" x14ac:dyDescent="0.35">
      <c r="A70" s="147">
        <v>24</v>
      </c>
      <c r="B70" s="105">
        <v>43626</v>
      </c>
      <c r="C70" s="106">
        <v>25</v>
      </c>
      <c r="D70" s="149">
        <f t="shared" ref="D70" si="61">SUM(G70:G75,I70:I75,K70:K75)</f>
        <v>19129.2</v>
      </c>
      <c r="E70" s="149">
        <f t="shared" ref="E70" si="62">SUM(G70:G75,I70:I75,M70:M75,O70:O75,Q70:Q75,K70:K75)</f>
        <v>21225.7</v>
      </c>
      <c r="F70" s="99">
        <v>315</v>
      </c>
      <c r="G70" s="7">
        <f t="shared" si="16"/>
        <v>3591</v>
      </c>
      <c r="H70" s="99">
        <v>7</v>
      </c>
      <c r="I70" s="7">
        <f t="shared" si="17"/>
        <v>79.8</v>
      </c>
      <c r="J70" s="99"/>
      <c r="K70" s="7">
        <f t="shared" si="11"/>
        <v>0</v>
      </c>
      <c r="L70" s="99">
        <v>9</v>
      </c>
      <c r="M70" s="7">
        <f t="shared" si="12"/>
        <v>126</v>
      </c>
      <c r="N70" s="99">
        <v>5</v>
      </c>
      <c r="O70" s="7">
        <f t="shared" si="13"/>
        <v>70</v>
      </c>
      <c r="P70" s="99">
        <v>10</v>
      </c>
      <c r="Q70" s="7">
        <f t="shared" si="14"/>
        <v>135</v>
      </c>
      <c r="R70" s="8">
        <f t="shared" si="18"/>
        <v>0.42964444444444444</v>
      </c>
      <c r="S70" s="8">
        <f t="shared" si="60"/>
        <v>160.072</v>
      </c>
      <c r="T70" s="152">
        <f t="shared" ref="T70" si="63">AVERAGE(S70:S75)</f>
        <v>154.73309431643625</v>
      </c>
      <c r="U70" s="179">
        <f t="shared" ref="U70" si="64">(SUM(G70:G75)+SUM(I70:I75))/$F$1</f>
        <v>2.1254666666666666</v>
      </c>
      <c r="V70" s="152">
        <f t="shared" ref="V70" si="65">SUM(R70:R75)</f>
        <v>2.2639111111111112</v>
      </c>
      <c r="W70" s="152">
        <v>3.0087111111111104</v>
      </c>
      <c r="X70" s="99"/>
      <c r="Y70" s="7">
        <f t="shared" si="19"/>
        <v>0</v>
      </c>
      <c r="Z70" s="99"/>
      <c r="AA70" s="7">
        <f t="shared" si="37"/>
        <v>0</v>
      </c>
      <c r="AB70" s="2"/>
      <c r="AC70" s="2"/>
      <c r="AD70" s="2"/>
      <c r="AE70" s="2"/>
      <c r="AF70" s="2"/>
      <c r="AG70" s="1"/>
      <c r="AH70" s="1"/>
      <c r="AI70" s="1"/>
      <c r="AJ70" s="1"/>
      <c r="AK70" s="1"/>
      <c r="AL70" s="1"/>
      <c r="AM70" s="1"/>
      <c r="AN70" s="1"/>
      <c r="AO70" s="1"/>
      <c r="AP70" s="1"/>
      <c r="AQ70" s="1"/>
    </row>
    <row r="71" spans="1:43" ht="17.25" thickBot="1" x14ac:dyDescent="0.35">
      <c r="A71" s="147"/>
      <c r="B71" s="97">
        <v>43627</v>
      </c>
      <c r="C71" s="107">
        <v>18</v>
      </c>
      <c r="D71" s="150"/>
      <c r="E71" s="150"/>
      <c r="F71" s="100">
        <v>210</v>
      </c>
      <c r="G71" s="7">
        <f t="shared" si="16"/>
        <v>2394</v>
      </c>
      <c r="H71" s="100">
        <v>5</v>
      </c>
      <c r="I71" s="7">
        <f t="shared" si="17"/>
        <v>57</v>
      </c>
      <c r="J71" s="100"/>
      <c r="K71" s="7">
        <f t="shared" si="11"/>
        <v>0</v>
      </c>
      <c r="L71" s="100">
        <v>6</v>
      </c>
      <c r="M71" s="7">
        <f t="shared" si="12"/>
        <v>84</v>
      </c>
      <c r="N71" s="100">
        <v>6</v>
      </c>
      <c r="O71" s="7">
        <f t="shared" si="13"/>
        <v>84</v>
      </c>
      <c r="P71" s="100">
        <v>20</v>
      </c>
      <c r="Q71" s="7">
        <f t="shared" si="14"/>
        <v>270</v>
      </c>
      <c r="R71" s="8">
        <f t="shared" si="18"/>
        <v>0.29099999999999998</v>
      </c>
      <c r="S71" s="8">
        <f t="shared" si="60"/>
        <v>160.5</v>
      </c>
      <c r="T71" s="152"/>
      <c r="U71" s="180"/>
      <c r="V71" s="152"/>
      <c r="W71" s="152"/>
      <c r="X71" s="100"/>
      <c r="Y71" s="7">
        <f t="shared" si="19"/>
        <v>0</v>
      </c>
      <c r="Z71" s="100"/>
      <c r="AA71" s="7">
        <f t="shared" si="37"/>
        <v>0</v>
      </c>
      <c r="AB71" s="2"/>
      <c r="AC71" s="2"/>
      <c r="AD71" s="2"/>
      <c r="AE71" s="2"/>
      <c r="AF71" s="2"/>
      <c r="AG71" s="1"/>
      <c r="AH71" s="1"/>
      <c r="AI71" s="1"/>
      <c r="AJ71" s="1"/>
      <c r="AK71" s="1"/>
      <c r="AL71" s="1"/>
      <c r="AM71" s="1"/>
      <c r="AN71" s="1"/>
      <c r="AO71" s="1"/>
      <c r="AP71" s="1"/>
      <c r="AQ71" s="1"/>
    </row>
    <row r="72" spans="1:43" ht="17.25" thickBot="1" x14ac:dyDescent="0.35">
      <c r="A72" s="147"/>
      <c r="B72" s="97">
        <v>43628</v>
      </c>
      <c r="C72" s="107">
        <v>31</v>
      </c>
      <c r="D72" s="150"/>
      <c r="E72" s="150"/>
      <c r="F72" s="100">
        <v>365</v>
      </c>
      <c r="G72" s="7">
        <f t="shared" si="16"/>
        <v>4161</v>
      </c>
      <c r="H72" s="100">
        <v>8</v>
      </c>
      <c r="I72" s="7">
        <f t="shared" si="17"/>
        <v>91.2</v>
      </c>
      <c r="J72" s="100"/>
      <c r="K72" s="7">
        <f t="shared" si="11"/>
        <v>0</v>
      </c>
      <c r="L72" s="100">
        <v>12</v>
      </c>
      <c r="M72" s="7">
        <f t="shared" si="12"/>
        <v>168</v>
      </c>
      <c r="N72" s="100">
        <v>7</v>
      </c>
      <c r="O72" s="7">
        <f t="shared" si="13"/>
        <v>98</v>
      </c>
      <c r="P72" s="100">
        <v>11</v>
      </c>
      <c r="Q72" s="7">
        <f t="shared" si="14"/>
        <v>148.5</v>
      </c>
      <c r="R72" s="8">
        <f t="shared" si="18"/>
        <v>0.50202222222222215</v>
      </c>
      <c r="S72" s="8">
        <f t="shared" si="60"/>
        <v>150.53870967741935</v>
      </c>
      <c r="T72" s="152"/>
      <c r="U72" s="180"/>
      <c r="V72" s="152"/>
      <c r="W72" s="152"/>
      <c r="X72" s="100"/>
      <c r="Y72" s="7">
        <f t="shared" si="19"/>
        <v>0</v>
      </c>
      <c r="Z72" s="100"/>
      <c r="AA72" s="7">
        <f t="shared" si="37"/>
        <v>0</v>
      </c>
      <c r="AB72" s="2"/>
      <c r="AC72" s="2"/>
      <c r="AD72" s="2"/>
      <c r="AE72" s="2"/>
      <c r="AF72" s="2"/>
      <c r="AG72" s="1"/>
      <c r="AH72" s="1"/>
      <c r="AI72" s="1"/>
      <c r="AJ72" s="1"/>
      <c r="AK72" s="1"/>
      <c r="AL72" s="1"/>
      <c r="AM72" s="1"/>
      <c r="AN72" s="1"/>
      <c r="AO72" s="1"/>
      <c r="AP72" s="1"/>
      <c r="AQ72" s="1"/>
    </row>
    <row r="73" spans="1:43" ht="17.25" thickBot="1" x14ac:dyDescent="0.35">
      <c r="A73" s="147"/>
      <c r="B73" s="97">
        <v>43629</v>
      </c>
      <c r="C73" s="107">
        <v>36</v>
      </c>
      <c r="D73" s="150"/>
      <c r="E73" s="150"/>
      <c r="F73" s="100">
        <v>420</v>
      </c>
      <c r="G73" s="7">
        <f t="shared" si="16"/>
        <v>4788</v>
      </c>
      <c r="H73" s="100">
        <v>5</v>
      </c>
      <c r="I73" s="7">
        <f t="shared" si="17"/>
        <v>57</v>
      </c>
      <c r="J73" s="100"/>
      <c r="K73" s="7">
        <f t="shared" si="11"/>
        <v>0</v>
      </c>
      <c r="L73" s="100">
        <v>14</v>
      </c>
      <c r="M73" s="7">
        <f t="shared" si="12"/>
        <v>196</v>
      </c>
      <c r="N73" s="100">
        <v>13</v>
      </c>
      <c r="O73" s="7">
        <f t="shared" si="13"/>
        <v>182</v>
      </c>
      <c r="P73" s="100">
        <v>12</v>
      </c>
      <c r="Q73" s="7">
        <f t="shared" si="14"/>
        <v>162</v>
      </c>
      <c r="R73" s="8">
        <f t="shared" si="18"/>
        <v>0.58033333333333337</v>
      </c>
      <c r="S73" s="8">
        <f t="shared" si="60"/>
        <v>149.58333333333334</v>
      </c>
      <c r="T73" s="152"/>
      <c r="U73" s="180"/>
      <c r="V73" s="152"/>
      <c r="W73" s="152"/>
      <c r="X73" s="100">
        <v>1</v>
      </c>
      <c r="Y73" s="7">
        <f t="shared" si="19"/>
        <v>11.4</v>
      </c>
      <c r="Z73" s="100">
        <v>1</v>
      </c>
      <c r="AA73" s="7">
        <f t="shared" si="37"/>
        <v>11.4</v>
      </c>
      <c r="AB73" s="2"/>
      <c r="AC73" s="2"/>
      <c r="AD73" s="2"/>
      <c r="AE73" s="2"/>
      <c r="AF73" s="2"/>
      <c r="AG73" s="1"/>
      <c r="AH73" s="1"/>
      <c r="AI73" s="1"/>
      <c r="AJ73" s="1"/>
      <c r="AK73" s="1"/>
      <c r="AL73" s="1"/>
      <c r="AM73" s="1"/>
      <c r="AN73" s="1"/>
      <c r="AO73" s="1"/>
      <c r="AP73" s="1"/>
      <c r="AQ73" s="1"/>
    </row>
    <row r="74" spans="1:43" ht="17.25" thickBot="1" x14ac:dyDescent="0.35">
      <c r="A74" s="147"/>
      <c r="B74" s="97">
        <v>43630</v>
      </c>
      <c r="C74" s="107">
        <v>28</v>
      </c>
      <c r="D74" s="150"/>
      <c r="E74" s="150"/>
      <c r="F74" s="100">
        <v>337</v>
      </c>
      <c r="G74" s="7">
        <f t="shared" si="16"/>
        <v>3841.8</v>
      </c>
      <c r="H74" s="100">
        <v>6</v>
      </c>
      <c r="I74" s="7">
        <f t="shared" si="17"/>
        <v>68.400000000000006</v>
      </c>
      <c r="J74" s="100"/>
      <c r="K74" s="7">
        <f t="shared" ref="K74:K137" si="66">J74*J$3</f>
        <v>0</v>
      </c>
      <c r="L74" s="100">
        <v>9</v>
      </c>
      <c r="M74" s="7">
        <f t="shared" ref="M74:M137" si="67">L74*L$3</f>
        <v>126</v>
      </c>
      <c r="N74" s="100">
        <v>8</v>
      </c>
      <c r="O74" s="7">
        <f t="shared" ref="O74:O137" si="68">N74*N$3</f>
        <v>112</v>
      </c>
      <c r="P74" s="100">
        <v>10</v>
      </c>
      <c r="Q74" s="7">
        <f t="shared" ref="Q74:Q137" si="69">P74*P$3</f>
        <v>135</v>
      </c>
      <c r="R74" s="8">
        <f t="shared" si="18"/>
        <v>0.46091111111111122</v>
      </c>
      <c r="S74" s="8">
        <f t="shared" si="60"/>
        <v>152.97142857142859</v>
      </c>
      <c r="T74" s="152"/>
      <c r="U74" s="180"/>
      <c r="V74" s="152"/>
      <c r="W74" s="152"/>
      <c r="X74" s="100"/>
      <c r="Y74" s="7">
        <f t="shared" si="19"/>
        <v>0</v>
      </c>
      <c r="Z74" s="100"/>
      <c r="AA74" s="7">
        <f t="shared" si="37"/>
        <v>0</v>
      </c>
      <c r="AB74" s="2"/>
      <c r="AC74" s="2"/>
      <c r="AD74" s="2"/>
      <c r="AE74" s="2"/>
      <c r="AF74" s="2"/>
      <c r="AG74" s="1"/>
      <c r="AH74" s="1"/>
      <c r="AI74" s="1"/>
      <c r="AJ74" s="1"/>
      <c r="AK74" s="1"/>
      <c r="AL74" s="1"/>
      <c r="AM74" s="1"/>
      <c r="AN74" s="1"/>
      <c r="AO74" s="1"/>
      <c r="AP74" s="1"/>
      <c r="AQ74" s="1"/>
    </row>
    <row r="75" spans="1:43" ht="17.25" thickBot="1" x14ac:dyDescent="0.35">
      <c r="A75" s="147"/>
      <c r="B75" s="98"/>
      <c r="C75" s="108"/>
      <c r="D75" s="151"/>
      <c r="E75" s="151"/>
      <c r="F75" s="101"/>
      <c r="G75" s="7">
        <f t="shared" ref="G75:G138" si="70">F75*F$3</f>
        <v>0</v>
      </c>
      <c r="H75" s="101"/>
      <c r="I75" s="7">
        <f t="shared" ref="I75:I138" si="71">H75*H$3</f>
        <v>0</v>
      </c>
      <c r="J75" s="101"/>
      <c r="K75" s="7">
        <f t="shared" si="66"/>
        <v>0</v>
      </c>
      <c r="L75" s="101"/>
      <c r="M75" s="7">
        <f t="shared" si="67"/>
        <v>0</v>
      </c>
      <c r="N75" s="101"/>
      <c r="O75" s="7">
        <f t="shared" si="68"/>
        <v>0</v>
      </c>
      <c r="P75" s="101"/>
      <c r="Q75" s="7">
        <f t="shared" si="69"/>
        <v>0</v>
      </c>
      <c r="R75" s="8">
        <f t="shared" ref="R75:R138" si="72">(G75+I75+M75+O75+K75)/F$1</f>
        <v>0</v>
      </c>
      <c r="S75" s="8" t="str">
        <f t="shared" si="60"/>
        <v/>
      </c>
      <c r="T75" s="152"/>
      <c r="U75" s="181"/>
      <c r="V75" s="152"/>
      <c r="W75" s="152"/>
      <c r="X75" s="101"/>
      <c r="Y75" s="7">
        <f t="shared" ref="Y75:Y138" si="73">X75*X$3</f>
        <v>0</v>
      </c>
      <c r="Z75" s="101"/>
      <c r="AA75" s="7">
        <f t="shared" si="37"/>
        <v>0</v>
      </c>
      <c r="AB75" s="2"/>
      <c r="AC75" s="2"/>
      <c r="AD75" s="2"/>
      <c r="AE75" s="2"/>
      <c r="AF75" s="2"/>
      <c r="AG75" s="1"/>
      <c r="AH75" s="1"/>
      <c r="AI75" s="1"/>
      <c r="AJ75" s="1"/>
      <c r="AK75" s="1"/>
      <c r="AL75" s="1"/>
      <c r="AM75" s="1"/>
      <c r="AN75" s="1"/>
      <c r="AO75" s="1"/>
      <c r="AP75" s="1"/>
      <c r="AQ75" s="1"/>
    </row>
    <row r="76" spans="1:43" ht="17.25" thickBot="1" x14ac:dyDescent="0.35">
      <c r="A76" s="146">
        <v>25</v>
      </c>
      <c r="B76" s="105">
        <v>43633</v>
      </c>
      <c r="C76" s="106">
        <v>18</v>
      </c>
      <c r="D76" s="149">
        <f t="shared" ref="D76" si="74">SUM(G76:G81,I76:I81,K76:K81)</f>
        <v>19482.600000000002</v>
      </c>
      <c r="E76" s="149">
        <f t="shared" ref="E76" si="75">SUM(G76:G81,I76:I81,M76:M81,O76:O81,Q76:Q81,K76:K81)</f>
        <v>21465.600000000002</v>
      </c>
      <c r="F76" s="99">
        <v>210</v>
      </c>
      <c r="G76" s="40">
        <f t="shared" si="70"/>
        <v>2394</v>
      </c>
      <c r="H76" s="99">
        <v>3</v>
      </c>
      <c r="I76" s="40">
        <f t="shared" si="71"/>
        <v>34.200000000000003</v>
      </c>
      <c r="J76" s="99"/>
      <c r="K76" s="40">
        <f t="shared" si="66"/>
        <v>0</v>
      </c>
      <c r="L76" s="99">
        <v>5</v>
      </c>
      <c r="M76" s="40">
        <f t="shared" si="67"/>
        <v>70</v>
      </c>
      <c r="N76" s="99">
        <v>5</v>
      </c>
      <c r="O76" s="40">
        <f t="shared" si="68"/>
        <v>70</v>
      </c>
      <c r="P76" s="99">
        <v>11</v>
      </c>
      <c r="Q76" s="40">
        <f t="shared" si="69"/>
        <v>148.5</v>
      </c>
      <c r="R76" s="34">
        <f t="shared" si="72"/>
        <v>0.28535555555555553</v>
      </c>
      <c r="S76" s="34">
        <f t="shared" si="60"/>
        <v>150.92777777777778</v>
      </c>
      <c r="T76" s="152">
        <f>AVERAGE(S76:S81)</f>
        <v>148.57796999989759</v>
      </c>
      <c r="U76" s="179">
        <f t="shared" ref="U76" si="76">(SUM(G76:G81)+SUM(I76:I81))/$F$1</f>
        <v>2.164733333333333</v>
      </c>
      <c r="V76" s="152">
        <f t="shared" ref="V76" si="77">SUM(R76:R81)</f>
        <v>2.2860666666666667</v>
      </c>
      <c r="W76" s="152">
        <v>1.5121111111111112</v>
      </c>
      <c r="X76" s="99"/>
      <c r="Y76" s="40">
        <f t="shared" si="73"/>
        <v>0</v>
      </c>
      <c r="Z76" s="99"/>
      <c r="AA76" s="40">
        <f t="shared" si="37"/>
        <v>0</v>
      </c>
      <c r="AB76" s="2"/>
      <c r="AC76" s="2"/>
      <c r="AD76" s="2"/>
      <c r="AE76" s="2"/>
      <c r="AF76" s="2"/>
      <c r="AG76" s="1"/>
      <c r="AH76" s="1"/>
      <c r="AI76" s="1"/>
      <c r="AJ76" s="1"/>
      <c r="AK76" s="1"/>
      <c r="AL76" s="1"/>
      <c r="AM76" s="1"/>
      <c r="AN76" s="1"/>
      <c r="AO76" s="1"/>
      <c r="AP76" s="1"/>
      <c r="AQ76" s="1"/>
    </row>
    <row r="77" spans="1:43" ht="17.25" thickBot="1" x14ac:dyDescent="0.35">
      <c r="A77" s="147"/>
      <c r="B77" s="97">
        <v>43634</v>
      </c>
      <c r="C77" s="107">
        <v>27</v>
      </c>
      <c r="D77" s="150"/>
      <c r="E77" s="150"/>
      <c r="F77" s="100">
        <v>315</v>
      </c>
      <c r="G77" s="7">
        <f t="shared" si="70"/>
        <v>3591</v>
      </c>
      <c r="H77" s="100">
        <v>5</v>
      </c>
      <c r="I77" s="7">
        <f t="shared" si="71"/>
        <v>57</v>
      </c>
      <c r="J77" s="100"/>
      <c r="K77" s="7">
        <f t="shared" si="66"/>
        <v>0</v>
      </c>
      <c r="L77" s="100">
        <v>7</v>
      </c>
      <c r="M77" s="7">
        <f t="shared" si="67"/>
        <v>98</v>
      </c>
      <c r="N77" s="100">
        <v>6</v>
      </c>
      <c r="O77" s="7">
        <f t="shared" si="68"/>
        <v>84</v>
      </c>
      <c r="P77" s="100">
        <v>20</v>
      </c>
      <c r="Q77" s="7">
        <f t="shared" si="69"/>
        <v>270</v>
      </c>
      <c r="R77" s="8">
        <f t="shared" si="72"/>
        <v>0.42555555555555558</v>
      </c>
      <c r="S77" s="8">
        <f t="shared" si="60"/>
        <v>151.85185185185185</v>
      </c>
      <c r="T77" s="152"/>
      <c r="U77" s="180"/>
      <c r="V77" s="152"/>
      <c r="W77" s="152"/>
      <c r="X77" s="100"/>
      <c r="Y77" s="7">
        <f t="shared" si="73"/>
        <v>0</v>
      </c>
      <c r="Z77" s="100"/>
      <c r="AA77" s="7">
        <f t="shared" si="37"/>
        <v>0</v>
      </c>
      <c r="AB77" s="2"/>
      <c r="AC77" s="2"/>
      <c r="AD77" s="2"/>
      <c r="AE77" s="2"/>
      <c r="AF77" s="2"/>
      <c r="AG77" s="1"/>
      <c r="AH77" s="1"/>
      <c r="AI77" s="1"/>
      <c r="AJ77" s="1"/>
      <c r="AK77" s="1"/>
      <c r="AL77" s="1"/>
      <c r="AM77" s="1"/>
      <c r="AN77" s="1"/>
      <c r="AO77" s="1"/>
      <c r="AP77" s="1"/>
      <c r="AQ77" s="1"/>
    </row>
    <row r="78" spans="1:43" ht="17.25" thickBot="1" x14ac:dyDescent="0.35">
      <c r="A78" s="147"/>
      <c r="B78" s="97">
        <v>43635</v>
      </c>
      <c r="C78" s="107">
        <v>27.75</v>
      </c>
      <c r="D78" s="150"/>
      <c r="E78" s="150"/>
      <c r="F78" s="100">
        <v>315</v>
      </c>
      <c r="G78" s="7">
        <f t="shared" si="70"/>
        <v>3591</v>
      </c>
      <c r="H78" s="100">
        <v>8</v>
      </c>
      <c r="I78" s="7">
        <f t="shared" si="71"/>
        <v>91.2</v>
      </c>
      <c r="J78" s="100"/>
      <c r="K78" s="7">
        <f t="shared" si="66"/>
        <v>0</v>
      </c>
      <c r="L78" s="100">
        <v>8</v>
      </c>
      <c r="M78" s="7">
        <f t="shared" si="67"/>
        <v>112</v>
      </c>
      <c r="N78" s="100">
        <v>5</v>
      </c>
      <c r="O78" s="7">
        <f t="shared" si="68"/>
        <v>70</v>
      </c>
      <c r="P78" s="100">
        <v>11</v>
      </c>
      <c r="Q78" s="7">
        <f t="shared" si="69"/>
        <v>148.5</v>
      </c>
      <c r="R78" s="8">
        <f t="shared" si="72"/>
        <v>0.42935555555555555</v>
      </c>
      <c r="S78" s="8">
        <f t="shared" si="60"/>
        <v>144.6018018018018</v>
      </c>
      <c r="T78" s="152"/>
      <c r="U78" s="180"/>
      <c r="V78" s="152"/>
      <c r="W78" s="152"/>
      <c r="X78" s="100"/>
      <c r="Y78" s="7">
        <f t="shared" si="73"/>
        <v>0</v>
      </c>
      <c r="Z78" s="100"/>
      <c r="AA78" s="7">
        <f t="shared" si="37"/>
        <v>0</v>
      </c>
      <c r="AB78" s="2"/>
      <c r="AC78" s="2"/>
      <c r="AD78" s="2"/>
      <c r="AE78" s="2"/>
      <c r="AF78" s="2"/>
      <c r="AG78" s="1"/>
      <c r="AH78" s="1"/>
      <c r="AI78" s="1"/>
      <c r="AJ78" s="1"/>
      <c r="AK78" s="1"/>
      <c r="AL78" s="1"/>
      <c r="AM78" s="1"/>
      <c r="AN78" s="1"/>
      <c r="AO78" s="1"/>
      <c r="AP78" s="1"/>
      <c r="AQ78" s="1"/>
    </row>
    <row r="79" spans="1:43" ht="17.25" thickBot="1" x14ac:dyDescent="0.35">
      <c r="A79" s="147"/>
      <c r="B79" s="97">
        <v>43636</v>
      </c>
      <c r="C79" s="107">
        <v>31</v>
      </c>
      <c r="D79" s="150"/>
      <c r="E79" s="150"/>
      <c r="F79" s="100">
        <v>360</v>
      </c>
      <c r="G79" s="7">
        <f t="shared" si="70"/>
        <v>4104</v>
      </c>
      <c r="H79" s="100">
        <v>6</v>
      </c>
      <c r="I79" s="7">
        <f t="shared" si="71"/>
        <v>68.400000000000006</v>
      </c>
      <c r="J79" s="100"/>
      <c r="K79" s="7">
        <f t="shared" si="66"/>
        <v>0</v>
      </c>
      <c r="L79" s="100">
        <v>12</v>
      </c>
      <c r="M79" s="7">
        <f t="shared" si="67"/>
        <v>168</v>
      </c>
      <c r="N79" s="100">
        <v>7</v>
      </c>
      <c r="O79" s="7">
        <f t="shared" si="68"/>
        <v>98</v>
      </c>
      <c r="P79" s="100">
        <v>11</v>
      </c>
      <c r="Q79" s="7">
        <f t="shared" si="69"/>
        <v>148.5</v>
      </c>
      <c r="R79" s="8">
        <f t="shared" si="72"/>
        <v>0.49315555555555551</v>
      </c>
      <c r="S79" s="8">
        <f t="shared" si="60"/>
        <v>147.96451612903223</v>
      </c>
      <c r="T79" s="152"/>
      <c r="U79" s="180"/>
      <c r="V79" s="152"/>
      <c r="W79" s="152"/>
      <c r="X79" s="100"/>
      <c r="Y79" s="7">
        <f t="shared" si="73"/>
        <v>0</v>
      </c>
      <c r="Z79" s="100"/>
      <c r="AA79" s="7">
        <f t="shared" si="37"/>
        <v>0</v>
      </c>
      <c r="AB79" s="2"/>
      <c r="AC79" s="2"/>
      <c r="AD79" s="2"/>
      <c r="AE79" s="2"/>
      <c r="AF79" s="2"/>
      <c r="AG79" s="1"/>
      <c r="AH79" s="1"/>
      <c r="AI79" s="1"/>
      <c r="AJ79" s="1"/>
      <c r="AK79" s="1"/>
      <c r="AL79" s="1"/>
      <c r="AM79" s="1"/>
      <c r="AN79" s="1"/>
      <c r="AO79" s="1"/>
      <c r="AP79" s="1"/>
      <c r="AQ79" s="1"/>
    </row>
    <row r="80" spans="1:43" ht="17.25" thickBot="1" x14ac:dyDescent="0.35">
      <c r="A80" s="147"/>
      <c r="B80" s="97">
        <v>43637</v>
      </c>
      <c r="C80" s="107">
        <v>41</v>
      </c>
      <c r="D80" s="150"/>
      <c r="E80" s="150"/>
      <c r="F80" s="100">
        <v>480</v>
      </c>
      <c r="G80" s="7">
        <f t="shared" si="70"/>
        <v>5472</v>
      </c>
      <c r="H80" s="100">
        <v>7</v>
      </c>
      <c r="I80" s="7">
        <f t="shared" si="71"/>
        <v>79.8</v>
      </c>
      <c r="J80" s="100"/>
      <c r="K80" s="7">
        <f t="shared" si="66"/>
        <v>0</v>
      </c>
      <c r="L80" s="100">
        <v>11</v>
      </c>
      <c r="M80" s="7">
        <f t="shared" si="67"/>
        <v>154</v>
      </c>
      <c r="N80" s="100">
        <v>12</v>
      </c>
      <c r="O80" s="7">
        <f t="shared" si="68"/>
        <v>168</v>
      </c>
      <c r="P80" s="100">
        <v>13</v>
      </c>
      <c r="Q80" s="7">
        <f t="shared" si="69"/>
        <v>175.5</v>
      </c>
      <c r="R80" s="8">
        <f t="shared" si="72"/>
        <v>0.65264444444444447</v>
      </c>
      <c r="S80" s="8">
        <f t="shared" si="60"/>
        <v>147.54390243902441</v>
      </c>
      <c r="T80" s="152"/>
      <c r="U80" s="180"/>
      <c r="V80" s="152"/>
      <c r="W80" s="152"/>
      <c r="X80" s="100">
        <v>1</v>
      </c>
      <c r="Y80" s="7">
        <f t="shared" si="73"/>
        <v>11.4</v>
      </c>
      <c r="Z80" s="100">
        <v>1</v>
      </c>
      <c r="AA80" s="7">
        <f t="shared" si="37"/>
        <v>11.4</v>
      </c>
      <c r="AB80" s="2"/>
      <c r="AC80" s="2"/>
      <c r="AD80" s="2"/>
      <c r="AE80" s="2"/>
      <c r="AF80" s="2"/>
      <c r="AG80" s="1"/>
      <c r="AH80" s="1"/>
      <c r="AI80" s="1"/>
      <c r="AJ80" s="1"/>
      <c r="AK80" s="1"/>
      <c r="AL80" s="1"/>
      <c r="AM80" s="1"/>
      <c r="AN80" s="1"/>
      <c r="AO80" s="1"/>
      <c r="AP80" s="1"/>
      <c r="AQ80" s="1"/>
    </row>
    <row r="81" spans="1:43" ht="17.25" thickBot="1" x14ac:dyDescent="0.35">
      <c r="A81" s="148"/>
      <c r="B81" s="98"/>
      <c r="C81" s="108"/>
      <c r="D81" s="151"/>
      <c r="E81" s="151"/>
      <c r="F81" s="101"/>
      <c r="G81" s="39">
        <f t="shared" si="70"/>
        <v>0</v>
      </c>
      <c r="H81" s="101"/>
      <c r="I81" s="39">
        <f t="shared" si="71"/>
        <v>0</v>
      </c>
      <c r="J81" s="101"/>
      <c r="K81" s="39">
        <f t="shared" si="66"/>
        <v>0</v>
      </c>
      <c r="L81" s="101"/>
      <c r="M81" s="39">
        <f t="shared" si="67"/>
        <v>0</v>
      </c>
      <c r="N81" s="101"/>
      <c r="O81" s="39">
        <f t="shared" si="68"/>
        <v>0</v>
      </c>
      <c r="P81" s="101"/>
      <c r="Q81" s="39">
        <f t="shared" si="69"/>
        <v>0</v>
      </c>
      <c r="R81" s="36">
        <f t="shared" si="72"/>
        <v>0</v>
      </c>
      <c r="S81" s="36" t="str">
        <f t="shared" si="60"/>
        <v/>
      </c>
      <c r="T81" s="152"/>
      <c r="U81" s="181"/>
      <c r="V81" s="152"/>
      <c r="W81" s="152"/>
      <c r="X81" s="101"/>
      <c r="Y81" s="39">
        <f t="shared" si="73"/>
        <v>0</v>
      </c>
      <c r="Z81" s="101"/>
      <c r="AA81" s="39">
        <f t="shared" si="37"/>
        <v>0</v>
      </c>
      <c r="AB81" s="2"/>
      <c r="AC81" s="2"/>
      <c r="AD81" s="2"/>
      <c r="AE81" s="2"/>
      <c r="AF81" s="2"/>
      <c r="AG81" s="1"/>
      <c r="AH81" s="1"/>
      <c r="AI81" s="1"/>
      <c r="AJ81" s="1"/>
      <c r="AK81" s="1"/>
      <c r="AL81" s="1"/>
      <c r="AM81" s="1"/>
      <c r="AN81" s="1"/>
      <c r="AO81" s="1"/>
      <c r="AP81" s="1"/>
      <c r="AQ81" s="1"/>
    </row>
    <row r="82" spans="1:43" ht="17.25" thickBot="1" x14ac:dyDescent="0.35">
      <c r="A82" s="147">
        <v>26</v>
      </c>
      <c r="B82" s="105">
        <v>43640</v>
      </c>
      <c r="C82" s="106">
        <v>14</v>
      </c>
      <c r="D82" s="149">
        <f t="shared" ref="D82" si="78">SUM(G82:G87,I82:I87,K82:K87)</f>
        <v>19203.300000000003</v>
      </c>
      <c r="E82" s="149">
        <f t="shared" ref="E82" si="79">SUM(G82:G87,I82:I87,M82:M87,O82:O87,Q82:Q87,K82:K87)</f>
        <v>21166.800000000003</v>
      </c>
      <c r="F82" s="99">
        <v>165</v>
      </c>
      <c r="G82" s="7">
        <f t="shared" si="70"/>
        <v>1881</v>
      </c>
      <c r="H82" s="99">
        <v>3.5</v>
      </c>
      <c r="I82" s="7">
        <f t="shared" si="71"/>
        <v>39.9</v>
      </c>
      <c r="J82" s="99"/>
      <c r="K82" s="7">
        <f t="shared" si="66"/>
        <v>0</v>
      </c>
      <c r="L82" s="99">
        <v>3</v>
      </c>
      <c r="M82" s="7">
        <f t="shared" si="67"/>
        <v>42</v>
      </c>
      <c r="N82" s="99">
        <v>2.5</v>
      </c>
      <c r="O82" s="7">
        <f t="shared" si="68"/>
        <v>35</v>
      </c>
      <c r="P82" s="99">
        <v>9</v>
      </c>
      <c r="Q82" s="7">
        <f t="shared" si="69"/>
        <v>121.5</v>
      </c>
      <c r="R82" s="8">
        <f t="shared" si="72"/>
        <v>0.2219888888888889</v>
      </c>
      <c r="S82" s="8">
        <f t="shared" si="60"/>
        <v>151.3857142857143</v>
      </c>
      <c r="T82" s="152">
        <f t="shared" ref="T82" si="80">AVERAGE(S82:S87)</f>
        <v>149.782886122592</v>
      </c>
      <c r="U82" s="179">
        <f t="shared" ref="U82" si="81">(SUM(G82:G87)+SUM(I82:I87))/$F$1</f>
        <v>2.1336999999999997</v>
      </c>
      <c r="V82" s="152">
        <f t="shared" ref="V82" si="82">SUM(R82:R87)</f>
        <v>2.2573666666666665</v>
      </c>
      <c r="W82" s="152">
        <v>2.2292444444444444</v>
      </c>
      <c r="X82" s="99"/>
      <c r="Y82" s="7">
        <f t="shared" si="73"/>
        <v>0</v>
      </c>
      <c r="Z82" s="99"/>
      <c r="AA82" s="7">
        <f t="shared" si="37"/>
        <v>0</v>
      </c>
      <c r="AB82" s="2"/>
      <c r="AC82" s="2"/>
      <c r="AD82" s="2"/>
      <c r="AE82" s="2"/>
      <c r="AF82" s="2"/>
      <c r="AG82" s="1"/>
      <c r="AH82" s="1"/>
      <c r="AI82" s="1"/>
      <c r="AJ82" s="1"/>
      <c r="AK82" s="1"/>
      <c r="AL82" s="1"/>
      <c r="AM82" s="1"/>
      <c r="AN82" s="1"/>
      <c r="AO82" s="1"/>
      <c r="AP82" s="1"/>
      <c r="AQ82" s="1"/>
    </row>
    <row r="83" spans="1:43" ht="17.25" thickBot="1" x14ac:dyDescent="0.35">
      <c r="A83" s="147"/>
      <c r="B83" s="97">
        <v>43641</v>
      </c>
      <c r="C83" s="107">
        <v>18</v>
      </c>
      <c r="D83" s="150"/>
      <c r="E83" s="150"/>
      <c r="F83" s="100">
        <v>210</v>
      </c>
      <c r="G83" s="7">
        <f t="shared" si="70"/>
        <v>2394</v>
      </c>
      <c r="H83" s="100">
        <v>7</v>
      </c>
      <c r="I83" s="7">
        <f t="shared" si="71"/>
        <v>79.8</v>
      </c>
      <c r="J83" s="100"/>
      <c r="K83" s="7">
        <f t="shared" si="66"/>
        <v>0</v>
      </c>
      <c r="L83" s="100">
        <v>5</v>
      </c>
      <c r="M83" s="7">
        <f t="shared" si="67"/>
        <v>70</v>
      </c>
      <c r="N83" s="100">
        <v>4</v>
      </c>
      <c r="O83" s="7">
        <f t="shared" si="68"/>
        <v>56</v>
      </c>
      <c r="P83" s="100">
        <v>12</v>
      </c>
      <c r="Q83" s="7">
        <f t="shared" si="69"/>
        <v>162</v>
      </c>
      <c r="R83" s="8">
        <f t="shared" si="72"/>
        <v>0.28886666666666666</v>
      </c>
      <c r="S83" s="8">
        <f t="shared" si="60"/>
        <v>153.43333333333334</v>
      </c>
      <c r="T83" s="152"/>
      <c r="U83" s="180"/>
      <c r="V83" s="152"/>
      <c r="W83" s="152"/>
      <c r="X83" s="100"/>
      <c r="Y83" s="7">
        <f t="shared" si="73"/>
        <v>0</v>
      </c>
      <c r="Z83" s="100"/>
      <c r="AA83" s="7">
        <f t="shared" si="37"/>
        <v>0</v>
      </c>
      <c r="AB83" s="2"/>
      <c r="AC83" s="2"/>
      <c r="AD83" s="2"/>
      <c r="AE83" s="2"/>
      <c r="AF83" s="2"/>
      <c r="AG83" s="1"/>
      <c r="AH83" s="1"/>
      <c r="AI83" s="1"/>
      <c r="AJ83" s="1"/>
      <c r="AK83" s="1"/>
      <c r="AL83" s="1"/>
      <c r="AM83" s="1"/>
      <c r="AN83" s="1"/>
      <c r="AO83" s="1"/>
      <c r="AP83" s="1"/>
      <c r="AQ83" s="1"/>
    </row>
    <row r="84" spans="1:43" ht="17.25" thickBot="1" x14ac:dyDescent="0.35">
      <c r="A84" s="147"/>
      <c r="B84" s="97">
        <v>43277</v>
      </c>
      <c r="C84" s="107">
        <v>27.5</v>
      </c>
      <c r="D84" s="150"/>
      <c r="E84" s="150"/>
      <c r="F84" s="100">
        <v>315</v>
      </c>
      <c r="G84" s="7">
        <f t="shared" si="70"/>
        <v>3591</v>
      </c>
      <c r="H84" s="100">
        <v>10</v>
      </c>
      <c r="I84" s="7">
        <f t="shared" si="71"/>
        <v>114</v>
      </c>
      <c r="J84" s="100"/>
      <c r="K84" s="7">
        <f t="shared" si="66"/>
        <v>0</v>
      </c>
      <c r="L84" s="100">
        <v>9</v>
      </c>
      <c r="M84" s="7">
        <f t="shared" si="67"/>
        <v>126</v>
      </c>
      <c r="N84" s="100">
        <v>4</v>
      </c>
      <c r="O84" s="7">
        <f t="shared" si="68"/>
        <v>56</v>
      </c>
      <c r="P84" s="100">
        <v>12</v>
      </c>
      <c r="Q84" s="7">
        <f t="shared" si="69"/>
        <v>162</v>
      </c>
      <c r="R84" s="8">
        <f t="shared" si="72"/>
        <v>0.43188888888888888</v>
      </c>
      <c r="S84" s="8">
        <f t="shared" si="60"/>
        <v>147.23636363636365</v>
      </c>
      <c r="T84" s="152"/>
      <c r="U84" s="180"/>
      <c r="V84" s="152"/>
      <c r="W84" s="152"/>
      <c r="X84" s="100"/>
      <c r="Y84" s="7">
        <f t="shared" si="73"/>
        <v>0</v>
      </c>
      <c r="Z84" s="100"/>
      <c r="AA84" s="7">
        <f t="shared" si="37"/>
        <v>0</v>
      </c>
      <c r="AB84" s="2"/>
      <c r="AC84" s="2"/>
      <c r="AD84" s="2"/>
      <c r="AE84" s="2"/>
      <c r="AF84" s="2"/>
      <c r="AG84" s="1"/>
      <c r="AH84" s="1"/>
      <c r="AI84" s="1"/>
      <c r="AJ84" s="1"/>
      <c r="AK84" s="1"/>
      <c r="AL84" s="1"/>
      <c r="AM84" s="1"/>
      <c r="AN84" s="1"/>
      <c r="AO84" s="1"/>
      <c r="AP84" s="1"/>
      <c r="AQ84" s="1"/>
    </row>
    <row r="85" spans="1:43" ht="17.25" thickBot="1" x14ac:dyDescent="0.35">
      <c r="A85" s="147"/>
      <c r="B85" s="97">
        <v>43643</v>
      </c>
      <c r="C85" s="107">
        <v>36</v>
      </c>
      <c r="D85" s="150"/>
      <c r="E85" s="150"/>
      <c r="F85" s="100">
        <v>420</v>
      </c>
      <c r="G85" s="7">
        <f t="shared" si="70"/>
        <v>4788</v>
      </c>
      <c r="H85" s="100">
        <v>5</v>
      </c>
      <c r="I85" s="7">
        <f t="shared" si="71"/>
        <v>57</v>
      </c>
      <c r="J85" s="100"/>
      <c r="K85" s="7">
        <f t="shared" si="66"/>
        <v>0</v>
      </c>
      <c r="L85" s="100">
        <v>11</v>
      </c>
      <c r="M85" s="7">
        <f t="shared" si="67"/>
        <v>154</v>
      </c>
      <c r="N85" s="100">
        <v>8</v>
      </c>
      <c r="O85" s="7">
        <f t="shared" si="68"/>
        <v>112</v>
      </c>
      <c r="P85" s="100">
        <v>8</v>
      </c>
      <c r="Q85" s="7">
        <f t="shared" si="69"/>
        <v>108</v>
      </c>
      <c r="R85" s="8">
        <f t="shared" si="72"/>
        <v>0.56788888888888889</v>
      </c>
      <c r="S85" s="8">
        <f t="shared" si="60"/>
        <v>144.97222222222223</v>
      </c>
      <c r="T85" s="152"/>
      <c r="U85" s="180"/>
      <c r="V85" s="152"/>
      <c r="W85" s="152"/>
      <c r="X85" s="100"/>
      <c r="Y85" s="7">
        <f t="shared" si="73"/>
        <v>0</v>
      </c>
      <c r="Z85" s="100"/>
      <c r="AA85" s="7">
        <f t="shared" si="37"/>
        <v>0</v>
      </c>
      <c r="AB85" s="2"/>
      <c r="AC85" s="2"/>
      <c r="AD85" s="2"/>
      <c r="AE85" s="2"/>
      <c r="AF85" s="2"/>
      <c r="AG85" s="1"/>
      <c r="AH85" s="1"/>
      <c r="AI85" s="1"/>
      <c r="AJ85" s="1"/>
      <c r="AK85" s="1"/>
      <c r="AL85" s="1"/>
      <c r="AM85" s="1"/>
      <c r="AN85" s="1"/>
      <c r="AO85" s="1"/>
      <c r="AP85" s="1"/>
      <c r="AQ85" s="1"/>
    </row>
    <row r="86" spans="1:43" ht="17.25" thickBot="1" x14ac:dyDescent="0.35">
      <c r="A86" s="147"/>
      <c r="B86" s="97">
        <v>43644</v>
      </c>
      <c r="C86" s="107">
        <v>34</v>
      </c>
      <c r="D86" s="150"/>
      <c r="E86" s="150"/>
      <c r="F86" s="100">
        <v>390</v>
      </c>
      <c r="G86" s="7">
        <f t="shared" si="70"/>
        <v>4446</v>
      </c>
      <c r="H86" s="100">
        <v>6</v>
      </c>
      <c r="I86" s="7">
        <f t="shared" si="71"/>
        <v>68.400000000000006</v>
      </c>
      <c r="J86" s="100"/>
      <c r="K86" s="7">
        <f t="shared" si="66"/>
        <v>0</v>
      </c>
      <c r="L86" s="100">
        <v>12</v>
      </c>
      <c r="M86" s="7">
        <f t="shared" si="67"/>
        <v>168</v>
      </c>
      <c r="N86" s="100">
        <v>12</v>
      </c>
      <c r="O86" s="7">
        <f t="shared" si="68"/>
        <v>168</v>
      </c>
      <c r="P86" s="100">
        <v>12</v>
      </c>
      <c r="Q86" s="7">
        <f t="shared" si="69"/>
        <v>162</v>
      </c>
      <c r="R86" s="8">
        <f t="shared" si="72"/>
        <v>0.53893333333333326</v>
      </c>
      <c r="S86" s="8">
        <f t="shared" si="60"/>
        <v>147.42352941176469</v>
      </c>
      <c r="T86" s="152"/>
      <c r="U86" s="180"/>
      <c r="V86" s="152"/>
      <c r="W86" s="152"/>
      <c r="X86" s="100">
        <v>2</v>
      </c>
      <c r="Y86" s="7">
        <f t="shared" si="73"/>
        <v>22.8</v>
      </c>
      <c r="Z86" s="100">
        <v>1</v>
      </c>
      <c r="AA86" s="7">
        <f t="shared" si="37"/>
        <v>11.4</v>
      </c>
      <c r="AB86" s="2"/>
      <c r="AC86" s="2"/>
      <c r="AD86" s="2"/>
      <c r="AE86" s="2"/>
      <c r="AF86" s="2"/>
      <c r="AG86" s="1"/>
      <c r="AH86" s="1"/>
      <c r="AI86" s="1"/>
      <c r="AJ86" s="1"/>
      <c r="AK86" s="1"/>
      <c r="AL86" s="1"/>
      <c r="AM86" s="1"/>
      <c r="AN86" s="1"/>
      <c r="AO86" s="1"/>
      <c r="AP86" s="1"/>
      <c r="AQ86" s="1"/>
    </row>
    <row r="87" spans="1:43" ht="17.25" thickBot="1" x14ac:dyDescent="0.35">
      <c r="A87" s="147"/>
      <c r="B87" s="98">
        <v>43645</v>
      </c>
      <c r="C87" s="108">
        <v>13</v>
      </c>
      <c r="D87" s="151"/>
      <c r="E87" s="151"/>
      <c r="F87" s="101">
        <v>150</v>
      </c>
      <c r="G87" s="7">
        <f t="shared" si="70"/>
        <v>1710</v>
      </c>
      <c r="H87" s="101">
        <v>3</v>
      </c>
      <c r="I87" s="7">
        <f t="shared" si="71"/>
        <v>34.200000000000003</v>
      </c>
      <c r="J87" s="101"/>
      <c r="K87" s="7">
        <f t="shared" si="66"/>
        <v>0</v>
      </c>
      <c r="L87" s="101">
        <v>3</v>
      </c>
      <c r="M87" s="7">
        <f t="shared" si="67"/>
        <v>42</v>
      </c>
      <c r="N87" s="101">
        <v>6</v>
      </c>
      <c r="O87" s="7">
        <f t="shared" si="68"/>
        <v>84</v>
      </c>
      <c r="P87" s="101">
        <v>10</v>
      </c>
      <c r="Q87" s="7">
        <f t="shared" si="69"/>
        <v>135</v>
      </c>
      <c r="R87" s="8">
        <f t="shared" si="72"/>
        <v>0.20780000000000001</v>
      </c>
      <c r="S87" s="8">
        <f t="shared" si="60"/>
        <v>154.24615384615385</v>
      </c>
      <c r="T87" s="152"/>
      <c r="U87" s="181"/>
      <c r="V87" s="152"/>
      <c r="W87" s="152"/>
      <c r="X87" s="101"/>
      <c r="Y87" s="7">
        <f t="shared" si="73"/>
        <v>0</v>
      </c>
      <c r="Z87" s="101"/>
      <c r="AA87" s="7">
        <f t="shared" si="37"/>
        <v>0</v>
      </c>
      <c r="AB87" s="2"/>
      <c r="AC87" s="2"/>
      <c r="AD87" s="2"/>
      <c r="AE87" s="2"/>
      <c r="AF87" s="2"/>
      <c r="AG87" s="1"/>
      <c r="AH87" s="1"/>
      <c r="AI87" s="1"/>
      <c r="AJ87" s="1"/>
      <c r="AK87" s="1"/>
      <c r="AL87" s="1"/>
      <c r="AM87" s="1"/>
      <c r="AN87" s="1"/>
      <c r="AO87" s="1"/>
      <c r="AP87" s="1"/>
      <c r="AQ87" s="1"/>
    </row>
    <row r="88" spans="1:43" ht="17.25" thickBot="1" x14ac:dyDescent="0.35">
      <c r="A88" s="146">
        <v>27</v>
      </c>
      <c r="B88" s="105">
        <v>43647</v>
      </c>
      <c r="C88" s="106">
        <v>19.25</v>
      </c>
      <c r="D88" s="149">
        <f t="shared" ref="D88" si="83">SUM(G88:G93,I88:I93,K88:K93)</f>
        <v>20463.000000000007</v>
      </c>
      <c r="E88" s="149">
        <f t="shared" ref="E88" si="84">SUM(G88:G93,I88:I93,M88:M93,O88:O93,Q88:Q93,K88:K93)</f>
        <v>22983.500000000007</v>
      </c>
      <c r="F88" s="99">
        <v>210</v>
      </c>
      <c r="G88" s="40">
        <f t="shared" si="70"/>
        <v>2394</v>
      </c>
      <c r="H88" s="99">
        <v>6</v>
      </c>
      <c r="I88" s="40">
        <f t="shared" si="71"/>
        <v>68.400000000000006</v>
      </c>
      <c r="J88" s="99"/>
      <c r="K88" s="40">
        <f t="shared" si="66"/>
        <v>0</v>
      </c>
      <c r="L88" s="99">
        <v>5</v>
      </c>
      <c r="M88" s="40">
        <f t="shared" si="67"/>
        <v>70</v>
      </c>
      <c r="N88" s="99">
        <v>7</v>
      </c>
      <c r="O88" s="40">
        <f t="shared" si="68"/>
        <v>98</v>
      </c>
      <c r="P88" s="99">
        <v>8</v>
      </c>
      <c r="Q88" s="40">
        <f t="shared" si="69"/>
        <v>108</v>
      </c>
      <c r="R88" s="34">
        <f t="shared" si="72"/>
        <v>0.29226666666666667</v>
      </c>
      <c r="S88" s="34">
        <f t="shared" si="60"/>
        <v>142.25454545454545</v>
      </c>
      <c r="T88" s="152">
        <f>AVERAGE(S88:S93)</f>
        <v>148.64560583600107</v>
      </c>
      <c r="U88" s="179">
        <f t="shared" ref="U88" si="85">(SUM(G88:G93)+SUM(I88:I93))/$F$1</f>
        <v>2.2736666666666667</v>
      </c>
      <c r="V88" s="152">
        <f t="shared" ref="V88" si="86">SUM(R88:R93)</f>
        <v>2.4292222222222222</v>
      </c>
      <c r="W88" s="152">
        <v>2.3162444444444441</v>
      </c>
      <c r="X88" s="99"/>
      <c r="Y88" s="40">
        <f t="shared" si="73"/>
        <v>0</v>
      </c>
      <c r="Z88" s="99"/>
      <c r="AA88" s="40">
        <f t="shared" si="37"/>
        <v>0</v>
      </c>
      <c r="AB88" s="2"/>
      <c r="AC88" s="2"/>
      <c r="AD88" s="2"/>
      <c r="AE88" s="2"/>
      <c r="AF88" s="2"/>
      <c r="AG88" s="1"/>
      <c r="AH88" s="1"/>
      <c r="AI88" s="1"/>
      <c r="AJ88" s="1"/>
      <c r="AK88" s="1"/>
      <c r="AL88" s="1"/>
      <c r="AM88" s="1"/>
      <c r="AN88" s="1"/>
      <c r="AO88" s="1"/>
      <c r="AP88" s="1"/>
      <c r="AQ88" s="1"/>
    </row>
    <row r="89" spans="1:43" ht="17.25" thickBot="1" x14ac:dyDescent="0.35">
      <c r="A89" s="147"/>
      <c r="B89" s="97">
        <v>43648</v>
      </c>
      <c r="C89" s="107">
        <v>23.5</v>
      </c>
      <c r="D89" s="150"/>
      <c r="E89" s="150"/>
      <c r="F89" s="100">
        <v>240</v>
      </c>
      <c r="G89" s="7">
        <f t="shared" si="70"/>
        <v>2736</v>
      </c>
      <c r="H89" s="100">
        <v>13</v>
      </c>
      <c r="I89" s="7">
        <f t="shared" si="71"/>
        <v>148.20000000000002</v>
      </c>
      <c r="J89" s="100"/>
      <c r="K89" s="7">
        <f t="shared" si="66"/>
        <v>0</v>
      </c>
      <c r="L89" s="100">
        <v>10</v>
      </c>
      <c r="M89" s="7">
        <f t="shared" si="67"/>
        <v>140</v>
      </c>
      <c r="N89" s="100">
        <v>8</v>
      </c>
      <c r="O89" s="7">
        <f t="shared" si="68"/>
        <v>112</v>
      </c>
      <c r="P89" s="100">
        <v>23</v>
      </c>
      <c r="Q89" s="7">
        <f t="shared" si="69"/>
        <v>310.5</v>
      </c>
      <c r="R89" s="8">
        <f t="shared" si="72"/>
        <v>0.34846666666666665</v>
      </c>
      <c r="S89" s="8">
        <f t="shared" si="60"/>
        <v>146.66808510638296</v>
      </c>
      <c r="T89" s="152"/>
      <c r="U89" s="180"/>
      <c r="V89" s="152"/>
      <c r="W89" s="152"/>
      <c r="X89" s="100"/>
      <c r="Y89" s="7">
        <f t="shared" si="73"/>
        <v>0</v>
      </c>
      <c r="Z89" s="100"/>
      <c r="AA89" s="7">
        <f t="shared" si="37"/>
        <v>0</v>
      </c>
      <c r="AB89" s="2"/>
      <c r="AC89" s="2"/>
      <c r="AD89" s="2"/>
      <c r="AE89" s="2"/>
      <c r="AF89" s="2"/>
      <c r="AG89" s="1"/>
      <c r="AH89" s="1"/>
      <c r="AI89" s="1"/>
      <c r="AJ89" s="1"/>
      <c r="AK89" s="1"/>
      <c r="AL89" s="1"/>
      <c r="AM89" s="1"/>
      <c r="AN89" s="1"/>
      <c r="AO89" s="1"/>
      <c r="AP89" s="1"/>
      <c r="AQ89" s="1"/>
    </row>
    <row r="90" spans="1:43" ht="17.25" thickBot="1" x14ac:dyDescent="0.35">
      <c r="A90" s="147"/>
      <c r="B90" s="97">
        <v>43649</v>
      </c>
      <c r="C90" s="107">
        <v>23</v>
      </c>
      <c r="D90" s="150"/>
      <c r="E90" s="150"/>
      <c r="F90" s="100">
        <v>270</v>
      </c>
      <c r="G90" s="7">
        <f t="shared" si="70"/>
        <v>3078</v>
      </c>
      <c r="H90" s="100">
        <v>8</v>
      </c>
      <c r="I90" s="7">
        <f t="shared" si="71"/>
        <v>91.2</v>
      </c>
      <c r="J90" s="100"/>
      <c r="K90" s="7">
        <f t="shared" si="66"/>
        <v>0</v>
      </c>
      <c r="L90" s="100">
        <v>8</v>
      </c>
      <c r="M90" s="7">
        <f t="shared" si="67"/>
        <v>112</v>
      </c>
      <c r="N90" s="100">
        <v>8</v>
      </c>
      <c r="O90" s="7">
        <f t="shared" si="68"/>
        <v>112</v>
      </c>
      <c r="P90" s="100">
        <v>14</v>
      </c>
      <c r="Q90" s="7">
        <f t="shared" si="69"/>
        <v>189</v>
      </c>
      <c r="R90" s="8">
        <f t="shared" si="72"/>
        <v>0.3770222222222222</v>
      </c>
      <c r="S90" s="8">
        <f t="shared" si="60"/>
        <v>155.74782608695651</v>
      </c>
      <c r="T90" s="152"/>
      <c r="U90" s="180"/>
      <c r="V90" s="152"/>
      <c r="W90" s="152"/>
      <c r="X90" s="100"/>
      <c r="Y90" s="7">
        <f t="shared" si="73"/>
        <v>0</v>
      </c>
      <c r="Z90" s="100"/>
      <c r="AA90" s="7">
        <f t="shared" si="37"/>
        <v>0</v>
      </c>
      <c r="AB90" s="2"/>
      <c r="AC90" s="2"/>
      <c r="AD90" s="2"/>
      <c r="AE90" s="2"/>
      <c r="AF90" s="2"/>
      <c r="AG90" s="1"/>
      <c r="AH90" s="1"/>
      <c r="AI90" s="1"/>
      <c r="AJ90" s="1"/>
      <c r="AK90" s="1"/>
      <c r="AL90" s="1"/>
      <c r="AM90" s="1"/>
      <c r="AN90" s="1"/>
      <c r="AO90" s="1"/>
      <c r="AP90" s="1"/>
      <c r="AQ90" s="1"/>
    </row>
    <row r="91" spans="1:43" ht="17.25" thickBot="1" x14ac:dyDescent="0.35">
      <c r="A91" s="147"/>
      <c r="B91" s="97">
        <v>43650</v>
      </c>
      <c r="C91" s="107">
        <v>31</v>
      </c>
      <c r="D91" s="150"/>
      <c r="E91" s="150"/>
      <c r="F91" s="100">
        <v>360</v>
      </c>
      <c r="G91" s="7">
        <f t="shared" si="70"/>
        <v>4104</v>
      </c>
      <c r="H91" s="100">
        <v>6</v>
      </c>
      <c r="I91" s="7">
        <f t="shared" si="71"/>
        <v>68.400000000000006</v>
      </c>
      <c r="J91" s="100"/>
      <c r="K91" s="7">
        <f t="shared" si="66"/>
        <v>0</v>
      </c>
      <c r="L91" s="100">
        <v>9</v>
      </c>
      <c r="M91" s="7">
        <f t="shared" si="67"/>
        <v>126</v>
      </c>
      <c r="N91" s="100">
        <v>9</v>
      </c>
      <c r="O91" s="7">
        <f t="shared" si="68"/>
        <v>126</v>
      </c>
      <c r="P91" s="100">
        <v>14</v>
      </c>
      <c r="Q91" s="7">
        <f t="shared" si="69"/>
        <v>189</v>
      </c>
      <c r="R91" s="8">
        <f t="shared" si="72"/>
        <v>0.49159999999999998</v>
      </c>
      <c r="S91" s="8">
        <f t="shared" si="60"/>
        <v>148.81935483870967</v>
      </c>
      <c r="T91" s="152"/>
      <c r="U91" s="180"/>
      <c r="V91" s="152"/>
      <c r="W91" s="152"/>
      <c r="X91" s="100">
        <v>1</v>
      </c>
      <c r="Y91" s="7">
        <f t="shared" si="73"/>
        <v>11.4</v>
      </c>
      <c r="Z91" s="100">
        <v>1</v>
      </c>
      <c r="AA91" s="7">
        <f t="shared" si="37"/>
        <v>11.4</v>
      </c>
      <c r="AB91" s="2"/>
      <c r="AC91" s="2"/>
      <c r="AD91" s="2"/>
      <c r="AE91" s="2"/>
      <c r="AF91" s="2"/>
      <c r="AG91" s="1"/>
      <c r="AH91" s="1"/>
      <c r="AI91" s="1"/>
      <c r="AJ91" s="1"/>
      <c r="AK91" s="1"/>
      <c r="AL91" s="1"/>
      <c r="AM91" s="1"/>
      <c r="AN91" s="1"/>
      <c r="AO91" s="1"/>
      <c r="AP91" s="1"/>
      <c r="AQ91" s="1"/>
    </row>
    <row r="92" spans="1:43" ht="17.25" thickBot="1" x14ac:dyDescent="0.35">
      <c r="A92" s="147"/>
      <c r="B92" s="97">
        <v>43651</v>
      </c>
      <c r="C92" s="107">
        <v>34</v>
      </c>
      <c r="D92" s="150"/>
      <c r="E92" s="150"/>
      <c r="F92" s="100">
        <v>390</v>
      </c>
      <c r="G92" s="7">
        <f>F92*F$3</f>
        <v>4446</v>
      </c>
      <c r="H92" s="100">
        <v>6</v>
      </c>
      <c r="I92" s="7">
        <f t="shared" si="71"/>
        <v>68.400000000000006</v>
      </c>
      <c r="J92" s="100"/>
      <c r="K92" s="7">
        <f t="shared" si="66"/>
        <v>0</v>
      </c>
      <c r="L92" s="100">
        <v>10</v>
      </c>
      <c r="M92" s="7">
        <f t="shared" si="67"/>
        <v>140</v>
      </c>
      <c r="N92" s="100">
        <v>8</v>
      </c>
      <c r="O92" s="7">
        <f t="shared" si="68"/>
        <v>112</v>
      </c>
      <c r="P92" s="100">
        <v>10</v>
      </c>
      <c r="Q92" s="7">
        <f t="shared" si="69"/>
        <v>135</v>
      </c>
      <c r="R92" s="8">
        <f t="shared" si="72"/>
        <v>0.52959999999999996</v>
      </c>
      <c r="S92" s="8">
        <f t="shared" si="60"/>
        <v>144.15882352941176</v>
      </c>
      <c r="T92" s="152"/>
      <c r="U92" s="180"/>
      <c r="V92" s="152"/>
      <c r="W92" s="152"/>
      <c r="X92" s="100"/>
      <c r="Y92" s="7">
        <f t="shared" si="73"/>
        <v>0</v>
      </c>
      <c r="Z92" s="100"/>
      <c r="AA92" s="7">
        <f t="shared" si="37"/>
        <v>0</v>
      </c>
      <c r="AB92" s="2"/>
      <c r="AC92" s="2"/>
      <c r="AD92" s="2"/>
      <c r="AE92" s="2"/>
      <c r="AF92" s="2"/>
      <c r="AG92" s="1"/>
      <c r="AH92" s="1"/>
      <c r="AI92" s="1"/>
      <c r="AJ92" s="1"/>
      <c r="AK92" s="1"/>
      <c r="AL92" s="1"/>
      <c r="AM92" s="1"/>
      <c r="AN92" s="1"/>
      <c r="AO92" s="1"/>
      <c r="AP92" s="1"/>
      <c r="AQ92" s="1"/>
    </row>
    <row r="93" spans="1:43" ht="17.25" thickBot="1" x14ac:dyDescent="0.35">
      <c r="A93" s="148"/>
      <c r="B93" s="98">
        <v>43652</v>
      </c>
      <c r="C93" s="108">
        <v>24</v>
      </c>
      <c r="D93" s="151"/>
      <c r="E93" s="151"/>
      <c r="F93" s="101">
        <v>280</v>
      </c>
      <c r="G93" s="39">
        <f>F93*F3</f>
        <v>3192</v>
      </c>
      <c r="H93" s="101">
        <v>6</v>
      </c>
      <c r="I93" s="39">
        <f t="shared" si="71"/>
        <v>68.400000000000006</v>
      </c>
      <c r="J93" s="101"/>
      <c r="K93" s="39">
        <f t="shared" si="66"/>
        <v>0</v>
      </c>
      <c r="L93" s="101">
        <v>9</v>
      </c>
      <c r="M93" s="39">
        <f t="shared" si="67"/>
        <v>126</v>
      </c>
      <c r="N93" s="101">
        <v>9</v>
      </c>
      <c r="O93" s="39">
        <f t="shared" si="68"/>
        <v>126</v>
      </c>
      <c r="P93" s="101">
        <v>14</v>
      </c>
      <c r="Q93" s="39">
        <f t="shared" si="69"/>
        <v>189</v>
      </c>
      <c r="R93" s="36">
        <f t="shared" si="72"/>
        <v>0.39026666666666665</v>
      </c>
      <c r="S93" s="36">
        <f t="shared" si="60"/>
        <v>154.22499999999999</v>
      </c>
      <c r="T93" s="152"/>
      <c r="U93" s="181"/>
      <c r="V93" s="152"/>
      <c r="W93" s="152"/>
      <c r="X93" s="101"/>
      <c r="Y93" s="39">
        <f t="shared" si="73"/>
        <v>0</v>
      </c>
      <c r="Z93" s="101"/>
      <c r="AA93" s="39">
        <f t="shared" si="37"/>
        <v>0</v>
      </c>
      <c r="AB93" s="2"/>
      <c r="AC93" s="2"/>
      <c r="AD93" s="2"/>
      <c r="AE93" s="2"/>
      <c r="AF93" s="2"/>
      <c r="AG93" s="1"/>
      <c r="AH93" s="1"/>
      <c r="AI93" s="1"/>
      <c r="AJ93" s="1"/>
      <c r="AK93" s="1"/>
      <c r="AL93" s="1"/>
      <c r="AM93" s="1"/>
      <c r="AN93" s="1"/>
      <c r="AO93" s="1"/>
      <c r="AP93" s="1"/>
      <c r="AQ93" s="1"/>
    </row>
    <row r="94" spans="1:43" ht="17.25" thickBot="1" x14ac:dyDescent="0.35">
      <c r="A94" s="147">
        <v>28</v>
      </c>
      <c r="B94" s="105">
        <v>43654</v>
      </c>
      <c r="C94" s="106">
        <v>31</v>
      </c>
      <c r="D94" s="149">
        <f t="shared" ref="D94" si="87">SUM(G94:G99,I94:I99,K94:K99)</f>
        <v>22822.800000000003</v>
      </c>
      <c r="E94" s="149">
        <f t="shared" ref="E94" si="88">SUM(G94:G99,I94:I99,M94:M99,O94:O99,Q94:Q99,K94:K99)</f>
        <v>25375.300000000003</v>
      </c>
      <c r="F94" s="99">
        <v>360</v>
      </c>
      <c r="G94" s="7">
        <f t="shared" si="70"/>
        <v>4104</v>
      </c>
      <c r="H94" s="99">
        <v>10</v>
      </c>
      <c r="I94" s="7">
        <f t="shared" si="71"/>
        <v>114</v>
      </c>
      <c r="J94" s="99"/>
      <c r="K94" s="7">
        <f t="shared" si="66"/>
        <v>0</v>
      </c>
      <c r="L94" s="99">
        <v>8</v>
      </c>
      <c r="M94" s="7">
        <f t="shared" si="67"/>
        <v>112</v>
      </c>
      <c r="N94" s="99">
        <v>7.5</v>
      </c>
      <c r="O94" s="7">
        <f t="shared" si="68"/>
        <v>105</v>
      </c>
      <c r="P94" s="99">
        <v>29</v>
      </c>
      <c r="Q94" s="7">
        <f t="shared" si="69"/>
        <v>391.5</v>
      </c>
      <c r="R94" s="8">
        <f t="shared" si="72"/>
        <v>0.49277777777777776</v>
      </c>
      <c r="S94" s="8">
        <f t="shared" si="60"/>
        <v>155.69354838709677</v>
      </c>
      <c r="T94" s="152">
        <f t="shared" ref="T94" si="89">AVERAGE(S94:S99)</f>
        <v>153.4742147621651</v>
      </c>
      <c r="U94" s="179">
        <f t="shared" ref="U94" si="90">(SUM(G94:G99)+SUM(I94:I99))/$F$1</f>
        <v>2.5358666666666667</v>
      </c>
      <c r="V94" s="152">
        <f t="shared" ref="V94" si="91">SUM(R94:R99)</f>
        <v>2.6859777777777776</v>
      </c>
      <c r="W94" s="152">
        <v>3.771066666666667</v>
      </c>
      <c r="X94" s="99"/>
      <c r="Y94" s="7">
        <f t="shared" si="73"/>
        <v>0</v>
      </c>
      <c r="Z94" s="99"/>
      <c r="AA94" s="7">
        <f t="shared" si="37"/>
        <v>0</v>
      </c>
      <c r="AB94" s="2"/>
      <c r="AC94" s="2"/>
      <c r="AD94" s="2"/>
      <c r="AE94" s="2"/>
      <c r="AF94" s="2"/>
      <c r="AG94" s="1"/>
      <c r="AH94" s="1"/>
      <c r="AI94" s="1"/>
      <c r="AJ94" s="1"/>
      <c r="AK94" s="1"/>
      <c r="AL94" s="1"/>
      <c r="AM94" s="1"/>
      <c r="AN94" s="1"/>
      <c r="AO94" s="1"/>
      <c r="AP94" s="1"/>
      <c r="AQ94" s="1"/>
    </row>
    <row r="95" spans="1:43" ht="17.25" thickBot="1" x14ac:dyDescent="0.35">
      <c r="A95" s="147"/>
      <c r="B95" s="97">
        <v>43655</v>
      </c>
      <c r="C95" s="107">
        <v>40</v>
      </c>
      <c r="D95" s="150"/>
      <c r="E95" s="150"/>
      <c r="F95" s="100">
        <v>480</v>
      </c>
      <c r="G95" s="7">
        <f t="shared" si="70"/>
        <v>5472</v>
      </c>
      <c r="H95" s="100">
        <v>7</v>
      </c>
      <c r="I95" s="7">
        <f t="shared" si="71"/>
        <v>79.8</v>
      </c>
      <c r="J95" s="100"/>
      <c r="K95" s="7">
        <f t="shared" si="66"/>
        <v>0</v>
      </c>
      <c r="L95" s="100">
        <v>9</v>
      </c>
      <c r="M95" s="7">
        <f t="shared" si="67"/>
        <v>126</v>
      </c>
      <c r="N95" s="100">
        <v>11</v>
      </c>
      <c r="O95" s="7">
        <f t="shared" si="68"/>
        <v>154</v>
      </c>
      <c r="P95" s="100">
        <v>16</v>
      </c>
      <c r="Q95" s="7">
        <f t="shared" si="69"/>
        <v>216</v>
      </c>
      <c r="R95" s="8">
        <f t="shared" si="72"/>
        <v>0.64797777777777776</v>
      </c>
      <c r="S95" s="8">
        <f t="shared" si="60"/>
        <v>151.19499999999999</v>
      </c>
      <c r="T95" s="152"/>
      <c r="U95" s="180"/>
      <c r="V95" s="152"/>
      <c r="W95" s="152"/>
      <c r="X95" s="100"/>
      <c r="Y95" s="7">
        <f t="shared" si="73"/>
        <v>0</v>
      </c>
      <c r="Z95" s="100"/>
      <c r="AA95" s="7">
        <f t="shared" si="37"/>
        <v>0</v>
      </c>
      <c r="AB95" s="2"/>
      <c r="AC95" s="2"/>
      <c r="AD95" s="2"/>
      <c r="AE95" s="2"/>
      <c r="AF95" s="2"/>
      <c r="AG95" s="1"/>
      <c r="AH95" s="1"/>
      <c r="AI95" s="1"/>
      <c r="AJ95" s="1"/>
      <c r="AK95" s="1"/>
      <c r="AL95" s="1"/>
      <c r="AM95" s="1"/>
      <c r="AN95" s="1"/>
      <c r="AO95" s="1"/>
      <c r="AP95" s="1"/>
      <c r="AQ95" s="1"/>
    </row>
    <row r="96" spans="1:43" ht="17.25" thickBot="1" x14ac:dyDescent="0.35">
      <c r="A96" s="147"/>
      <c r="B96" s="97">
        <v>43656</v>
      </c>
      <c r="C96" s="107">
        <v>40</v>
      </c>
      <c r="D96" s="150"/>
      <c r="E96" s="150"/>
      <c r="F96" s="100">
        <v>480</v>
      </c>
      <c r="G96" s="7">
        <f t="shared" si="70"/>
        <v>5472</v>
      </c>
      <c r="H96" s="100">
        <v>8</v>
      </c>
      <c r="I96" s="7">
        <f t="shared" si="71"/>
        <v>91.2</v>
      </c>
      <c r="J96" s="100"/>
      <c r="K96" s="7">
        <f t="shared" si="66"/>
        <v>0</v>
      </c>
      <c r="L96" s="100">
        <v>9</v>
      </c>
      <c r="M96" s="7">
        <f t="shared" si="67"/>
        <v>126</v>
      </c>
      <c r="N96" s="100">
        <v>16</v>
      </c>
      <c r="O96" s="7">
        <f t="shared" si="68"/>
        <v>224</v>
      </c>
      <c r="P96" s="100">
        <v>14</v>
      </c>
      <c r="Q96" s="7">
        <f t="shared" si="69"/>
        <v>189</v>
      </c>
      <c r="R96" s="8">
        <f t="shared" si="72"/>
        <v>0.65702222222222217</v>
      </c>
      <c r="S96" s="8">
        <f t="shared" si="60"/>
        <v>152.55500000000001</v>
      </c>
      <c r="T96" s="152"/>
      <c r="U96" s="180"/>
      <c r="V96" s="152"/>
      <c r="W96" s="152"/>
      <c r="X96" s="100">
        <v>1</v>
      </c>
      <c r="Y96" s="7">
        <f t="shared" si="73"/>
        <v>11.4</v>
      </c>
      <c r="Z96" s="100">
        <v>1</v>
      </c>
      <c r="AA96" s="7">
        <f t="shared" si="37"/>
        <v>11.4</v>
      </c>
      <c r="AB96" s="2"/>
      <c r="AC96" s="2"/>
      <c r="AD96" s="2"/>
      <c r="AE96" s="2"/>
      <c r="AF96" s="2"/>
      <c r="AG96" s="1"/>
      <c r="AH96" s="1"/>
      <c r="AI96" s="1"/>
      <c r="AJ96" s="1"/>
      <c r="AK96" s="1"/>
      <c r="AL96" s="1"/>
      <c r="AM96" s="1"/>
      <c r="AN96" s="1"/>
      <c r="AO96" s="1"/>
      <c r="AP96" s="1"/>
      <c r="AQ96" s="1"/>
    </row>
    <row r="97" spans="1:43" ht="17.25" thickBot="1" x14ac:dyDescent="0.35">
      <c r="A97" s="147"/>
      <c r="B97" s="97">
        <v>43657</v>
      </c>
      <c r="C97" s="107">
        <v>25</v>
      </c>
      <c r="D97" s="150"/>
      <c r="E97" s="150"/>
      <c r="F97" s="100">
        <v>300</v>
      </c>
      <c r="G97" s="7">
        <f t="shared" si="70"/>
        <v>3420</v>
      </c>
      <c r="H97" s="100">
        <v>6</v>
      </c>
      <c r="I97" s="7">
        <f t="shared" si="71"/>
        <v>68.400000000000006</v>
      </c>
      <c r="J97" s="100"/>
      <c r="K97" s="7">
        <f t="shared" si="66"/>
        <v>0</v>
      </c>
      <c r="L97" s="100">
        <v>6</v>
      </c>
      <c r="M97" s="7">
        <f t="shared" si="67"/>
        <v>84</v>
      </c>
      <c r="N97" s="100">
        <v>8</v>
      </c>
      <c r="O97" s="7">
        <f t="shared" si="68"/>
        <v>112</v>
      </c>
      <c r="P97" s="100">
        <v>9</v>
      </c>
      <c r="Q97" s="7">
        <f t="shared" si="69"/>
        <v>121.5</v>
      </c>
      <c r="R97" s="8">
        <f t="shared" si="72"/>
        <v>0.40937777777777778</v>
      </c>
      <c r="S97" s="8">
        <f t="shared" si="60"/>
        <v>152.23599999999999</v>
      </c>
      <c r="T97" s="152"/>
      <c r="U97" s="180"/>
      <c r="V97" s="152"/>
      <c r="W97" s="152"/>
      <c r="X97" s="100"/>
      <c r="Y97" s="7">
        <f t="shared" si="73"/>
        <v>0</v>
      </c>
      <c r="Z97" s="100"/>
      <c r="AA97" s="7">
        <f t="shared" si="37"/>
        <v>0</v>
      </c>
      <c r="AB97" s="2"/>
      <c r="AC97" s="2"/>
      <c r="AD97" s="2"/>
      <c r="AE97" s="2"/>
      <c r="AF97" s="2"/>
      <c r="AG97" s="1"/>
      <c r="AH97" s="1"/>
      <c r="AI97" s="1"/>
      <c r="AJ97" s="1"/>
      <c r="AK97" s="1"/>
      <c r="AL97" s="1"/>
      <c r="AM97" s="1"/>
      <c r="AN97" s="1"/>
      <c r="AO97" s="1"/>
      <c r="AP97" s="1"/>
      <c r="AQ97" s="1"/>
    </row>
    <row r="98" spans="1:43" ht="17.25" thickBot="1" x14ac:dyDescent="0.35">
      <c r="A98" s="147"/>
      <c r="B98" s="97">
        <v>43658</v>
      </c>
      <c r="C98" s="107">
        <v>29.5</v>
      </c>
      <c r="D98" s="150"/>
      <c r="E98" s="150"/>
      <c r="F98" s="100">
        <v>345</v>
      </c>
      <c r="G98" s="7">
        <f t="shared" si="70"/>
        <v>3933</v>
      </c>
      <c r="H98" s="100">
        <v>6</v>
      </c>
      <c r="I98" s="7">
        <f t="shared" si="71"/>
        <v>68.400000000000006</v>
      </c>
      <c r="J98" s="100"/>
      <c r="K98" s="7">
        <f t="shared" si="66"/>
        <v>0</v>
      </c>
      <c r="L98" s="100">
        <v>9</v>
      </c>
      <c r="M98" s="7">
        <f t="shared" si="67"/>
        <v>126</v>
      </c>
      <c r="N98" s="100">
        <v>13</v>
      </c>
      <c r="O98" s="7">
        <f t="shared" si="68"/>
        <v>182</v>
      </c>
      <c r="P98" s="100">
        <v>21</v>
      </c>
      <c r="Q98" s="7">
        <f t="shared" si="69"/>
        <v>283.5</v>
      </c>
      <c r="R98" s="8">
        <f t="shared" si="72"/>
        <v>0.4788222222222222</v>
      </c>
      <c r="S98" s="8">
        <f t="shared" si="60"/>
        <v>155.69152542372879</v>
      </c>
      <c r="T98" s="152"/>
      <c r="U98" s="180"/>
      <c r="V98" s="152"/>
      <c r="W98" s="152"/>
      <c r="X98" s="100"/>
      <c r="Y98" s="7">
        <f t="shared" si="73"/>
        <v>0</v>
      </c>
      <c r="Z98" s="100"/>
      <c r="AA98" s="7">
        <f t="shared" ref="AA98:AA161" si="92">Z98*Z$3</f>
        <v>0</v>
      </c>
      <c r="AB98" s="2"/>
      <c r="AC98" s="2"/>
      <c r="AD98" s="2"/>
      <c r="AE98" s="2"/>
      <c r="AF98" s="2"/>
      <c r="AG98" s="1"/>
      <c r="AH98" s="1"/>
      <c r="AI98" s="1"/>
      <c r="AJ98" s="1"/>
      <c r="AK98" s="1"/>
      <c r="AL98" s="1"/>
      <c r="AM98" s="1"/>
      <c r="AN98" s="1"/>
      <c r="AO98" s="1"/>
      <c r="AP98" s="1"/>
      <c r="AQ98" s="1"/>
    </row>
    <row r="99" spans="1:43" ht="17.25" thickBot="1" x14ac:dyDescent="0.35">
      <c r="A99" s="147"/>
      <c r="B99" s="97"/>
      <c r="C99" s="108"/>
      <c r="D99" s="151"/>
      <c r="E99" s="151"/>
      <c r="F99" s="101"/>
      <c r="G99" s="7">
        <f t="shared" si="70"/>
        <v>0</v>
      </c>
      <c r="H99" s="101"/>
      <c r="I99" s="7">
        <f t="shared" si="71"/>
        <v>0</v>
      </c>
      <c r="J99" s="101"/>
      <c r="K99" s="7">
        <f t="shared" si="66"/>
        <v>0</v>
      </c>
      <c r="L99" s="101"/>
      <c r="M99" s="7">
        <f t="shared" si="67"/>
        <v>0</v>
      </c>
      <c r="N99" s="101"/>
      <c r="O99" s="7">
        <f t="shared" si="68"/>
        <v>0</v>
      </c>
      <c r="P99" s="101"/>
      <c r="Q99" s="7">
        <f t="shared" si="69"/>
        <v>0</v>
      </c>
      <c r="R99" s="8">
        <f t="shared" si="72"/>
        <v>0</v>
      </c>
      <c r="S99" s="8" t="str">
        <f t="shared" si="60"/>
        <v/>
      </c>
      <c r="T99" s="152"/>
      <c r="U99" s="181"/>
      <c r="V99" s="152"/>
      <c r="W99" s="152"/>
      <c r="X99" s="101"/>
      <c r="Y99" s="7">
        <f t="shared" si="73"/>
        <v>0</v>
      </c>
      <c r="Z99" s="101"/>
      <c r="AA99" s="7">
        <f t="shared" si="92"/>
        <v>0</v>
      </c>
      <c r="AB99" s="2"/>
      <c r="AC99" s="2"/>
      <c r="AD99" s="2"/>
      <c r="AE99" s="2"/>
      <c r="AF99" s="2"/>
      <c r="AG99" s="1"/>
      <c r="AH99" s="1"/>
      <c r="AI99" s="1"/>
      <c r="AJ99" s="1"/>
      <c r="AK99" s="1"/>
      <c r="AL99" s="1"/>
      <c r="AM99" s="1"/>
      <c r="AN99" s="1"/>
      <c r="AO99" s="1"/>
      <c r="AP99" s="1"/>
      <c r="AQ99" s="1"/>
    </row>
    <row r="100" spans="1:43" ht="17.25" thickBot="1" x14ac:dyDescent="0.35">
      <c r="A100" s="146">
        <v>29</v>
      </c>
      <c r="B100" s="105">
        <v>43661</v>
      </c>
      <c r="C100" s="106">
        <v>23</v>
      </c>
      <c r="D100" s="149">
        <f t="shared" ref="D100" si="93">SUM(G100:G105,I100:I105,K100:K105)</f>
        <v>14523.600000000002</v>
      </c>
      <c r="E100" s="149">
        <f t="shared" ref="E100" si="94">SUM(G100:G105,I100:I105,M100:M105,O100:O105,Q100:Q105,K100:K105)</f>
        <v>16672.100000000002</v>
      </c>
      <c r="F100" s="99">
        <v>270</v>
      </c>
      <c r="G100" s="40">
        <f t="shared" si="70"/>
        <v>3078</v>
      </c>
      <c r="H100" s="99">
        <v>6</v>
      </c>
      <c r="I100" s="40">
        <f t="shared" si="71"/>
        <v>68.400000000000006</v>
      </c>
      <c r="J100" s="99"/>
      <c r="K100" s="40">
        <f t="shared" si="66"/>
        <v>0</v>
      </c>
      <c r="L100" s="99">
        <v>4</v>
      </c>
      <c r="M100" s="40">
        <f t="shared" si="67"/>
        <v>56</v>
      </c>
      <c r="N100" s="99">
        <v>9</v>
      </c>
      <c r="O100" s="40">
        <f t="shared" si="68"/>
        <v>126</v>
      </c>
      <c r="P100" s="99">
        <v>19</v>
      </c>
      <c r="Q100" s="40">
        <f t="shared" si="69"/>
        <v>256.5</v>
      </c>
      <c r="R100" s="34">
        <f t="shared" si="72"/>
        <v>0.36982222222222222</v>
      </c>
      <c r="S100" s="34">
        <f t="shared" si="60"/>
        <v>155.86521739130436</v>
      </c>
      <c r="T100" s="152">
        <f>AVERAGE(S100:S105)</f>
        <v>150.53213058117404</v>
      </c>
      <c r="U100" s="179">
        <f t="shared" ref="U100" si="95">(SUM(G100:G105)+SUM(I100:I105))/$F$1</f>
        <v>1.6137333333333335</v>
      </c>
      <c r="V100" s="152">
        <f t="shared" ref="V100" si="96">SUM(R100:R105)</f>
        <v>1.7459555555555557</v>
      </c>
      <c r="W100" s="152">
        <v>1.4250444444444446</v>
      </c>
      <c r="X100" s="99"/>
      <c r="Y100" s="40">
        <f t="shared" si="73"/>
        <v>0</v>
      </c>
      <c r="Z100" s="99"/>
      <c r="AA100" s="40">
        <f t="shared" si="92"/>
        <v>0</v>
      </c>
      <c r="AB100" s="2"/>
      <c r="AC100" s="2"/>
      <c r="AD100" s="2"/>
      <c r="AE100" s="2"/>
      <c r="AF100" s="2"/>
      <c r="AG100" s="1"/>
      <c r="AH100" s="1"/>
      <c r="AI100" s="1"/>
      <c r="AJ100" s="1"/>
      <c r="AK100" s="1"/>
      <c r="AL100" s="1"/>
      <c r="AM100" s="1"/>
      <c r="AN100" s="1"/>
      <c r="AO100" s="1"/>
      <c r="AP100" s="1"/>
      <c r="AQ100" s="1"/>
    </row>
    <row r="101" spans="1:43" ht="17.25" thickBot="1" x14ac:dyDescent="0.35">
      <c r="A101" s="147"/>
      <c r="B101" s="97">
        <v>43662</v>
      </c>
      <c r="C101" s="107">
        <v>22</v>
      </c>
      <c r="D101" s="150"/>
      <c r="E101" s="150"/>
      <c r="F101" s="100">
        <v>255</v>
      </c>
      <c r="G101" s="7">
        <f t="shared" si="70"/>
        <v>2907</v>
      </c>
      <c r="H101" s="100">
        <v>5</v>
      </c>
      <c r="I101" s="7">
        <f t="shared" si="71"/>
        <v>57</v>
      </c>
      <c r="J101" s="100"/>
      <c r="K101" s="7">
        <f t="shared" si="66"/>
        <v>0</v>
      </c>
      <c r="L101" s="100">
        <v>6</v>
      </c>
      <c r="M101" s="7">
        <f t="shared" si="67"/>
        <v>84</v>
      </c>
      <c r="N101" s="100">
        <v>13</v>
      </c>
      <c r="O101" s="7">
        <f t="shared" si="68"/>
        <v>182</v>
      </c>
      <c r="P101" s="100">
        <v>14</v>
      </c>
      <c r="Q101" s="7">
        <f t="shared" si="69"/>
        <v>189</v>
      </c>
      <c r="R101" s="8">
        <f t="shared" si="72"/>
        <v>0.35888888888888887</v>
      </c>
      <c r="S101" s="8">
        <f t="shared" si="60"/>
        <v>155.40909090909091</v>
      </c>
      <c r="T101" s="152"/>
      <c r="U101" s="180"/>
      <c r="V101" s="152"/>
      <c r="W101" s="152"/>
      <c r="X101" s="100"/>
      <c r="Y101" s="7">
        <f t="shared" si="73"/>
        <v>0</v>
      </c>
      <c r="Z101" s="100"/>
      <c r="AA101" s="7">
        <f t="shared" si="92"/>
        <v>0</v>
      </c>
      <c r="AB101" s="2"/>
      <c r="AC101" s="2"/>
      <c r="AD101" s="2"/>
      <c r="AE101" s="2"/>
      <c r="AF101" s="2"/>
      <c r="AG101" s="1"/>
      <c r="AH101" s="1"/>
      <c r="AI101" s="1"/>
      <c r="AJ101" s="1"/>
      <c r="AK101" s="1"/>
      <c r="AL101" s="1"/>
      <c r="AM101" s="1"/>
      <c r="AN101" s="1"/>
      <c r="AO101" s="1"/>
      <c r="AP101" s="1"/>
      <c r="AQ101" s="1"/>
    </row>
    <row r="102" spans="1:43" ht="17.25" thickBot="1" x14ac:dyDescent="0.35">
      <c r="A102" s="147"/>
      <c r="B102" s="97">
        <v>43663</v>
      </c>
      <c r="C102" s="107">
        <v>23</v>
      </c>
      <c r="D102" s="150"/>
      <c r="E102" s="150"/>
      <c r="F102" s="100">
        <v>270</v>
      </c>
      <c r="G102" s="7">
        <f t="shared" si="70"/>
        <v>3078</v>
      </c>
      <c r="H102" s="100">
        <v>3</v>
      </c>
      <c r="I102" s="7">
        <f t="shared" si="71"/>
        <v>34.200000000000003</v>
      </c>
      <c r="J102" s="100"/>
      <c r="K102" s="7">
        <f t="shared" si="66"/>
        <v>0</v>
      </c>
      <c r="L102" s="100">
        <v>8</v>
      </c>
      <c r="M102" s="7">
        <f t="shared" si="67"/>
        <v>112</v>
      </c>
      <c r="N102" s="100">
        <v>14</v>
      </c>
      <c r="O102" s="7">
        <f t="shared" si="68"/>
        <v>196</v>
      </c>
      <c r="P102" s="100">
        <v>12</v>
      </c>
      <c r="Q102" s="7">
        <f t="shared" si="69"/>
        <v>162</v>
      </c>
      <c r="R102" s="8">
        <f t="shared" si="72"/>
        <v>0.38002222222222221</v>
      </c>
      <c r="S102" s="8">
        <f t="shared" si="60"/>
        <v>155.74782608695651</v>
      </c>
      <c r="T102" s="152"/>
      <c r="U102" s="180"/>
      <c r="V102" s="152"/>
      <c r="W102" s="152"/>
      <c r="X102" s="100">
        <v>1</v>
      </c>
      <c r="Y102" s="7">
        <f t="shared" si="73"/>
        <v>11.4</v>
      </c>
      <c r="Z102" s="100">
        <v>0.5</v>
      </c>
      <c r="AA102" s="7">
        <f t="shared" si="92"/>
        <v>5.7</v>
      </c>
      <c r="AB102" s="2"/>
      <c r="AC102" s="2"/>
      <c r="AD102" s="2"/>
      <c r="AE102" s="2"/>
      <c r="AF102" s="2"/>
      <c r="AG102" s="1"/>
      <c r="AH102" s="1"/>
      <c r="AI102" s="1"/>
      <c r="AJ102" s="1"/>
      <c r="AK102" s="1"/>
      <c r="AL102" s="1"/>
      <c r="AM102" s="1"/>
      <c r="AN102" s="1"/>
      <c r="AO102" s="1"/>
      <c r="AP102" s="1"/>
      <c r="AQ102" s="1"/>
    </row>
    <row r="103" spans="1:43" ht="17.25" thickBot="1" x14ac:dyDescent="0.35">
      <c r="A103" s="147"/>
      <c r="B103" s="97">
        <v>43664</v>
      </c>
      <c r="C103" s="107">
        <v>27</v>
      </c>
      <c r="D103" s="150"/>
      <c r="E103" s="150"/>
      <c r="F103" s="100">
        <v>315</v>
      </c>
      <c r="G103" s="7">
        <f t="shared" si="70"/>
        <v>3591</v>
      </c>
      <c r="H103" s="100">
        <v>3</v>
      </c>
      <c r="I103" s="7">
        <f t="shared" si="71"/>
        <v>34.200000000000003</v>
      </c>
      <c r="J103" s="100"/>
      <c r="K103" s="7">
        <f t="shared" si="66"/>
        <v>0</v>
      </c>
      <c r="L103" s="100">
        <v>4</v>
      </c>
      <c r="M103" s="7">
        <f t="shared" si="67"/>
        <v>56</v>
      </c>
      <c r="N103" s="100">
        <v>15</v>
      </c>
      <c r="O103" s="7">
        <f t="shared" si="68"/>
        <v>210</v>
      </c>
      <c r="P103" s="100">
        <v>12</v>
      </c>
      <c r="Q103" s="7">
        <f t="shared" si="69"/>
        <v>162</v>
      </c>
      <c r="R103" s="8">
        <f t="shared" si="72"/>
        <v>0.43235555555555555</v>
      </c>
      <c r="S103" s="8">
        <f t="shared" si="60"/>
        <v>150.1185185185185</v>
      </c>
      <c r="T103" s="152"/>
      <c r="U103" s="180"/>
      <c r="V103" s="152"/>
      <c r="W103" s="152"/>
      <c r="X103" s="100"/>
      <c r="Y103" s="7">
        <f t="shared" si="73"/>
        <v>0</v>
      </c>
      <c r="Z103" s="100"/>
      <c r="AA103" s="7">
        <f t="shared" si="92"/>
        <v>0</v>
      </c>
      <c r="AB103" s="2"/>
      <c r="AC103" s="2"/>
      <c r="AD103" s="2"/>
      <c r="AE103" s="2"/>
      <c r="AF103" s="2"/>
      <c r="AG103" s="1"/>
      <c r="AH103" s="1"/>
      <c r="AI103" s="1"/>
      <c r="AJ103" s="1"/>
      <c r="AK103" s="1"/>
      <c r="AL103" s="1"/>
      <c r="AM103" s="1"/>
      <c r="AN103" s="1"/>
      <c r="AO103" s="1"/>
      <c r="AP103" s="1"/>
      <c r="AQ103" s="1"/>
    </row>
    <row r="104" spans="1:43" ht="17.25" thickBot="1" x14ac:dyDescent="0.35">
      <c r="A104" s="147"/>
      <c r="B104" s="97">
        <v>43665</v>
      </c>
      <c r="C104" s="107">
        <v>15</v>
      </c>
      <c r="D104" s="150"/>
      <c r="E104" s="150"/>
      <c r="F104" s="100">
        <v>144</v>
      </c>
      <c r="G104" s="7">
        <f t="shared" si="70"/>
        <v>1641.6000000000001</v>
      </c>
      <c r="H104" s="100">
        <v>3</v>
      </c>
      <c r="I104" s="7">
        <f t="shared" si="71"/>
        <v>34.200000000000003</v>
      </c>
      <c r="J104" s="100"/>
      <c r="K104" s="7">
        <f t="shared" si="66"/>
        <v>0</v>
      </c>
      <c r="L104" s="100">
        <v>3</v>
      </c>
      <c r="M104" s="7">
        <f t="shared" si="67"/>
        <v>42</v>
      </c>
      <c r="N104" s="100">
        <v>9</v>
      </c>
      <c r="O104" s="7">
        <f t="shared" si="68"/>
        <v>126</v>
      </c>
      <c r="P104" s="100">
        <v>14</v>
      </c>
      <c r="Q104" s="7">
        <f t="shared" si="69"/>
        <v>189</v>
      </c>
      <c r="R104" s="8">
        <f t="shared" si="72"/>
        <v>0.2048666666666667</v>
      </c>
      <c r="S104" s="8">
        <f t="shared" si="60"/>
        <v>135.52000000000001</v>
      </c>
      <c r="T104" s="152"/>
      <c r="U104" s="180"/>
      <c r="V104" s="152"/>
      <c r="W104" s="152"/>
      <c r="X104" s="100"/>
      <c r="Y104" s="7">
        <f t="shared" si="73"/>
        <v>0</v>
      </c>
      <c r="Z104" s="100"/>
      <c r="AA104" s="7">
        <f t="shared" si="92"/>
        <v>0</v>
      </c>
      <c r="AB104" s="2"/>
      <c r="AC104" s="2"/>
      <c r="AD104" s="2"/>
      <c r="AE104" s="2"/>
      <c r="AF104" s="2"/>
      <c r="AG104" s="1"/>
      <c r="AH104" s="1"/>
      <c r="AI104" s="1"/>
      <c r="AJ104" s="1"/>
      <c r="AK104" s="1"/>
      <c r="AL104" s="1"/>
      <c r="AM104" s="1"/>
      <c r="AN104" s="1"/>
      <c r="AO104" s="1"/>
      <c r="AP104" s="1"/>
      <c r="AQ104" s="1"/>
    </row>
    <row r="105" spans="1:43" ht="17.25" thickBot="1" x14ac:dyDescent="0.35">
      <c r="A105" s="148"/>
      <c r="B105" s="98"/>
      <c r="C105" s="108"/>
      <c r="D105" s="151"/>
      <c r="E105" s="151"/>
      <c r="F105" s="101"/>
      <c r="G105" s="39">
        <f t="shared" si="70"/>
        <v>0</v>
      </c>
      <c r="H105" s="101"/>
      <c r="I105" s="39">
        <f t="shared" si="71"/>
        <v>0</v>
      </c>
      <c r="J105" s="101"/>
      <c r="K105" s="39">
        <f t="shared" si="66"/>
        <v>0</v>
      </c>
      <c r="L105" s="101"/>
      <c r="M105" s="39">
        <f t="shared" si="67"/>
        <v>0</v>
      </c>
      <c r="N105" s="101"/>
      <c r="O105" s="39">
        <f t="shared" si="68"/>
        <v>0</v>
      </c>
      <c r="P105" s="101"/>
      <c r="Q105" s="39">
        <f t="shared" si="69"/>
        <v>0</v>
      </c>
      <c r="R105" s="36">
        <f t="shared" si="72"/>
        <v>0</v>
      </c>
      <c r="S105" s="36" t="str">
        <f t="shared" si="60"/>
        <v/>
      </c>
      <c r="T105" s="152"/>
      <c r="U105" s="181"/>
      <c r="V105" s="152"/>
      <c r="W105" s="152"/>
      <c r="X105" s="101"/>
      <c r="Y105" s="39">
        <f t="shared" si="73"/>
        <v>0</v>
      </c>
      <c r="Z105" s="101"/>
      <c r="AA105" s="39">
        <f t="shared" si="92"/>
        <v>0</v>
      </c>
      <c r="AB105" s="2"/>
      <c r="AC105" s="2"/>
      <c r="AD105" s="2"/>
      <c r="AE105" s="2"/>
      <c r="AF105" s="2"/>
      <c r="AG105" s="1"/>
      <c r="AH105" s="1"/>
      <c r="AI105" s="1"/>
      <c r="AJ105" s="1"/>
      <c r="AK105" s="1"/>
      <c r="AL105" s="1"/>
      <c r="AM105" s="1"/>
      <c r="AN105" s="1"/>
      <c r="AO105" s="1"/>
      <c r="AP105" s="1"/>
      <c r="AQ105" s="1"/>
    </row>
    <row r="106" spans="1:43" ht="17.25" thickBot="1" x14ac:dyDescent="0.35">
      <c r="A106" s="147">
        <v>30</v>
      </c>
      <c r="B106" s="105">
        <v>43668</v>
      </c>
      <c r="C106" s="106">
        <v>30.75</v>
      </c>
      <c r="D106" s="149">
        <f t="shared" ref="D106" si="97">SUM(G106:G111,I106:I111,K106:K111)</f>
        <v>5278.2</v>
      </c>
      <c r="E106" s="149">
        <f t="shared" ref="E106" si="98">SUM(G106:G111,I106:I111,M106:M111,O106:O111,Q106:Q111,K106:K111)</f>
        <v>6741.7</v>
      </c>
      <c r="F106" s="99">
        <v>256</v>
      </c>
      <c r="G106" s="7">
        <f t="shared" si="70"/>
        <v>2918.4</v>
      </c>
      <c r="H106" s="99">
        <v>3</v>
      </c>
      <c r="I106" s="7">
        <f t="shared" si="71"/>
        <v>34.200000000000003</v>
      </c>
      <c r="J106" s="99"/>
      <c r="K106" s="7">
        <f t="shared" si="66"/>
        <v>0</v>
      </c>
      <c r="L106" s="99">
        <v>4</v>
      </c>
      <c r="M106" s="7">
        <f t="shared" si="67"/>
        <v>56</v>
      </c>
      <c r="N106" s="99">
        <v>21</v>
      </c>
      <c r="O106" s="7">
        <f t="shared" si="68"/>
        <v>294</v>
      </c>
      <c r="P106" s="99">
        <v>16</v>
      </c>
      <c r="Q106" s="7">
        <f t="shared" si="69"/>
        <v>216</v>
      </c>
      <c r="R106" s="8">
        <f t="shared" si="72"/>
        <v>0.36695555555555553</v>
      </c>
      <c r="S106" s="8">
        <f t="shared" si="60"/>
        <v>114.4260162601626</v>
      </c>
      <c r="T106" s="152">
        <f t="shared" ref="T106" si="99">AVERAGE(S106:S111)</f>
        <v>115.30677002248747</v>
      </c>
      <c r="U106" s="179">
        <f t="shared" ref="U106" si="100">(SUM(G106:G111)+SUM(I106:I111))/$F$1</f>
        <v>0.58646666666666669</v>
      </c>
      <c r="V106" s="152">
        <f t="shared" ref="V106" si="101">SUM(R106:R111)</f>
        <v>0.68757777777777784</v>
      </c>
      <c r="W106" s="152">
        <v>1.9569333333333334</v>
      </c>
      <c r="X106" s="99">
        <v>0.5</v>
      </c>
      <c r="Y106" s="7">
        <f t="shared" si="73"/>
        <v>5.7</v>
      </c>
      <c r="Z106" s="99">
        <v>0.5</v>
      </c>
      <c r="AA106" s="7">
        <f t="shared" si="92"/>
        <v>5.7</v>
      </c>
      <c r="AB106" s="2"/>
      <c r="AC106" s="2"/>
      <c r="AD106" s="2"/>
      <c r="AE106" s="2"/>
      <c r="AF106" s="2"/>
      <c r="AG106" s="1"/>
      <c r="AH106" s="1"/>
      <c r="AI106" s="1"/>
      <c r="AJ106" s="1"/>
      <c r="AK106" s="1"/>
      <c r="AL106" s="1"/>
      <c r="AM106" s="1"/>
      <c r="AN106" s="1"/>
      <c r="AO106" s="1"/>
      <c r="AP106" s="1"/>
      <c r="AQ106" s="1"/>
    </row>
    <row r="107" spans="1:43" ht="17.25" thickBot="1" x14ac:dyDescent="0.35">
      <c r="A107" s="147"/>
      <c r="B107" s="105">
        <v>43669</v>
      </c>
      <c r="C107" s="107">
        <v>8</v>
      </c>
      <c r="D107" s="150"/>
      <c r="E107" s="150"/>
      <c r="F107" s="100">
        <v>60</v>
      </c>
      <c r="G107" s="7">
        <f t="shared" si="70"/>
        <v>684</v>
      </c>
      <c r="H107" s="100">
        <v>0</v>
      </c>
      <c r="I107" s="7">
        <f t="shared" si="71"/>
        <v>0</v>
      </c>
      <c r="J107" s="100"/>
      <c r="K107" s="7">
        <f t="shared" si="66"/>
        <v>0</v>
      </c>
      <c r="L107" s="100">
        <v>1</v>
      </c>
      <c r="M107" s="7">
        <f t="shared" si="67"/>
        <v>14</v>
      </c>
      <c r="N107" s="100">
        <v>8</v>
      </c>
      <c r="O107" s="7">
        <f t="shared" si="68"/>
        <v>112</v>
      </c>
      <c r="P107" s="100">
        <v>4</v>
      </c>
      <c r="Q107" s="7">
        <f t="shared" si="69"/>
        <v>54</v>
      </c>
      <c r="R107" s="8">
        <f t="shared" si="72"/>
        <v>0.09</v>
      </c>
      <c r="S107" s="8">
        <f t="shared" si="60"/>
        <v>108</v>
      </c>
      <c r="T107" s="152"/>
      <c r="U107" s="180"/>
      <c r="V107" s="152"/>
      <c r="W107" s="152"/>
      <c r="X107" s="100"/>
      <c r="Y107" s="7">
        <f t="shared" si="73"/>
        <v>0</v>
      </c>
      <c r="Z107" s="100"/>
      <c r="AA107" s="7">
        <f t="shared" si="92"/>
        <v>0</v>
      </c>
      <c r="AB107" s="2"/>
      <c r="AC107" s="2"/>
      <c r="AD107" s="2"/>
      <c r="AE107" s="2"/>
      <c r="AF107" s="2"/>
      <c r="AG107" s="1"/>
      <c r="AH107" s="1"/>
      <c r="AI107" s="1"/>
      <c r="AJ107" s="1"/>
      <c r="AK107" s="1"/>
      <c r="AL107" s="1"/>
      <c r="AM107" s="1"/>
      <c r="AN107" s="1"/>
      <c r="AO107" s="1"/>
      <c r="AP107" s="1"/>
      <c r="AQ107" s="1"/>
    </row>
    <row r="108" spans="1:43" ht="17.25" thickBot="1" x14ac:dyDescent="0.35">
      <c r="A108" s="147"/>
      <c r="B108" s="105">
        <v>43670</v>
      </c>
      <c r="C108" s="107">
        <v>8</v>
      </c>
      <c r="D108" s="150"/>
      <c r="E108" s="150"/>
      <c r="F108" s="100">
        <v>63</v>
      </c>
      <c r="G108" s="7">
        <f t="shared" si="70"/>
        <v>718.2</v>
      </c>
      <c r="H108" s="100">
        <v>0</v>
      </c>
      <c r="I108" s="7">
        <f t="shared" si="71"/>
        <v>0</v>
      </c>
      <c r="J108" s="100"/>
      <c r="K108" s="7">
        <f t="shared" si="66"/>
        <v>0</v>
      </c>
      <c r="L108" s="100">
        <v>2</v>
      </c>
      <c r="M108" s="7">
        <f t="shared" si="67"/>
        <v>28</v>
      </c>
      <c r="N108" s="100">
        <v>9</v>
      </c>
      <c r="O108" s="7">
        <f t="shared" si="68"/>
        <v>126</v>
      </c>
      <c r="P108" s="100">
        <v>6</v>
      </c>
      <c r="Q108" s="7">
        <f t="shared" si="69"/>
        <v>81</v>
      </c>
      <c r="R108" s="8">
        <f t="shared" si="72"/>
        <v>9.6911111111111115E-2</v>
      </c>
      <c r="S108" s="8">
        <f t="shared" si="60"/>
        <v>119.15</v>
      </c>
      <c r="T108" s="152"/>
      <c r="U108" s="180"/>
      <c r="V108" s="152"/>
      <c r="W108" s="152"/>
      <c r="X108" s="100"/>
      <c r="Y108" s="7">
        <f t="shared" si="73"/>
        <v>0</v>
      </c>
      <c r="Z108" s="100"/>
      <c r="AA108" s="7">
        <f t="shared" si="92"/>
        <v>0</v>
      </c>
      <c r="AB108" s="2"/>
      <c r="AC108" s="2"/>
      <c r="AD108" s="2"/>
      <c r="AE108" s="2"/>
      <c r="AF108" s="2"/>
      <c r="AG108" s="1"/>
      <c r="AH108" s="1"/>
      <c r="AI108" s="1"/>
      <c r="AJ108" s="1"/>
      <c r="AK108" s="1"/>
      <c r="AL108" s="1"/>
      <c r="AM108" s="1"/>
      <c r="AN108" s="1"/>
      <c r="AO108" s="1"/>
      <c r="AP108" s="1"/>
      <c r="AQ108" s="1"/>
    </row>
    <row r="109" spans="1:43" ht="17.25" thickBot="1" x14ac:dyDescent="0.35">
      <c r="A109" s="147"/>
      <c r="B109" s="105">
        <v>43671</v>
      </c>
      <c r="C109" s="107">
        <v>11.75</v>
      </c>
      <c r="D109" s="150"/>
      <c r="E109" s="150"/>
      <c r="F109" s="100">
        <v>81</v>
      </c>
      <c r="G109" s="7">
        <f t="shared" si="70"/>
        <v>923.4</v>
      </c>
      <c r="H109" s="100">
        <v>0</v>
      </c>
      <c r="I109" s="7">
        <f t="shared" si="71"/>
        <v>0</v>
      </c>
      <c r="J109" s="100"/>
      <c r="K109" s="7">
        <f t="shared" si="66"/>
        <v>0</v>
      </c>
      <c r="L109" s="100">
        <v>5</v>
      </c>
      <c r="M109" s="7">
        <f t="shared" si="67"/>
        <v>70</v>
      </c>
      <c r="N109" s="100">
        <v>15</v>
      </c>
      <c r="O109" s="7">
        <f t="shared" si="68"/>
        <v>210</v>
      </c>
      <c r="P109" s="100">
        <v>15</v>
      </c>
      <c r="Q109" s="7">
        <f t="shared" si="69"/>
        <v>202.5</v>
      </c>
      <c r="R109" s="8">
        <f t="shared" si="72"/>
        <v>0.13371111111111111</v>
      </c>
      <c r="S109" s="8">
        <f t="shared" si="60"/>
        <v>119.65106382978725</v>
      </c>
      <c r="T109" s="152"/>
      <c r="U109" s="180"/>
      <c r="V109" s="152"/>
      <c r="W109" s="152"/>
      <c r="X109" s="100"/>
      <c r="Y109" s="7">
        <f t="shared" si="73"/>
        <v>0</v>
      </c>
      <c r="Z109" s="100"/>
      <c r="AA109" s="7">
        <f t="shared" si="92"/>
        <v>0</v>
      </c>
      <c r="AB109" s="2"/>
      <c r="AC109" s="2"/>
      <c r="AD109" s="2"/>
      <c r="AE109" s="2"/>
      <c r="AF109" s="2"/>
      <c r="AG109" s="1"/>
      <c r="AH109" s="1"/>
      <c r="AI109" s="1"/>
      <c r="AJ109" s="1"/>
      <c r="AK109" s="1"/>
      <c r="AL109" s="1"/>
      <c r="AM109" s="1"/>
      <c r="AN109" s="1"/>
      <c r="AO109" s="1"/>
      <c r="AP109" s="1"/>
      <c r="AQ109" s="1"/>
    </row>
    <row r="110" spans="1:43" ht="17.25" thickBot="1" x14ac:dyDescent="0.35">
      <c r="A110" s="147"/>
      <c r="B110" s="105"/>
      <c r="C110" s="107"/>
      <c r="D110" s="150"/>
      <c r="E110" s="150"/>
      <c r="F110" s="100"/>
      <c r="G110" s="7">
        <f t="shared" si="70"/>
        <v>0</v>
      </c>
      <c r="H110" s="100"/>
      <c r="I110" s="7">
        <f t="shared" si="71"/>
        <v>0</v>
      </c>
      <c r="J110" s="100"/>
      <c r="K110" s="7">
        <f t="shared" si="66"/>
        <v>0</v>
      </c>
      <c r="L110" s="100"/>
      <c r="M110" s="7">
        <f t="shared" si="67"/>
        <v>0</v>
      </c>
      <c r="N110" s="100"/>
      <c r="O110" s="7">
        <f t="shared" si="68"/>
        <v>0</v>
      </c>
      <c r="P110" s="100"/>
      <c r="Q110" s="7">
        <f t="shared" si="69"/>
        <v>0</v>
      </c>
      <c r="R110" s="8">
        <f t="shared" si="72"/>
        <v>0</v>
      </c>
      <c r="S110" s="8" t="str">
        <f t="shared" si="60"/>
        <v/>
      </c>
      <c r="T110" s="152"/>
      <c r="U110" s="180"/>
      <c r="V110" s="152"/>
      <c r="W110" s="152"/>
      <c r="X110" s="100"/>
      <c r="Y110" s="7">
        <f t="shared" si="73"/>
        <v>0</v>
      </c>
      <c r="Z110" s="100"/>
      <c r="AA110" s="7">
        <f t="shared" si="92"/>
        <v>0</v>
      </c>
      <c r="AB110" s="2"/>
      <c r="AC110" s="2"/>
      <c r="AD110" s="2"/>
      <c r="AE110" s="2"/>
      <c r="AF110" s="2"/>
      <c r="AG110" s="1"/>
      <c r="AH110" s="1"/>
      <c r="AI110" s="1"/>
      <c r="AJ110" s="1"/>
      <c r="AK110" s="1"/>
      <c r="AL110" s="1"/>
      <c r="AM110" s="1"/>
      <c r="AN110" s="1"/>
      <c r="AO110" s="1"/>
      <c r="AP110" s="1"/>
      <c r="AQ110" s="1"/>
    </row>
    <row r="111" spans="1:43" ht="17.25" thickBot="1" x14ac:dyDescent="0.35">
      <c r="A111" s="147"/>
      <c r="B111" s="105"/>
      <c r="C111" s="108"/>
      <c r="D111" s="151"/>
      <c r="E111" s="151"/>
      <c r="F111" s="101"/>
      <c r="G111" s="7">
        <f t="shared" si="70"/>
        <v>0</v>
      </c>
      <c r="H111" s="101"/>
      <c r="I111" s="7">
        <f t="shared" si="71"/>
        <v>0</v>
      </c>
      <c r="J111" s="101"/>
      <c r="K111" s="7">
        <f t="shared" si="66"/>
        <v>0</v>
      </c>
      <c r="L111" s="101"/>
      <c r="M111" s="7">
        <f t="shared" si="67"/>
        <v>0</v>
      </c>
      <c r="N111" s="101"/>
      <c r="O111" s="7">
        <f t="shared" si="68"/>
        <v>0</v>
      </c>
      <c r="P111" s="101"/>
      <c r="Q111" s="7">
        <f t="shared" si="69"/>
        <v>0</v>
      </c>
      <c r="R111" s="8">
        <f t="shared" si="72"/>
        <v>0</v>
      </c>
      <c r="S111" s="8" t="str">
        <f t="shared" si="60"/>
        <v/>
      </c>
      <c r="T111" s="152"/>
      <c r="U111" s="181"/>
      <c r="V111" s="152"/>
      <c r="W111" s="152"/>
      <c r="X111" s="101"/>
      <c r="Y111" s="7">
        <f t="shared" si="73"/>
        <v>0</v>
      </c>
      <c r="Z111" s="101"/>
      <c r="AA111" s="7">
        <f t="shared" si="92"/>
        <v>0</v>
      </c>
      <c r="AB111" s="2"/>
      <c r="AC111" s="2"/>
      <c r="AD111" s="2"/>
      <c r="AE111" s="2"/>
      <c r="AF111" s="2"/>
      <c r="AG111" s="1"/>
      <c r="AH111" s="1"/>
      <c r="AI111" s="1"/>
      <c r="AJ111" s="1"/>
      <c r="AK111" s="1"/>
      <c r="AL111" s="1"/>
      <c r="AM111" s="1"/>
      <c r="AN111" s="1"/>
      <c r="AO111" s="1"/>
      <c r="AP111" s="1"/>
      <c r="AQ111" s="1"/>
    </row>
    <row r="112" spans="1:43" ht="17.25" thickBot="1" x14ac:dyDescent="0.35">
      <c r="A112" s="146">
        <v>31</v>
      </c>
      <c r="B112" s="105">
        <v>43675</v>
      </c>
      <c r="C112" s="106">
        <v>20</v>
      </c>
      <c r="D112" s="149">
        <f t="shared" ref="D112" si="102">SUM(G112:G117,I112:I117,K112:K117)</f>
        <v>17841</v>
      </c>
      <c r="E112" s="149">
        <f t="shared" ref="E112" si="103">SUM(G112:G117,I112:I117,M112:M117,O112:O117,Q112:Q117,K112:K117)</f>
        <v>21216.5</v>
      </c>
      <c r="F112" s="99">
        <v>216</v>
      </c>
      <c r="G112" s="40">
        <f t="shared" si="70"/>
        <v>2462.4</v>
      </c>
      <c r="H112" s="99">
        <v>0</v>
      </c>
      <c r="I112" s="40">
        <f t="shared" si="71"/>
        <v>0</v>
      </c>
      <c r="J112" s="99"/>
      <c r="K112" s="40">
        <f t="shared" si="66"/>
        <v>0</v>
      </c>
      <c r="L112" s="99">
        <v>13</v>
      </c>
      <c r="M112" s="40">
        <f t="shared" si="67"/>
        <v>182</v>
      </c>
      <c r="N112" s="99">
        <v>10</v>
      </c>
      <c r="O112" s="40">
        <f t="shared" si="68"/>
        <v>140</v>
      </c>
      <c r="P112" s="99">
        <v>16</v>
      </c>
      <c r="Q112" s="40">
        <f t="shared" si="69"/>
        <v>216</v>
      </c>
      <c r="R112" s="34">
        <f t="shared" si="72"/>
        <v>0.30937777777777781</v>
      </c>
      <c r="S112" s="34">
        <f t="shared" si="60"/>
        <v>150.02000000000001</v>
      </c>
      <c r="T112" s="152">
        <f t="shared" ref="T112" si="104">AVERAGE(S112:S117)</f>
        <v>149.92308805031448</v>
      </c>
      <c r="U112" s="179">
        <f t="shared" ref="U112" si="105">(SUM(G112:G117)+SUM(I112:I117))/$F$1</f>
        <v>1.9823333333333333</v>
      </c>
      <c r="V112" s="152">
        <f t="shared" ref="V112" si="106">SUM(R112:R117)</f>
        <v>2.193888888888889</v>
      </c>
      <c r="W112" s="152">
        <v>2.2687777777777778</v>
      </c>
      <c r="X112" s="99"/>
      <c r="Y112" s="40">
        <f t="shared" si="73"/>
        <v>0</v>
      </c>
      <c r="Z112" s="99"/>
      <c r="AA112" s="40">
        <f t="shared" si="92"/>
        <v>0</v>
      </c>
      <c r="AB112" s="2"/>
      <c r="AC112" s="2"/>
      <c r="AD112" s="2"/>
      <c r="AE112" s="2"/>
      <c r="AF112" s="2"/>
      <c r="AG112" s="1"/>
      <c r="AH112" s="1"/>
      <c r="AI112" s="1"/>
      <c r="AJ112" s="1"/>
      <c r="AK112" s="1"/>
      <c r="AL112" s="1"/>
      <c r="AM112" s="1"/>
      <c r="AN112" s="1"/>
      <c r="AO112" s="1"/>
      <c r="AP112" s="1"/>
      <c r="AQ112" s="1"/>
    </row>
    <row r="113" spans="1:43" ht="17.25" thickBot="1" x14ac:dyDescent="0.35">
      <c r="A113" s="147"/>
      <c r="B113" s="97">
        <v>43676</v>
      </c>
      <c r="C113" s="107">
        <v>18</v>
      </c>
      <c r="D113" s="150"/>
      <c r="E113" s="150"/>
      <c r="F113" s="100">
        <v>210</v>
      </c>
      <c r="G113" s="7">
        <f t="shared" si="70"/>
        <v>2394</v>
      </c>
      <c r="H113" s="100">
        <v>0</v>
      </c>
      <c r="I113" s="7">
        <f t="shared" si="71"/>
        <v>0</v>
      </c>
      <c r="J113" s="100"/>
      <c r="K113" s="7">
        <f t="shared" si="66"/>
        <v>0</v>
      </c>
      <c r="L113" s="100">
        <v>12</v>
      </c>
      <c r="M113" s="7">
        <f t="shared" si="67"/>
        <v>168</v>
      </c>
      <c r="N113" s="100">
        <v>7</v>
      </c>
      <c r="O113" s="7">
        <f t="shared" si="68"/>
        <v>98</v>
      </c>
      <c r="P113" s="100">
        <v>12</v>
      </c>
      <c r="Q113" s="7">
        <f t="shared" si="69"/>
        <v>162</v>
      </c>
      <c r="R113" s="8">
        <f t="shared" si="72"/>
        <v>0.29555555555555557</v>
      </c>
      <c r="S113" s="8">
        <f t="shared" si="60"/>
        <v>156.77777777777777</v>
      </c>
      <c r="T113" s="152"/>
      <c r="U113" s="180"/>
      <c r="V113" s="152"/>
      <c r="W113" s="152"/>
      <c r="X113" s="100"/>
      <c r="Y113" s="7">
        <f t="shared" si="73"/>
        <v>0</v>
      </c>
      <c r="Z113" s="100"/>
      <c r="AA113" s="7">
        <f t="shared" si="92"/>
        <v>0</v>
      </c>
      <c r="AB113" s="2"/>
      <c r="AC113" s="2"/>
      <c r="AD113" s="2"/>
      <c r="AE113" s="2"/>
      <c r="AF113" s="2"/>
      <c r="AG113" s="1"/>
      <c r="AH113" s="1"/>
      <c r="AI113" s="1"/>
      <c r="AJ113" s="1"/>
      <c r="AK113" s="1"/>
      <c r="AL113" s="1"/>
      <c r="AM113" s="1"/>
      <c r="AN113" s="1"/>
      <c r="AO113" s="1"/>
      <c r="AP113" s="1"/>
      <c r="AQ113" s="1"/>
    </row>
    <row r="114" spans="1:43" ht="17.25" thickBot="1" x14ac:dyDescent="0.35">
      <c r="A114" s="147"/>
      <c r="B114" s="97">
        <v>43677</v>
      </c>
      <c r="C114" s="107">
        <v>18</v>
      </c>
      <c r="D114" s="150"/>
      <c r="E114" s="150"/>
      <c r="F114" s="100">
        <v>210</v>
      </c>
      <c r="G114" s="7">
        <f t="shared" si="70"/>
        <v>2394</v>
      </c>
      <c r="H114" s="100">
        <v>0</v>
      </c>
      <c r="I114" s="7">
        <f t="shared" si="71"/>
        <v>0</v>
      </c>
      <c r="J114" s="100"/>
      <c r="K114" s="7">
        <f t="shared" si="66"/>
        <v>0</v>
      </c>
      <c r="L114" s="100">
        <v>10</v>
      </c>
      <c r="M114" s="7">
        <f t="shared" si="67"/>
        <v>140</v>
      </c>
      <c r="N114" s="100">
        <v>6</v>
      </c>
      <c r="O114" s="7">
        <f t="shared" si="68"/>
        <v>84</v>
      </c>
      <c r="P114" s="100">
        <v>17</v>
      </c>
      <c r="Q114" s="7">
        <f t="shared" si="69"/>
        <v>229.5</v>
      </c>
      <c r="R114" s="8">
        <f t="shared" si="72"/>
        <v>0.29088888888888886</v>
      </c>
      <c r="S114" s="8">
        <f t="shared" si="60"/>
        <v>158.19444444444446</v>
      </c>
      <c r="T114" s="152"/>
      <c r="U114" s="180"/>
      <c r="V114" s="152"/>
      <c r="W114" s="152"/>
      <c r="X114" s="100"/>
      <c r="Y114" s="7">
        <f t="shared" si="73"/>
        <v>0</v>
      </c>
      <c r="Z114" s="100"/>
      <c r="AA114" s="7">
        <f t="shared" si="92"/>
        <v>0</v>
      </c>
      <c r="AB114" s="2"/>
      <c r="AC114" s="2"/>
      <c r="AD114" s="2"/>
      <c r="AE114" s="2"/>
      <c r="AF114" s="2"/>
      <c r="AG114" s="1"/>
      <c r="AH114" s="1"/>
      <c r="AI114" s="1"/>
      <c r="AJ114" s="1"/>
      <c r="AK114" s="1"/>
      <c r="AL114" s="1"/>
      <c r="AM114" s="1"/>
      <c r="AN114" s="1"/>
      <c r="AO114" s="1"/>
      <c r="AP114" s="1"/>
      <c r="AQ114" s="1"/>
    </row>
    <row r="115" spans="1:43" ht="17.25" thickBot="1" x14ac:dyDescent="0.35">
      <c r="A115" s="147"/>
      <c r="B115" s="97">
        <v>43678</v>
      </c>
      <c r="C115" s="107">
        <f>4*9</f>
        <v>36</v>
      </c>
      <c r="D115" s="150"/>
      <c r="E115" s="150"/>
      <c r="F115" s="100">
        <f>60*6+45</f>
        <v>405</v>
      </c>
      <c r="G115" s="7">
        <f t="shared" si="70"/>
        <v>4617</v>
      </c>
      <c r="H115" s="100">
        <v>0</v>
      </c>
      <c r="I115" s="7">
        <f t="shared" si="71"/>
        <v>0</v>
      </c>
      <c r="J115" s="100"/>
      <c r="K115" s="7">
        <f t="shared" si="66"/>
        <v>0</v>
      </c>
      <c r="L115" s="100">
        <v>23</v>
      </c>
      <c r="M115" s="7">
        <f t="shared" si="67"/>
        <v>322</v>
      </c>
      <c r="N115" s="100">
        <v>9</v>
      </c>
      <c r="O115" s="7">
        <f t="shared" si="68"/>
        <v>126</v>
      </c>
      <c r="P115" s="100">
        <v>23</v>
      </c>
      <c r="Q115" s="7">
        <f t="shared" si="69"/>
        <v>310.5</v>
      </c>
      <c r="R115" s="8">
        <f t="shared" si="72"/>
        <v>0.56277777777777782</v>
      </c>
      <c r="S115" s="8">
        <f t="shared" si="60"/>
        <v>149.31944444444446</v>
      </c>
      <c r="T115" s="152"/>
      <c r="U115" s="180"/>
      <c r="V115" s="152"/>
      <c r="W115" s="152"/>
      <c r="X115" s="100"/>
      <c r="Y115" s="7">
        <f t="shared" si="73"/>
        <v>0</v>
      </c>
      <c r="Z115" s="100"/>
      <c r="AA115" s="7">
        <f t="shared" si="92"/>
        <v>0</v>
      </c>
      <c r="AB115" s="2"/>
      <c r="AC115" s="2"/>
      <c r="AD115" s="2"/>
      <c r="AE115" s="2"/>
      <c r="AF115" s="2"/>
      <c r="AG115" s="1"/>
      <c r="AH115" s="1"/>
      <c r="AI115" s="1"/>
      <c r="AJ115" s="1"/>
      <c r="AK115" s="1"/>
      <c r="AL115" s="1"/>
      <c r="AM115" s="1"/>
      <c r="AN115" s="1"/>
      <c r="AO115" s="1"/>
      <c r="AP115" s="1"/>
      <c r="AQ115" s="1"/>
    </row>
    <row r="116" spans="1:43" ht="17.25" thickBot="1" x14ac:dyDescent="0.35">
      <c r="A116" s="147"/>
      <c r="B116" s="97">
        <v>43679</v>
      </c>
      <c r="C116" s="107">
        <v>53</v>
      </c>
      <c r="D116" s="150"/>
      <c r="E116" s="150"/>
      <c r="F116" s="100">
        <v>524</v>
      </c>
      <c r="G116" s="7">
        <f t="shared" si="70"/>
        <v>5973.6</v>
      </c>
      <c r="H116" s="100">
        <v>0</v>
      </c>
      <c r="I116" s="7">
        <f t="shared" si="71"/>
        <v>0</v>
      </c>
      <c r="J116" s="100"/>
      <c r="K116" s="7">
        <f t="shared" si="66"/>
        <v>0</v>
      </c>
      <c r="L116" s="100">
        <f>15+13</f>
        <v>28</v>
      </c>
      <c r="M116" s="7">
        <f t="shared" si="67"/>
        <v>392</v>
      </c>
      <c r="N116" s="100">
        <f>12+6</f>
        <v>18</v>
      </c>
      <c r="O116" s="7">
        <f t="shared" si="68"/>
        <v>252</v>
      </c>
      <c r="P116" s="100">
        <f>16+25</f>
        <v>41</v>
      </c>
      <c r="Q116" s="7">
        <f t="shared" si="69"/>
        <v>553.5</v>
      </c>
      <c r="R116" s="8">
        <f t="shared" si="72"/>
        <v>0.73528888888888888</v>
      </c>
      <c r="S116" s="8">
        <f t="shared" si="60"/>
        <v>135.30377358490566</v>
      </c>
      <c r="T116" s="152"/>
      <c r="U116" s="180"/>
      <c r="V116" s="152"/>
      <c r="W116" s="152"/>
      <c r="X116" s="100"/>
      <c r="Y116" s="7">
        <f t="shared" si="73"/>
        <v>0</v>
      </c>
      <c r="Z116" s="100"/>
      <c r="AA116" s="7">
        <f t="shared" si="92"/>
        <v>0</v>
      </c>
      <c r="AB116" s="2"/>
      <c r="AC116" s="2"/>
      <c r="AD116" s="2"/>
      <c r="AE116" s="2"/>
      <c r="AF116" s="2"/>
      <c r="AG116" s="1"/>
      <c r="AH116" s="1"/>
      <c r="AI116" s="1"/>
      <c r="AJ116" s="1"/>
      <c r="AK116" s="1"/>
      <c r="AL116" s="1"/>
      <c r="AM116" s="1"/>
      <c r="AN116" s="1"/>
      <c r="AO116" s="1"/>
      <c r="AP116" s="1"/>
      <c r="AQ116" s="1"/>
    </row>
    <row r="117" spans="1:43" ht="17.25" thickBot="1" x14ac:dyDescent="0.35">
      <c r="A117" s="148"/>
      <c r="B117" s="97"/>
      <c r="C117" s="108"/>
      <c r="D117" s="151"/>
      <c r="E117" s="151"/>
      <c r="F117" s="101"/>
      <c r="G117" s="39">
        <f t="shared" si="70"/>
        <v>0</v>
      </c>
      <c r="H117" s="101"/>
      <c r="I117" s="39">
        <f t="shared" si="71"/>
        <v>0</v>
      </c>
      <c r="J117" s="101"/>
      <c r="K117" s="39">
        <f t="shared" si="66"/>
        <v>0</v>
      </c>
      <c r="L117" s="101"/>
      <c r="M117" s="39">
        <f t="shared" si="67"/>
        <v>0</v>
      </c>
      <c r="N117" s="101"/>
      <c r="O117" s="39">
        <f t="shared" si="68"/>
        <v>0</v>
      </c>
      <c r="P117" s="101"/>
      <c r="Q117" s="39">
        <f t="shared" si="69"/>
        <v>0</v>
      </c>
      <c r="R117" s="36">
        <v>0</v>
      </c>
      <c r="S117" s="36" t="str">
        <f t="shared" si="60"/>
        <v/>
      </c>
      <c r="T117" s="152"/>
      <c r="U117" s="181"/>
      <c r="V117" s="152"/>
      <c r="W117" s="152"/>
      <c r="X117" s="101"/>
      <c r="Y117" s="39">
        <f t="shared" si="73"/>
        <v>0</v>
      </c>
      <c r="Z117" s="101"/>
      <c r="AA117" s="39">
        <f t="shared" si="92"/>
        <v>0</v>
      </c>
      <c r="AB117" s="2"/>
      <c r="AC117" s="2"/>
      <c r="AD117" s="2"/>
      <c r="AE117" s="2"/>
      <c r="AF117" s="2"/>
      <c r="AG117" s="1"/>
      <c r="AH117" s="1"/>
      <c r="AI117" s="1"/>
      <c r="AJ117" s="1"/>
      <c r="AK117" s="1"/>
      <c r="AL117" s="1"/>
      <c r="AM117" s="1"/>
      <c r="AN117" s="1"/>
      <c r="AO117" s="1"/>
      <c r="AP117" s="1"/>
      <c r="AQ117" s="1"/>
    </row>
    <row r="118" spans="1:43" ht="17.25" thickBot="1" x14ac:dyDescent="0.35">
      <c r="A118" s="147">
        <v>32</v>
      </c>
      <c r="B118" s="105">
        <v>43682</v>
      </c>
      <c r="C118" s="106">
        <f>9*4</f>
        <v>36</v>
      </c>
      <c r="D118" s="149">
        <f t="shared" ref="D118" si="107">SUM(G118:G123,I118:I123,K118:K123)</f>
        <v>16359</v>
      </c>
      <c r="E118" s="149">
        <f t="shared" ref="E118" si="108">SUM(G118:G123,I118:I123,M118:M123,O118:O123,Q118:Q123,K118:K123)</f>
        <v>20251</v>
      </c>
      <c r="F118" s="99">
        <v>420</v>
      </c>
      <c r="G118" s="7">
        <f t="shared" si="70"/>
        <v>4788</v>
      </c>
      <c r="H118" s="99">
        <v>0</v>
      </c>
      <c r="I118" s="7">
        <f t="shared" si="71"/>
        <v>0</v>
      </c>
      <c r="J118" s="99"/>
      <c r="K118" s="7">
        <f t="shared" si="66"/>
        <v>0</v>
      </c>
      <c r="L118" s="99">
        <v>18</v>
      </c>
      <c r="M118" s="7">
        <f t="shared" si="67"/>
        <v>252</v>
      </c>
      <c r="N118" s="99">
        <f>8+7</f>
        <v>15</v>
      </c>
      <c r="O118" s="7">
        <f t="shared" si="68"/>
        <v>210</v>
      </c>
      <c r="P118" s="99">
        <v>19</v>
      </c>
      <c r="Q118" s="7">
        <f t="shared" si="69"/>
        <v>256.5</v>
      </c>
      <c r="R118" s="8">
        <f t="shared" si="72"/>
        <v>0.58333333333333337</v>
      </c>
      <c r="S118" s="8">
        <f t="shared" si="60"/>
        <v>152.95833333333334</v>
      </c>
      <c r="T118" s="152">
        <f>AVERAGE(S118:S123)</f>
        <v>141.59082930756841</v>
      </c>
      <c r="U118" s="179">
        <f t="shared" ref="U118" si="109">(SUM(G118:G123)+SUM(I118:I123))/$F$1</f>
        <v>1.8176666666666668</v>
      </c>
      <c r="V118" s="152">
        <f t="shared" ref="V118" si="110">SUM(R118:R123)</f>
        <v>2.040111111111111</v>
      </c>
      <c r="W118" s="152">
        <v>2.8246666666666669</v>
      </c>
      <c r="X118" s="99"/>
      <c r="Y118" s="7">
        <f t="shared" si="73"/>
        <v>0</v>
      </c>
      <c r="Z118" s="99"/>
      <c r="AA118" s="7">
        <f t="shared" si="92"/>
        <v>0</v>
      </c>
      <c r="AB118" s="2"/>
      <c r="AC118" s="2"/>
      <c r="AD118" s="2"/>
      <c r="AE118" s="2"/>
      <c r="AF118" s="2"/>
      <c r="AG118" s="1"/>
      <c r="AH118" s="1"/>
      <c r="AI118" s="1"/>
      <c r="AJ118" s="1"/>
      <c r="AK118" s="1"/>
      <c r="AL118" s="1"/>
      <c r="AM118" s="1"/>
      <c r="AN118" s="1"/>
      <c r="AO118" s="1"/>
      <c r="AP118" s="1"/>
      <c r="AQ118" s="1"/>
    </row>
    <row r="119" spans="1:43" ht="17.25" thickBot="1" x14ac:dyDescent="0.35">
      <c r="A119" s="147"/>
      <c r="B119" s="97">
        <v>43683</v>
      </c>
      <c r="C119" s="107">
        <v>36</v>
      </c>
      <c r="D119" s="150"/>
      <c r="E119" s="150"/>
      <c r="F119" s="100">
        <f>60*7</f>
        <v>420</v>
      </c>
      <c r="G119" s="7">
        <f t="shared" si="70"/>
        <v>4788</v>
      </c>
      <c r="H119" s="100">
        <v>0</v>
      </c>
      <c r="I119" s="7">
        <f t="shared" si="71"/>
        <v>0</v>
      </c>
      <c r="J119" s="100"/>
      <c r="K119" s="7">
        <f t="shared" si="66"/>
        <v>0</v>
      </c>
      <c r="L119" s="100">
        <v>18</v>
      </c>
      <c r="M119" s="7">
        <f t="shared" si="67"/>
        <v>252</v>
      </c>
      <c r="N119" s="100">
        <v>16</v>
      </c>
      <c r="O119" s="7">
        <f t="shared" si="68"/>
        <v>224</v>
      </c>
      <c r="P119" s="100">
        <v>18</v>
      </c>
      <c r="Q119" s="7">
        <f t="shared" si="69"/>
        <v>243</v>
      </c>
      <c r="R119" s="8">
        <f t="shared" si="72"/>
        <v>0.5848888888888889</v>
      </c>
      <c r="S119" s="8">
        <f t="shared" si="60"/>
        <v>152.97222222222223</v>
      </c>
      <c r="T119" s="152"/>
      <c r="U119" s="180"/>
      <c r="V119" s="152"/>
      <c r="W119" s="152"/>
      <c r="X119" s="100">
        <v>1</v>
      </c>
      <c r="Y119" s="7">
        <f t="shared" si="73"/>
        <v>11.4</v>
      </c>
      <c r="Z119" s="100"/>
      <c r="AA119" s="7">
        <f t="shared" si="92"/>
        <v>0</v>
      </c>
      <c r="AB119" s="2"/>
      <c r="AC119" s="2"/>
      <c r="AD119" s="2"/>
      <c r="AE119" s="2"/>
      <c r="AF119" s="2"/>
      <c r="AG119" s="1"/>
      <c r="AH119" s="1"/>
      <c r="AI119" s="1"/>
      <c r="AJ119" s="1"/>
      <c r="AK119" s="1"/>
      <c r="AL119" s="1"/>
      <c r="AM119" s="1"/>
      <c r="AN119" s="1"/>
      <c r="AO119" s="1"/>
      <c r="AP119" s="1"/>
      <c r="AQ119" s="1"/>
    </row>
    <row r="120" spans="1:43" ht="17.25" thickBot="1" x14ac:dyDescent="0.35">
      <c r="A120" s="147"/>
      <c r="B120" s="97">
        <v>43684</v>
      </c>
      <c r="C120" s="107">
        <f>9*3</f>
        <v>27</v>
      </c>
      <c r="D120" s="150"/>
      <c r="E120" s="150"/>
      <c r="F120" s="100">
        <f>60*4+38</f>
        <v>278</v>
      </c>
      <c r="G120" s="7">
        <f t="shared" si="70"/>
        <v>3169.2000000000003</v>
      </c>
      <c r="H120" s="100">
        <v>8</v>
      </c>
      <c r="I120" s="7">
        <f t="shared" si="71"/>
        <v>91.2</v>
      </c>
      <c r="J120" s="100"/>
      <c r="K120" s="7">
        <f t="shared" si="66"/>
        <v>0</v>
      </c>
      <c r="L120" s="100">
        <f>5+8</f>
        <v>13</v>
      </c>
      <c r="M120" s="7">
        <f t="shared" si="67"/>
        <v>182</v>
      </c>
      <c r="N120" s="100">
        <v>18</v>
      </c>
      <c r="O120" s="7">
        <f t="shared" si="68"/>
        <v>252</v>
      </c>
      <c r="P120" s="100">
        <v>25</v>
      </c>
      <c r="Q120" s="7">
        <f t="shared" si="69"/>
        <v>337.5</v>
      </c>
      <c r="R120" s="8">
        <f t="shared" si="72"/>
        <v>0.4104888888888889</v>
      </c>
      <c r="S120" s="8">
        <f t="shared" si="60"/>
        <v>149.32962962962964</v>
      </c>
      <c r="T120" s="152"/>
      <c r="U120" s="180"/>
      <c r="V120" s="152"/>
      <c r="W120" s="152"/>
      <c r="X120" s="100"/>
      <c r="Y120" s="7">
        <f t="shared" si="73"/>
        <v>0</v>
      </c>
      <c r="Z120" s="100"/>
      <c r="AA120" s="7">
        <f t="shared" si="92"/>
        <v>0</v>
      </c>
      <c r="AB120" s="2"/>
      <c r="AC120" s="2"/>
      <c r="AD120" s="2"/>
      <c r="AE120" s="2"/>
      <c r="AF120" s="2"/>
      <c r="AG120" s="1"/>
      <c r="AH120" s="1"/>
      <c r="AI120" s="1"/>
      <c r="AJ120" s="1"/>
      <c r="AK120" s="1"/>
      <c r="AL120" s="1"/>
      <c r="AM120" s="1"/>
      <c r="AN120" s="1"/>
      <c r="AO120" s="1"/>
      <c r="AP120" s="1"/>
      <c r="AQ120" s="1"/>
    </row>
    <row r="121" spans="1:43" ht="17.25" thickBot="1" x14ac:dyDescent="0.35">
      <c r="A121" s="147"/>
      <c r="B121" s="97">
        <v>43685</v>
      </c>
      <c r="C121" s="107">
        <v>23</v>
      </c>
      <c r="D121" s="150"/>
      <c r="E121" s="150"/>
      <c r="F121" s="100">
        <f>60*2+15+22</f>
        <v>157</v>
      </c>
      <c r="G121" s="7">
        <f t="shared" si="70"/>
        <v>1789.8</v>
      </c>
      <c r="H121" s="100">
        <v>11</v>
      </c>
      <c r="I121" s="7">
        <f t="shared" si="71"/>
        <v>125.4</v>
      </c>
      <c r="J121" s="100"/>
      <c r="K121" s="7">
        <f t="shared" si="66"/>
        <v>0</v>
      </c>
      <c r="L121" s="100">
        <v>16</v>
      </c>
      <c r="M121" s="7">
        <f t="shared" si="67"/>
        <v>224</v>
      </c>
      <c r="N121" s="100">
        <v>12</v>
      </c>
      <c r="O121" s="7">
        <f t="shared" si="68"/>
        <v>168</v>
      </c>
      <c r="P121" s="100">
        <v>53</v>
      </c>
      <c r="Q121" s="7">
        <f t="shared" si="69"/>
        <v>715.5</v>
      </c>
      <c r="R121" s="8">
        <f t="shared" si="72"/>
        <v>0.25635555555555556</v>
      </c>
      <c r="S121" s="8">
        <f t="shared" si="60"/>
        <v>131.42173913043479</v>
      </c>
      <c r="T121" s="152"/>
      <c r="U121" s="180"/>
      <c r="V121" s="152"/>
      <c r="W121" s="152"/>
      <c r="X121" s="100"/>
      <c r="Y121" s="7">
        <f t="shared" si="73"/>
        <v>0</v>
      </c>
      <c r="Z121" s="100"/>
      <c r="AA121" s="7">
        <f t="shared" si="92"/>
        <v>0</v>
      </c>
      <c r="AB121" s="2"/>
      <c r="AC121" s="2"/>
      <c r="AD121" s="2"/>
      <c r="AE121" s="2"/>
      <c r="AF121" s="2"/>
      <c r="AG121" s="1"/>
      <c r="AH121" s="1"/>
      <c r="AI121" s="1"/>
      <c r="AJ121" s="1"/>
      <c r="AK121" s="1"/>
      <c r="AL121" s="1"/>
      <c r="AM121" s="1"/>
      <c r="AN121" s="1"/>
      <c r="AO121" s="1"/>
      <c r="AP121" s="1"/>
      <c r="AQ121" s="1"/>
    </row>
    <row r="122" spans="1:43" ht="17.25" thickBot="1" x14ac:dyDescent="0.35">
      <c r="A122" s="147"/>
      <c r="B122" s="97">
        <v>43686</v>
      </c>
      <c r="C122" s="107">
        <v>18</v>
      </c>
      <c r="D122" s="150"/>
      <c r="E122" s="150"/>
      <c r="F122" s="100">
        <f>45+60+32</f>
        <v>137</v>
      </c>
      <c r="G122" s="7">
        <f t="shared" si="70"/>
        <v>1561.8</v>
      </c>
      <c r="H122" s="100">
        <v>4</v>
      </c>
      <c r="I122" s="7">
        <f t="shared" si="71"/>
        <v>45.6</v>
      </c>
      <c r="J122" s="100"/>
      <c r="K122" s="7">
        <f t="shared" si="66"/>
        <v>0</v>
      </c>
      <c r="L122" s="100">
        <v>8</v>
      </c>
      <c r="M122" s="7">
        <f t="shared" si="67"/>
        <v>112</v>
      </c>
      <c r="N122" s="100">
        <v>9</v>
      </c>
      <c r="O122" s="7">
        <f t="shared" si="68"/>
        <v>126</v>
      </c>
      <c r="P122" s="100">
        <v>25</v>
      </c>
      <c r="Q122" s="7">
        <f t="shared" si="69"/>
        <v>337.5</v>
      </c>
      <c r="R122" s="8">
        <f t="shared" si="72"/>
        <v>0.20504444444444442</v>
      </c>
      <c r="S122" s="8">
        <f t="shared" si="60"/>
        <v>121.2722222222222</v>
      </c>
      <c r="T122" s="152"/>
      <c r="U122" s="180"/>
      <c r="V122" s="152"/>
      <c r="W122" s="152"/>
      <c r="X122" s="100"/>
      <c r="Y122" s="7">
        <f t="shared" si="73"/>
        <v>0</v>
      </c>
      <c r="Z122" s="100"/>
      <c r="AA122" s="7">
        <f t="shared" si="92"/>
        <v>0</v>
      </c>
      <c r="AB122" s="2"/>
      <c r="AC122" s="2"/>
      <c r="AD122" s="2"/>
      <c r="AE122" s="2"/>
      <c r="AF122" s="2"/>
      <c r="AG122" s="1"/>
      <c r="AH122" s="1"/>
      <c r="AI122" s="1"/>
      <c r="AJ122" s="1"/>
      <c r="AK122" s="1"/>
      <c r="AL122" s="1"/>
      <c r="AM122" s="1"/>
      <c r="AN122" s="1"/>
      <c r="AO122" s="1"/>
      <c r="AP122" s="1"/>
      <c r="AQ122" s="1"/>
    </row>
    <row r="123" spans="1:43" ht="17.25" thickBot="1" x14ac:dyDescent="0.35">
      <c r="A123" s="147"/>
      <c r="B123" s="97"/>
      <c r="C123" s="108"/>
      <c r="D123" s="151"/>
      <c r="E123" s="151"/>
      <c r="F123" s="101"/>
      <c r="G123" s="7">
        <f t="shared" si="70"/>
        <v>0</v>
      </c>
      <c r="H123" s="101"/>
      <c r="I123" s="7">
        <f t="shared" si="71"/>
        <v>0</v>
      </c>
      <c r="J123" s="101"/>
      <c r="K123" s="7">
        <f t="shared" si="66"/>
        <v>0</v>
      </c>
      <c r="L123" s="101"/>
      <c r="M123" s="7">
        <f t="shared" si="67"/>
        <v>0</v>
      </c>
      <c r="N123" s="101"/>
      <c r="O123" s="7">
        <f t="shared" si="68"/>
        <v>0</v>
      </c>
      <c r="P123" s="101"/>
      <c r="Q123" s="7">
        <f t="shared" si="69"/>
        <v>0</v>
      </c>
      <c r="R123" s="8">
        <f t="shared" si="72"/>
        <v>0</v>
      </c>
      <c r="S123" s="8" t="str">
        <f t="shared" si="60"/>
        <v/>
      </c>
      <c r="T123" s="152"/>
      <c r="U123" s="181"/>
      <c r="V123" s="152"/>
      <c r="W123" s="152"/>
      <c r="X123" s="101"/>
      <c r="Y123" s="7">
        <f t="shared" si="73"/>
        <v>0</v>
      </c>
      <c r="Z123" s="101"/>
      <c r="AA123" s="7">
        <f t="shared" si="92"/>
        <v>0</v>
      </c>
      <c r="AB123" s="2"/>
      <c r="AC123" s="2"/>
      <c r="AD123" s="2"/>
      <c r="AE123" s="2"/>
      <c r="AF123" s="2"/>
      <c r="AG123" s="1"/>
      <c r="AH123" s="1"/>
      <c r="AI123" s="1"/>
      <c r="AJ123" s="1"/>
      <c r="AK123" s="1"/>
      <c r="AL123" s="1"/>
      <c r="AM123" s="1"/>
      <c r="AN123" s="1"/>
      <c r="AO123" s="1"/>
      <c r="AP123" s="1"/>
      <c r="AQ123" s="1"/>
    </row>
    <row r="124" spans="1:43" ht="17.25" thickBot="1" x14ac:dyDescent="0.35">
      <c r="A124" s="146">
        <v>33</v>
      </c>
      <c r="B124" s="105">
        <v>43689</v>
      </c>
      <c r="C124" s="106">
        <f>18+4</f>
        <v>22</v>
      </c>
      <c r="D124" s="149">
        <f t="shared" ref="D124" si="111">SUM(G124:G129,I124:I129,K124:K129)</f>
        <v>9849.6</v>
      </c>
      <c r="E124" s="149">
        <f t="shared" ref="E124" si="112">SUM(G124:G129,I124:I129,M124:M129,O124:O129,Q124:Q129,K124:K129)</f>
        <v>12576.1</v>
      </c>
      <c r="F124" s="99">
        <f>120+15+45+42</f>
        <v>222</v>
      </c>
      <c r="G124" s="40">
        <f t="shared" si="70"/>
        <v>2530.8000000000002</v>
      </c>
      <c r="H124" s="99">
        <v>5</v>
      </c>
      <c r="I124" s="40">
        <f t="shared" si="71"/>
        <v>57</v>
      </c>
      <c r="J124" s="99"/>
      <c r="K124" s="40">
        <f t="shared" si="66"/>
        <v>0</v>
      </c>
      <c r="L124" s="99">
        <v>8</v>
      </c>
      <c r="M124" s="40">
        <f t="shared" si="67"/>
        <v>112</v>
      </c>
      <c r="N124" s="99">
        <v>12</v>
      </c>
      <c r="O124" s="40">
        <f t="shared" si="68"/>
        <v>168</v>
      </c>
      <c r="P124" s="99">
        <v>16</v>
      </c>
      <c r="Q124" s="40">
        <f t="shared" si="69"/>
        <v>216</v>
      </c>
      <c r="R124" s="34">
        <f t="shared" si="72"/>
        <v>0.31864444444444445</v>
      </c>
      <c r="S124" s="31"/>
      <c r="T124" s="152">
        <f t="shared" ref="T124" si="113">AVERAGE(S124:S129)</f>
        <v>139.61333333333334</v>
      </c>
      <c r="U124" s="179">
        <f t="shared" ref="U124" si="114">(SUM(G124:G129)+SUM(I124:I129))/$F$1</f>
        <v>1.0944</v>
      </c>
      <c r="V124" s="152">
        <f t="shared" ref="V124" si="115">SUM(R124:R129)</f>
        <v>1.2188444444444446</v>
      </c>
      <c r="W124" s="152">
        <v>1.7308888888888889</v>
      </c>
      <c r="X124" s="99">
        <v>1</v>
      </c>
      <c r="Y124" s="40">
        <f t="shared" si="73"/>
        <v>11.4</v>
      </c>
      <c r="Z124" s="99">
        <v>0.5</v>
      </c>
      <c r="AA124" s="40">
        <f t="shared" si="92"/>
        <v>5.7</v>
      </c>
      <c r="AB124" s="2"/>
      <c r="AC124" s="2"/>
      <c r="AD124" s="2"/>
      <c r="AE124" s="2"/>
      <c r="AF124" s="2"/>
      <c r="AG124" s="1"/>
      <c r="AH124" s="1"/>
      <c r="AI124" s="1"/>
      <c r="AJ124" s="1"/>
      <c r="AK124" s="1"/>
      <c r="AL124" s="1"/>
      <c r="AM124" s="1"/>
      <c r="AN124" s="1"/>
      <c r="AO124" s="1"/>
      <c r="AP124" s="1"/>
      <c r="AQ124" s="1"/>
    </row>
    <row r="125" spans="1:43" ht="17.25" thickBot="1" x14ac:dyDescent="0.35">
      <c r="A125" s="147"/>
      <c r="B125" s="97">
        <v>43690</v>
      </c>
      <c r="C125" s="107">
        <v>20</v>
      </c>
      <c r="D125" s="150"/>
      <c r="E125" s="150"/>
      <c r="F125" s="100">
        <f>18+60*3+15</f>
        <v>213</v>
      </c>
      <c r="G125" s="7">
        <f t="shared" si="70"/>
        <v>2428.2000000000003</v>
      </c>
      <c r="H125" s="100">
        <v>10</v>
      </c>
      <c r="I125" s="7">
        <f t="shared" si="71"/>
        <v>114</v>
      </c>
      <c r="J125" s="100"/>
      <c r="K125" s="7">
        <f t="shared" si="66"/>
        <v>0</v>
      </c>
      <c r="L125" s="100">
        <v>7</v>
      </c>
      <c r="M125" s="7">
        <f t="shared" si="67"/>
        <v>98</v>
      </c>
      <c r="N125" s="100">
        <v>10</v>
      </c>
      <c r="O125" s="7">
        <f t="shared" si="68"/>
        <v>140</v>
      </c>
      <c r="P125" s="100">
        <v>18</v>
      </c>
      <c r="Q125" s="7">
        <f t="shared" si="69"/>
        <v>243</v>
      </c>
      <c r="R125" s="8">
        <f t="shared" si="72"/>
        <v>0.30891111111111114</v>
      </c>
      <c r="S125" s="4">
        <f t="shared" si="60"/>
        <v>151.16000000000003</v>
      </c>
      <c r="T125" s="152"/>
      <c r="U125" s="180"/>
      <c r="V125" s="152"/>
      <c r="W125" s="152"/>
      <c r="X125" s="100"/>
      <c r="Y125" s="7">
        <f t="shared" si="73"/>
        <v>0</v>
      </c>
      <c r="Z125" s="100"/>
      <c r="AA125" s="7">
        <f t="shared" si="92"/>
        <v>0</v>
      </c>
      <c r="AB125" s="2"/>
      <c r="AC125" s="2"/>
      <c r="AD125" s="2"/>
      <c r="AE125" s="2"/>
      <c r="AF125" s="2"/>
      <c r="AG125" s="1"/>
      <c r="AH125" s="1"/>
      <c r="AI125" s="1"/>
      <c r="AJ125" s="1"/>
      <c r="AK125" s="1"/>
      <c r="AL125" s="1"/>
      <c r="AM125" s="1"/>
      <c r="AN125" s="1"/>
      <c r="AO125" s="1"/>
      <c r="AP125" s="1"/>
      <c r="AQ125" s="1"/>
    </row>
    <row r="126" spans="1:43" ht="17.25" thickBot="1" x14ac:dyDescent="0.35">
      <c r="A126" s="147"/>
      <c r="B126" s="97">
        <v>43691</v>
      </c>
      <c r="C126" s="107">
        <v>20</v>
      </c>
      <c r="D126" s="150"/>
      <c r="E126" s="150"/>
      <c r="F126" s="100">
        <f>45+45+15+60+15</f>
        <v>180</v>
      </c>
      <c r="G126" s="7">
        <f t="shared" si="70"/>
        <v>2052</v>
      </c>
      <c r="H126" s="100">
        <v>18</v>
      </c>
      <c r="I126" s="7">
        <f t="shared" si="71"/>
        <v>205.20000000000002</v>
      </c>
      <c r="J126" s="100"/>
      <c r="K126" s="7">
        <f t="shared" si="66"/>
        <v>0</v>
      </c>
      <c r="L126" s="100">
        <v>8</v>
      </c>
      <c r="M126" s="7">
        <f t="shared" si="67"/>
        <v>112</v>
      </c>
      <c r="N126" s="100">
        <v>11</v>
      </c>
      <c r="O126" s="7">
        <f t="shared" si="68"/>
        <v>154</v>
      </c>
      <c r="P126" s="100">
        <v>20</v>
      </c>
      <c r="Q126" s="7">
        <f t="shared" si="69"/>
        <v>270</v>
      </c>
      <c r="R126" s="8">
        <f t="shared" si="72"/>
        <v>0.28035555555555552</v>
      </c>
      <c r="S126" s="4">
        <f t="shared" si="60"/>
        <v>139.66</v>
      </c>
      <c r="T126" s="152"/>
      <c r="U126" s="180"/>
      <c r="V126" s="152"/>
      <c r="W126" s="152"/>
      <c r="X126" s="100"/>
      <c r="Y126" s="7">
        <f t="shared" si="73"/>
        <v>0</v>
      </c>
      <c r="Z126" s="100"/>
      <c r="AA126" s="7">
        <f t="shared" si="92"/>
        <v>0</v>
      </c>
      <c r="AB126" s="2"/>
      <c r="AC126" s="2"/>
      <c r="AD126" s="2"/>
      <c r="AE126" s="2"/>
      <c r="AF126" s="2"/>
      <c r="AG126" s="1"/>
      <c r="AH126" s="1"/>
      <c r="AI126" s="1"/>
      <c r="AJ126" s="1"/>
      <c r="AK126" s="1"/>
      <c r="AL126" s="1"/>
      <c r="AM126" s="1"/>
      <c r="AN126" s="1"/>
      <c r="AO126" s="1"/>
      <c r="AP126" s="1"/>
      <c r="AQ126" s="1"/>
    </row>
    <row r="127" spans="1:43" ht="17.25" thickBot="1" x14ac:dyDescent="0.35">
      <c r="A127" s="147"/>
      <c r="B127" s="97"/>
      <c r="C127" s="107"/>
      <c r="D127" s="150"/>
      <c r="E127" s="150"/>
      <c r="F127" s="100"/>
      <c r="G127" s="7">
        <f t="shared" si="70"/>
        <v>0</v>
      </c>
      <c r="H127" s="100"/>
      <c r="I127" s="7">
        <f t="shared" si="71"/>
        <v>0</v>
      </c>
      <c r="J127" s="100"/>
      <c r="K127" s="7">
        <f t="shared" si="66"/>
        <v>0</v>
      </c>
      <c r="L127" s="100"/>
      <c r="M127" s="7">
        <f t="shared" si="67"/>
        <v>0</v>
      </c>
      <c r="N127" s="100"/>
      <c r="O127" s="7">
        <f t="shared" si="68"/>
        <v>0</v>
      </c>
      <c r="P127" s="100"/>
      <c r="Q127" s="7">
        <f t="shared" si="69"/>
        <v>0</v>
      </c>
      <c r="R127" s="8">
        <f t="shared" si="72"/>
        <v>0</v>
      </c>
      <c r="S127" s="4" t="str">
        <f t="shared" si="60"/>
        <v/>
      </c>
      <c r="T127" s="152"/>
      <c r="U127" s="180"/>
      <c r="V127" s="152"/>
      <c r="W127" s="152"/>
      <c r="X127" s="100"/>
      <c r="Y127" s="7">
        <f t="shared" si="73"/>
        <v>0</v>
      </c>
      <c r="Z127" s="100"/>
      <c r="AA127" s="7">
        <f t="shared" si="92"/>
        <v>0</v>
      </c>
      <c r="AB127" s="2"/>
      <c r="AC127" s="2"/>
      <c r="AD127" s="2"/>
      <c r="AE127" s="2"/>
      <c r="AF127" s="2"/>
      <c r="AG127" s="1"/>
      <c r="AH127" s="1"/>
      <c r="AI127" s="1"/>
      <c r="AJ127" s="1"/>
      <c r="AK127" s="1"/>
      <c r="AL127" s="1"/>
      <c r="AM127" s="1"/>
      <c r="AN127" s="1"/>
      <c r="AO127" s="1"/>
      <c r="AP127" s="1"/>
      <c r="AQ127" s="1"/>
    </row>
    <row r="128" spans="1:43" ht="17.25" thickBot="1" x14ac:dyDescent="0.35">
      <c r="A128" s="147"/>
      <c r="B128" s="97">
        <v>43693</v>
      </c>
      <c r="C128" s="107">
        <v>18</v>
      </c>
      <c r="D128" s="150"/>
      <c r="E128" s="150"/>
      <c r="F128" s="100">
        <f>120</f>
        <v>120</v>
      </c>
      <c r="G128" s="7">
        <f t="shared" si="70"/>
        <v>1368</v>
      </c>
      <c r="H128" s="100">
        <v>21</v>
      </c>
      <c r="I128" s="7">
        <f t="shared" si="71"/>
        <v>239.4</v>
      </c>
      <c r="J128" s="100"/>
      <c r="K128" s="7">
        <f t="shared" si="66"/>
        <v>0</v>
      </c>
      <c r="L128" s="100">
        <v>10</v>
      </c>
      <c r="M128" s="7">
        <f t="shared" si="67"/>
        <v>140</v>
      </c>
      <c r="N128" s="100">
        <v>8</v>
      </c>
      <c r="O128" s="7">
        <f t="shared" si="68"/>
        <v>112</v>
      </c>
      <c r="P128" s="100">
        <v>50</v>
      </c>
      <c r="Q128" s="7">
        <f t="shared" si="69"/>
        <v>675</v>
      </c>
      <c r="R128" s="8">
        <f t="shared" si="72"/>
        <v>0.20660000000000001</v>
      </c>
      <c r="S128" s="4">
        <f t="shared" si="60"/>
        <v>140.80000000000001</v>
      </c>
      <c r="T128" s="152"/>
      <c r="U128" s="180"/>
      <c r="V128" s="152"/>
      <c r="W128" s="152"/>
      <c r="X128" s="100"/>
      <c r="Y128" s="7">
        <f t="shared" si="73"/>
        <v>0</v>
      </c>
      <c r="Z128" s="100"/>
      <c r="AA128" s="7">
        <f t="shared" si="92"/>
        <v>0</v>
      </c>
      <c r="AB128" s="2"/>
      <c r="AC128" s="2"/>
      <c r="AD128" s="2"/>
      <c r="AE128" s="2"/>
      <c r="AF128" s="2"/>
      <c r="AG128" s="1"/>
      <c r="AH128" s="1"/>
      <c r="AI128" s="1"/>
      <c r="AJ128" s="1"/>
      <c r="AK128" s="1"/>
      <c r="AL128" s="1"/>
      <c r="AM128" s="1"/>
      <c r="AN128" s="1"/>
      <c r="AO128" s="1"/>
      <c r="AP128" s="1"/>
      <c r="AQ128" s="1"/>
    </row>
    <row r="129" spans="1:43" ht="17.25" thickBot="1" x14ac:dyDescent="0.35">
      <c r="A129" s="148"/>
      <c r="B129" s="98">
        <v>43694</v>
      </c>
      <c r="C129" s="108">
        <v>9</v>
      </c>
      <c r="D129" s="151"/>
      <c r="E129" s="151"/>
      <c r="F129" s="101">
        <v>68</v>
      </c>
      <c r="G129" s="39">
        <f t="shared" si="70"/>
        <v>775.2</v>
      </c>
      <c r="H129" s="101">
        <v>7</v>
      </c>
      <c r="I129" s="39">
        <f t="shared" si="71"/>
        <v>79.8</v>
      </c>
      <c r="J129" s="101"/>
      <c r="K129" s="39">
        <f t="shared" si="66"/>
        <v>0</v>
      </c>
      <c r="L129" s="101">
        <v>2</v>
      </c>
      <c r="M129" s="39">
        <f t="shared" si="67"/>
        <v>28</v>
      </c>
      <c r="N129" s="101">
        <v>4</v>
      </c>
      <c r="O129" s="39">
        <f t="shared" si="68"/>
        <v>56</v>
      </c>
      <c r="P129" s="101">
        <v>15</v>
      </c>
      <c r="Q129" s="39">
        <f t="shared" si="69"/>
        <v>202.5</v>
      </c>
      <c r="R129" s="36">
        <f t="shared" si="72"/>
        <v>0.10433333333333333</v>
      </c>
      <c r="S129" s="35">
        <f t="shared" si="60"/>
        <v>126.83333333333333</v>
      </c>
      <c r="T129" s="152"/>
      <c r="U129" s="181"/>
      <c r="V129" s="152"/>
      <c r="W129" s="152"/>
      <c r="X129" s="101"/>
      <c r="Y129" s="39">
        <f t="shared" si="73"/>
        <v>0</v>
      </c>
      <c r="Z129" s="101"/>
      <c r="AA129" s="39">
        <f t="shared" si="92"/>
        <v>0</v>
      </c>
      <c r="AB129" s="2"/>
      <c r="AC129" s="2"/>
      <c r="AD129" s="2"/>
      <c r="AE129" s="2"/>
      <c r="AF129" s="2"/>
      <c r="AG129" s="1"/>
      <c r="AH129" s="1"/>
      <c r="AI129" s="1"/>
      <c r="AJ129" s="1"/>
      <c r="AK129" s="1"/>
      <c r="AL129" s="1"/>
      <c r="AM129" s="1"/>
      <c r="AN129" s="1"/>
      <c r="AO129" s="1"/>
      <c r="AP129" s="1"/>
      <c r="AQ129" s="1"/>
    </row>
    <row r="130" spans="1:43" ht="17.25" thickBot="1" x14ac:dyDescent="0.35">
      <c r="A130" s="147">
        <v>34</v>
      </c>
      <c r="B130" s="105">
        <v>43696</v>
      </c>
      <c r="C130" s="106">
        <v>18</v>
      </c>
      <c r="D130" s="149">
        <f t="shared" ref="D130" si="116">SUM(G130:G135,I130:I135,K130:K135)</f>
        <v>7273.2000000000007</v>
      </c>
      <c r="E130" s="149">
        <f t="shared" ref="E130" si="117">SUM(G130:G135,I130:I135,M130:M135,O130:O135,Q130:Q135,K130:K135)</f>
        <v>11006.7</v>
      </c>
      <c r="F130" s="99">
        <v>138</v>
      </c>
      <c r="G130" s="7">
        <f t="shared" si="70"/>
        <v>1573.2</v>
      </c>
      <c r="H130" s="99">
        <v>22</v>
      </c>
      <c r="I130" s="7">
        <f t="shared" si="71"/>
        <v>250.8</v>
      </c>
      <c r="J130" s="99"/>
      <c r="K130" s="7">
        <f t="shared" si="66"/>
        <v>0</v>
      </c>
      <c r="L130" s="99">
        <v>7</v>
      </c>
      <c r="M130" s="7">
        <f t="shared" si="67"/>
        <v>98</v>
      </c>
      <c r="N130" s="99">
        <v>6</v>
      </c>
      <c r="O130" s="7">
        <f t="shared" si="68"/>
        <v>84</v>
      </c>
      <c r="P130" s="99">
        <v>27</v>
      </c>
      <c r="Q130" s="7">
        <f t="shared" si="69"/>
        <v>364.5</v>
      </c>
      <c r="R130" s="8">
        <f t="shared" si="72"/>
        <v>0.22288888888888889</v>
      </c>
      <c r="S130" s="31">
        <f t="shared" si="60"/>
        <v>131.69444444444446</v>
      </c>
      <c r="T130" s="152">
        <f>AVERAGE(S130:S135)</f>
        <v>122.29666666666667</v>
      </c>
      <c r="U130" s="179">
        <f t="shared" ref="U130" si="118">(SUM(G130:G135)+SUM(I130:I135))/$F$1</f>
        <v>0.80813333333333337</v>
      </c>
      <c r="V130" s="152">
        <f t="shared" ref="V130" si="119">SUM(R130:R135)</f>
        <v>0.91546666666666665</v>
      </c>
      <c r="W130" s="152">
        <v>1.1810666666666665</v>
      </c>
      <c r="X130" s="99"/>
      <c r="Y130" s="7">
        <f t="shared" si="73"/>
        <v>0</v>
      </c>
      <c r="Z130" s="99"/>
      <c r="AA130" s="7">
        <f t="shared" si="92"/>
        <v>0</v>
      </c>
      <c r="AB130" s="2"/>
      <c r="AC130" s="2"/>
      <c r="AD130" s="2"/>
      <c r="AE130" s="2"/>
      <c r="AF130" s="2"/>
      <c r="AG130" s="1"/>
      <c r="AH130" s="1"/>
      <c r="AI130" s="1"/>
      <c r="AJ130" s="1"/>
      <c r="AK130" s="1"/>
      <c r="AL130" s="1"/>
      <c r="AM130" s="1"/>
      <c r="AN130" s="1"/>
      <c r="AO130" s="1"/>
      <c r="AP130" s="1"/>
      <c r="AQ130" s="1"/>
    </row>
    <row r="131" spans="1:43" ht="17.25" thickBot="1" x14ac:dyDescent="0.35">
      <c r="A131" s="147"/>
      <c r="B131" s="97">
        <v>43697</v>
      </c>
      <c r="C131" s="107">
        <v>18</v>
      </c>
      <c r="D131" s="150"/>
      <c r="E131" s="150"/>
      <c r="F131" s="100">
        <v>124</v>
      </c>
      <c r="G131" s="7">
        <f t="shared" si="70"/>
        <v>1413.6000000000001</v>
      </c>
      <c r="H131" s="100">
        <v>24</v>
      </c>
      <c r="I131" s="7">
        <f t="shared" si="71"/>
        <v>273.60000000000002</v>
      </c>
      <c r="J131" s="100"/>
      <c r="K131" s="7">
        <f t="shared" si="66"/>
        <v>0</v>
      </c>
      <c r="L131" s="100">
        <v>7</v>
      </c>
      <c r="M131" s="7">
        <f t="shared" si="67"/>
        <v>98</v>
      </c>
      <c r="N131" s="100">
        <v>5</v>
      </c>
      <c r="O131" s="7">
        <f t="shared" si="68"/>
        <v>70</v>
      </c>
      <c r="P131" s="100">
        <v>36</v>
      </c>
      <c r="Q131" s="7">
        <f t="shared" si="69"/>
        <v>486</v>
      </c>
      <c r="R131" s="8">
        <f t="shared" si="72"/>
        <v>0.20613333333333336</v>
      </c>
      <c r="S131" s="4">
        <f t="shared" si="60"/>
        <v>130.06666666666669</v>
      </c>
      <c r="T131" s="152"/>
      <c r="U131" s="180"/>
      <c r="V131" s="152"/>
      <c r="W131" s="152"/>
      <c r="X131" s="100">
        <v>1</v>
      </c>
      <c r="Y131" s="7">
        <f t="shared" si="73"/>
        <v>11.4</v>
      </c>
      <c r="Z131" s="100">
        <v>0.5</v>
      </c>
      <c r="AA131" s="7">
        <f t="shared" si="92"/>
        <v>5.7</v>
      </c>
      <c r="AB131" s="2"/>
      <c r="AC131" s="2"/>
      <c r="AD131" s="2"/>
      <c r="AE131" s="2"/>
      <c r="AF131" s="2"/>
      <c r="AG131" s="1"/>
      <c r="AH131" s="1"/>
      <c r="AI131" s="1"/>
      <c r="AJ131" s="1"/>
      <c r="AK131" s="1"/>
      <c r="AL131" s="1"/>
      <c r="AM131" s="1"/>
      <c r="AN131" s="1"/>
      <c r="AO131" s="1"/>
      <c r="AP131" s="1"/>
      <c r="AQ131" s="1"/>
    </row>
    <row r="132" spans="1:43" ht="17.25" thickBot="1" x14ac:dyDescent="0.35">
      <c r="A132" s="147"/>
      <c r="B132" s="97">
        <v>43698</v>
      </c>
      <c r="C132" s="107">
        <v>18</v>
      </c>
      <c r="D132" s="150"/>
      <c r="E132" s="150"/>
      <c r="F132" s="100">
        <v>108</v>
      </c>
      <c r="G132" s="7">
        <f t="shared" si="70"/>
        <v>1231.2</v>
      </c>
      <c r="H132" s="100">
        <v>30</v>
      </c>
      <c r="I132" s="7">
        <f t="shared" si="71"/>
        <v>342</v>
      </c>
      <c r="J132" s="100"/>
      <c r="K132" s="7">
        <f t="shared" si="66"/>
        <v>0</v>
      </c>
      <c r="L132" s="100">
        <v>8</v>
      </c>
      <c r="M132" s="7">
        <f t="shared" si="67"/>
        <v>112</v>
      </c>
      <c r="N132" s="100">
        <v>7</v>
      </c>
      <c r="O132" s="7">
        <f t="shared" si="68"/>
        <v>98</v>
      </c>
      <c r="P132" s="100">
        <v>49</v>
      </c>
      <c r="Q132" s="7">
        <f t="shared" si="69"/>
        <v>661.5</v>
      </c>
      <c r="R132" s="8">
        <f t="shared" si="72"/>
        <v>0.19813333333333333</v>
      </c>
      <c r="S132" s="4">
        <f t="shared" si="60"/>
        <v>135.81666666666666</v>
      </c>
      <c r="T132" s="152"/>
      <c r="U132" s="180"/>
      <c r="V132" s="152"/>
      <c r="W132" s="152"/>
      <c r="X132" s="100"/>
      <c r="Y132" s="7">
        <f t="shared" si="73"/>
        <v>0</v>
      </c>
      <c r="Z132" s="100"/>
      <c r="AA132" s="7">
        <f t="shared" si="92"/>
        <v>0</v>
      </c>
      <c r="AB132" s="2"/>
      <c r="AC132" s="2"/>
      <c r="AD132" s="2"/>
      <c r="AE132" s="2"/>
      <c r="AF132" s="2"/>
      <c r="AG132" s="1"/>
      <c r="AH132" s="1"/>
      <c r="AI132" s="1"/>
      <c r="AJ132" s="1"/>
      <c r="AK132" s="1"/>
      <c r="AL132" s="1"/>
      <c r="AM132" s="1"/>
      <c r="AN132" s="1"/>
      <c r="AO132" s="1"/>
      <c r="AP132" s="1"/>
      <c r="AQ132" s="1"/>
    </row>
    <row r="133" spans="1:43" ht="17.25" thickBot="1" x14ac:dyDescent="0.35">
      <c r="A133" s="147"/>
      <c r="B133" s="97">
        <v>43699</v>
      </c>
      <c r="C133" s="107">
        <v>18</v>
      </c>
      <c r="D133" s="150"/>
      <c r="E133" s="150"/>
      <c r="F133" s="100">
        <v>74</v>
      </c>
      <c r="G133" s="7">
        <f t="shared" si="70"/>
        <v>843.6</v>
      </c>
      <c r="H133" s="100">
        <v>33</v>
      </c>
      <c r="I133" s="7">
        <f t="shared" si="71"/>
        <v>376.2</v>
      </c>
      <c r="J133" s="100"/>
      <c r="K133" s="7">
        <f t="shared" si="66"/>
        <v>0</v>
      </c>
      <c r="L133" s="100">
        <v>9</v>
      </c>
      <c r="M133" s="7">
        <f t="shared" si="67"/>
        <v>126</v>
      </c>
      <c r="N133" s="100">
        <v>7</v>
      </c>
      <c r="O133" s="7">
        <f t="shared" si="68"/>
        <v>98</v>
      </c>
      <c r="P133" s="100">
        <v>44</v>
      </c>
      <c r="Q133" s="7">
        <f t="shared" si="69"/>
        <v>594</v>
      </c>
      <c r="R133" s="8">
        <f t="shared" si="72"/>
        <v>0.16042222222222222</v>
      </c>
      <c r="S133" s="4">
        <f t="shared" ref="S133:S196" si="120">IF(C133=0,"",(G133+I133+M133+O133+Q133+K133)/C133)</f>
        <v>113.21111111111111</v>
      </c>
      <c r="T133" s="152"/>
      <c r="U133" s="180"/>
      <c r="V133" s="152"/>
      <c r="W133" s="152"/>
      <c r="X133" s="100"/>
      <c r="Y133" s="7">
        <f t="shared" si="73"/>
        <v>0</v>
      </c>
      <c r="Z133" s="100"/>
      <c r="AA133" s="7">
        <f t="shared" si="92"/>
        <v>0</v>
      </c>
      <c r="AB133" s="2"/>
      <c r="AC133" s="2"/>
      <c r="AD133" s="2"/>
      <c r="AE133" s="2"/>
      <c r="AF133" s="2"/>
      <c r="AG133" s="1"/>
      <c r="AH133" s="1"/>
      <c r="AI133" s="1"/>
      <c r="AJ133" s="1"/>
      <c r="AK133" s="1"/>
      <c r="AL133" s="1"/>
      <c r="AM133" s="1"/>
      <c r="AN133" s="1"/>
      <c r="AO133" s="1"/>
      <c r="AP133" s="1"/>
      <c r="AQ133" s="1"/>
    </row>
    <row r="134" spans="1:43" ht="17.25" thickBot="1" x14ac:dyDescent="0.35">
      <c r="A134" s="147"/>
      <c r="B134" s="97">
        <v>43700</v>
      </c>
      <c r="C134" s="107">
        <v>18</v>
      </c>
      <c r="D134" s="150"/>
      <c r="E134" s="150"/>
      <c r="F134" s="100">
        <v>62</v>
      </c>
      <c r="G134" s="7">
        <f t="shared" si="70"/>
        <v>706.80000000000007</v>
      </c>
      <c r="H134" s="100">
        <v>23</v>
      </c>
      <c r="I134" s="7">
        <f t="shared" si="71"/>
        <v>262.2</v>
      </c>
      <c r="J134" s="100"/>
      <c r="K134" s="7">
        <f t="shared" si="66"/>
        <v>0</v>
      </c>
      <c r="L134" s="100">
        <v>6</v>
      </c>
      <c r="M134" s="7">
        <f t="shared" si="67"/>
        <v>84</v>
      </c>
      <c r="N134" s="100">
        <v>7</v>
      </c>
      <c r="O134" s="7">
        <f t="shared" si="68"/>
        <v>98</v>
      </c>
      <c r="P134" s="100">
        <v>49</v>
      </c>
      <c r="Q134" s="7">
        <f t="shared" si="69"/>
        <v>661.5</v>
      </c>
      <c r="R134" s="8">
        <f t="shared" si="72"/>
        <v>0.12788888888888889</v>
      </c>
      <c r="S134" s="4">
        <f t="shared" si="120"/>
        <v>100.69444444444444</v>
      </c>
      <c r="T134" s="152"/>
      <c r="U134" s="180"/>
      <c r="V134" s="152"/>
      <c r="W134" s="152"/>
      <c r="X134" s="100"/>
      <c r="Y134" s="7">
        <f t="shared" si="73"/>
        <v>0</v>
      </c>
      <c r="Z134" s="100"/>
      <c r="AA134" s="7">
        <f t="shared" si="92"/>
        <v>0</v>
      </c>
      <c r="AB134" s="2"/>
      <c r="AC134" s="2"/>
      <c r="AD134" s="2"/>
      <c r="AE134" s="2"/>
      <c r="AF134" s="2"/>
      <c r="AG134" s="1"/>
      <c r="AH134" s="1"/>
      <c r="AI134" s="1"/>
      <c r="AJ134" s="1"/>
      <c r="AK134" s="1"/>
      <c r="AL134" s="1"/>
      <c r="AM134" s="1"/>
      <c r="AN134" s="1"/>
      <c r="AO134" s="1"/>
      <c r="AP134" s="1"/>
      <c r="AQ134" s="1"/>
    </row>
    <row r="135" spans="1:43" ht="17.25" thickBot="1" x14ac:dyDescent="0.35">
      <c r="A135" s="147"/>
      <c r="B135" s="98"/>
      <c r="C135" s="108"/>
      <c r="D135" s="151"/>
      <c r="E135" s="151"/>
      <c r="F135" s="101"/>
      <c r="G135" s="7">
        <f t="shared" si="70"/>
        <v>0</v>
      </c>
      <c r="H135" s="101"/>
      <c r="I135" s="7">
        <f t="shared" si="71"/>
        <v>0</v>
      </c>
      <c r="J135" s="101"/>
      <c r="K135" s="7">
        <f t="shared" si="66"/>
        <v>0</v>
      </c>
      <c r="L135" s="101"/>
      <c r="M135" s="7">
        <f t="shared" si="67"/>
        <v>0</v>
      </c>
      <c r="N135" s="101"/>
      <c r="O135" s="7">
        <f t="shared" si="68"/>
        <v>0</v>
      </c>
      <c r="P135" s="101"/>
      <c r="Q135" s="7">
        <f t="shared" si="69"/>
        <v>0</v>
      </c>
      <c r="R135" s="8">
        <f t="shared" si="72"/>
        <v>0</v>
      </c>
      <c r="S135" s="35" t="str">
        <f t="shared" si="120"/>
        <v/>
      </c>
      <c r="T135" s="152"/>
      <c r="U135" s="181"/>
      <c r="V135" s="152"/>
      <c r="W135" s="152"/>
      <c r="X135" s="101"/>
      <c r="Y135" s="7">
        <f t="shared" si="73"/>
        <v>0</v>
      </c>
      <c r="Z135" s="101"/>
      <c r="AA135" s="7">
        <f t="shared" si="92"/>
        <v>0</v>
      </c>
      <c r="AB135" s="2"/>
      <c r="AC135" s="2"/>
      <c r="AD135" s="2"/>
      <c r="AE135" s="2"/>
      <c r="AF135" s="2"/>
      <c r="AG135" s="1"/>
      <c r="AH135" s="1"/>
      <c r="AI135" s="1"/>
      <c r="AJ135" s="1"/>
      <c r="AK135" s="1"/>
      <c r="AL135" s="1"/>
      <c r="AM135" s="1"/>
      <c r="AN135" s="1"/>
      <c r="AO135" s="1"/>
      <c r="AP135" s="1"/>
      <c r="AQ135" s="1"/>
    </row>
    <row r="136" spans="1:43" ht="17.25" thickBot="1" x14ac:dyDescent="0.35">
      <c r="A136" s="146">
        <v>35</v>
      </c>
      <c r="B136" s="105">
        <v>43703</v>
      </c>
      <c r="C136" s="106">
        <v>23.5</v>
      </c>
      <c r="D136" s="149">
        <f t="shared" ref="D136" si="121">SUM(G136:G141,I136:I141,K136:K141)</f>
        <v>3306</v>
      </c>
      <c r="E136" s="149">
        <f t="shared" ref="E136" si="122">SUM(G136:G141,I136:I141,M136:M141,O136:O141,Q136:Q141,K136:K141)</f>
        <v>5508</v>
      </c>
      <c r="F136" s="99">
        <v>77</v>
      </c>
      <c r="G136" s="40">
        <f t="shared" si="70"/>
        <v>877.80000000000007</v>
      </c>
      <c r="H136" s="99">
        <v>78</v>
      </c>
      <c r="I136" s="40">
        <f t="shared" si="71"/>
        <v>889.2</v>
      </c>
      <c r="J136" s="99"/>
      <c r="K136" s="40">
        <f t="shared" si="66"/>
        <v>0</v>
      </c>
      <c r="L136" s="99">
        <v>21</v>
      </c>
      <c r="M136" s="40">
        <f t="shared" si="67"/>
        <v>294</v>
      </c>
      <c r="N136" s="99">
        <v>9</v>
      </c>
      <c r="O136" s="40">
        <f t="shared" si="68"/>
        <v>126</v>
      </c>
      <c r="P136" s="99">
        <v>59</v>
      </c>
      <c r="Q136" s="40">
        <f t="shared" si="69"/>
        <v>796.5</v>
      </c>
      <c r="R136" s="34">
        <f t="shared" si="72"/>
        <v>0.24299999999999999</v>
      </c>
      <c r="S136" s="31">
        <f t="shared" si="120"/>
        <v>126.95744680851064</v>
      </c>
      <c r="T136" s="152">
        <f t="shared" ref="T136" si="123">AVERAGE(S136:S141)</f>
        <v>107.76819708846585</v>
      </c>
      <c r="U136" s="179">
        <f t="shared" ref="U136" si="124">(SUM(G136:G141)+SUM(I136:I141))/$F$1</f>
        <v>0.36733333333333335</v>
      </c>
      <c r="V136" s="152">
        <f t="shared" ref="V136" si="125">SUM(R136:R141)</f>
        <v>0.45599999999999996</v>
      </c>
      <c r="W136" s="152">
        <v>1.2996888888888889</v>
      </c>
      <c r="X136" s="99">
        <v>1</v>
      </c>
      <c r="Y136" s="40">
        <f t="shared" si="73"/>
        <v>11.4</v>
      </c>
      <c r="Z136" s="99">
        <v>1</v>
      </c>
      <c r="AA136" s="40">
        <f t="shared" si="92"/>
        <v>11.4</v>
      </c>
      <c r="AB136" s="2"/>
      <c r="AC136" s="2"/>
      <c r="AD136" s="2"/>
      <c r="AE136" s="2"/>
      <c r="AF136" s="2"/>
      <c r="AG136" s="1"/>
      <c r="AH136" s="1"/>
      <c r="AI136" s="1"/>
      <c r="AJ136" s="1"/>
      <c r="AK136" s="1"/>
      <c r="AL136" s="1"/>
      <c r="AM136" s="1"/>
      <c r="AN136" s="1"/>
      <c r="AO136" s="1"/>
      <c r="AP136" s="1"/>
      <c r="AQ136" s="1"/>
    </row>
    <row r="137" spans="1:43" ht="17.25" thickBot="1" x14ac:dyDescent="0.35">
      <c r="A137" s="147"/>
      <c r="B137" s="97">
        <v>43703</v>
      </c>
      <c r="C137" s="107">
        <v>28.5</v>
      </c>
      <c r="D137" s="150"/>
      <c r="E137" s="150"/>
      <c r="F137" s="100">
        <v>70</v>
      </c>
      <c r="G137" s="7">
        <f t="shared" si="70"/>
        <v>798</v>
      </c>
      <c r="H137" s="100">
        <v>65</v>
      </c>
      <c r="I137" s="7">
        <f t="shared" si="71"/>
        <v>741</v>
      </c>
      <c r="J137" s="100"/>
      <c r="K137" s="7">
        <f t="shared" si="66"/>
        <v>0</v>
      </c>
      <c r="L137" s="100">
        <v>15</v>
      </c>
      <c r="M137" s="7">
        <f t="shared" si="67"/>
        <v>210</v>
      </c>
      <c r="N137" s="100">
        <v>12</v>
      </c>
      <c r="O137" s="7">
        <f t="shared" si="68"/>
        <v>168</v>
      </c>
      <c r="P137" s="100">
        <v>45</v>
      </c>
      <c r="Q137" s="7">
        <f t="shared" si="69"/>
        <v>607.5</v>
      </c>
      <c r="R137" s="8">
        <f t="shared" si="72"/>
        <v>0.21299999999999999</v>
      </c>
      <c r="S137" s="4">
        <f t="shared" si="120"/>
        <v>88.578947368421055</v>
      </c>
      <c r="T137" s="152"/>
      <c r="U137" s="180"/>
      <c r="V137" s="152"/>
      <c r="W137" s="152"/>
      <c r="X137" s="100"/>
      <c r="Y137" s="7">
        <f t="shared" si="73"/>
        <v>0</v>
      </c>
      <c r="Z137" s="100"/>
      <c r="AA137" s="7">
        <f t="shared" si="92"/>
        <v>0</v>
      </c>
      <c r="AB137" s="2"/>
      <c r="AC137" s="2"/>
      <c r="AD137" s="2"/>
      <c r="AE137" s="2"/>
      <c r="AF137" s="2"/>
      <c r="AG137" s="1"/>
      <c r="AH137" s="1"/>
      <c r="AI137" s="1"/>
      <c r="AJ137" s="1"/>
      <c r="AK137" s="1"/>
      <c r="AL137" s="1"/>
      <c r="AM137" s="1"/>
      <c r="AN137" s="1"/>
      <c r="AO137" s="1"/>
      <c r="AP137" s="1"/>
      <c r="AQ137" s="1"/>
    </row>
    <row r="138" spans="1:43" ht="17.25" thickBot="1" x14ac:dyDescent="0.35">
      <c r="A138" s="147"/>
      <c r="B138" s="97"/>
      <c r="C138" s="107"/>
      <c r="D138" s="150"/>
      <c r="E138" s="150"/>
      <c r="F138" s="100"/>
      <c r="G138" s="7">
        <f t="shared" si="70"/>
        <v>0</v>
      </c>
      <c r="H138" s="100"/>
      <c r="I138" s="7">
        <f t="shared" si="71"/>
        <v>0</v>
      </c>
      <c r="J138" s="100"/>
      <c r="K138" s="7">
        <f t="shared" ref="K138:K201" si="126">J138*J$3</f>
        <v>0</v>
      </c>
      <c r="L138" s="100"/>
      <c r="M138" s="7">
        <f t="shared" ref="M138:M201" si="127">L138*L$3</f>
        <v>0</v>
      </c>
      <c r="N138" s="100"/>
      <c r="O138" s="7">
        <f t="shared" ref="O138:O201" si="128">N138*N$3</f>
        <v>0</v>
      </c>
      <c r="P138" s="100"/>
      <c r="Q138" s="7">
        <f t="shared" ref="Q138:Q201" si="129">P138*P$3</f>
        <v>0</v>
      </c>
      <c r="R138" s="8">
        <f t="shared" si="72"/>
        <v>0</v>
      </c>
      <c r="S138" s="4" t="str">
        <f t="shared" si="120"/>
        <v/>
      </c>
      <c r="T138" s="152"/>
      <c r="U138" s="180"/>
      <c r="V138" s="152"/>
      <c r="W138" s="152"/>
      <c r="X138" s="100"/>
      <c r="Y138" s="7">
        <f t="shared" si="73"/>
        <v>0</v>
      </c>
      <c r="Z138" s="100"/>
      <c r="AA138" s="7">
        <f t="shared" si="92"/>
        <v>0</v>
      </c>
      <c r="AB138" s="2"/>
      <c r="AC138" s="2"/>
      <c r="AD138" s="2"/>
      <c r="AE138" s="2"/>
      <c r="AF138" s="2"/>
      <c r="AG138" s="1"/>
      <c r="AH138" s="1"/>
      <c r="AI138" s="1"/>
      <c r="AJ138" s="1"/>
      <c r="AK138" s="1"/>
      <c r="AL138" s="1"/>
      <c r="AM138" s="1"/>
      <c r="AN138" s="1"/>
      <c r="AO138" s="1"/>
      <c r="AP138" s="1"/>
      <c r="AQ138" s="1"/>
    </row>
    <row r="139" spans="1:43" ht="17.25" thickBot="1" x14ac:dyDescent="0.35">
      <c r="A139" s="147"/>
      <c r="B139" s="97"/>
      <c r="C139" s="107"/>
      <c r="D139" s="150"/>
      <c r="E139" s="150"/>
      <c r="F139" s="100"/>
      <c r="G139" s="7">
        <f t="shared" ref="G139:G202" si="130">F139*F$3</f>
        <v>0</v>
      </c>
      <c r="H139" s="100"/>
      <c r="I139" s="7">
        <f t="shared" ref="I139:I202" si="131">H139*H$3</f>
        <v>0</v>
      </c>
      <c r="J139" s="100"/>
      <c r="K139" s="7">
        <f t="shared" si="126"/>
        <v>0</v>
      </c>
      <c r="L139" s="100"/>
      <c r="M139" s="7">
        <f t="shared" si="127"/>
        <v>0</v>
      </c>
      <c r="N139" s="100"/>
      <c r="O139" s="7">
        <f t="shared" si="128"/>
        <v>0</v>
      </c>
      <c r="P139" s="100"/>
      <c r="Q139" s="7">
        <f t="shared" si="129"/>
        <v>0</v>
      </c>
      <c r="R139" s="8">
        <f t="shared" ref="R139:R202" si="132">(G139+I139+M139+O139+K139)/F$1</f>
        <v>0</v>
      </c>
      <c r="S139" s="4" t="str">
        <f t="shared" si="120"/>
        <v/>
      </c>
      <c r="T139" s="152"/>
      <c r="U139" s="180"/>
      <c r="V139" s="152"/>
      <c r="W139" s="152"/>
      <c r="X139" s="100"/>
      <c r="Y139" s="7">
        <f t="shared" ref="Y139:Y202" si="133">X139*X$3</f>
        <v>0</v>
      </c>
      <c r="Z139" s="100"/>
      <c r="AA139" s="7">
        <f t="shared" si="92"/>
        <v>0</v>
      </c>
      <c r="AB139" s="2"/>
      <c r="AC139" s="2"/>
      <c r="AD139" s="2"/>
      <c r="AE139" s="2"/>
      <c r="AF139" s="2"/>
      <c r="AG139" s="1"/>
      <c r="AH139" s="1"/>
      <c r="AI139" s="1"/>
      <c r="AJ139" s="1"/>
      <c r="AK139" s="1"/>
      <c r="AL139" s="1"/>
      <c r="AM139" s="1"/>
      <c r="AN139" s="1"/>
      <c r="AO139" s="1"/>
      <c r="AP139" s="1"/>
      <c r="AQ139" s="1"/>
    </row>
    <row r="140" spans="1:43" ht="17.25" thickBot="1" x14ac:dyDescent="0.35">
      <c r="A140" s="147"/>
      <c r="B140" s="97"/>
      <c r="C140" s="107"/>
      <c r="D140" s="150"/>
      <c r="E140" s="150"/>
      <c r="F140" s="100"/>
      <c r="G140" s="7">
        <f t="shared" si="130"/>
        <v>0</v>
      </c>
      <c r="H140" s="100"/>
      <c r="I140" s="7">
        <f t="shared" si="131"/>
        <v>0</v>
      </c>
      <c r="J140" s="100"/>
      <c r="K140" s="7">
        <f t="shared" si="126"/>
        <v>0</v>
      </c>
      <c r="L140" s="100"/>
      <c r="M140" s="7">
        <f t="shared" si="127"/>
        <v>0</v>
      </c>
      <c r="N140" s="100"/>
      <c r="O140" s="7">
        <f t="shared" si="128"/>
        <v>0</v>
      </c>
      <c r="P140" s="100"/>
      <c r="Q140" s="7">
        <f t="shared" si="129"/>
        <v>0</v>
      </c>
      <c r="R140" s="8">
        <f t="shared" si="132"/>
        <v>0</v>
      </c>
      <c r="S140" s="4" t="str">
        <f t="shared" si="120"/>
        <v/>
      </c>
      <c r="T140" s="152"/>
      <c r="U140" s="180"/>
      <c r="V140" s="152"/>
      <c r="W140" s="152"/>
      <c r="X140" s="100"/>
      <c r="Y140" s="7">
        <f t="shared" si="133"/>
        <v>0</v>
      </c>
      <c r="Z140" s="100"/>
      <c r="AA140" s="7">
        <f t="shared" si="92"/>
        <v>0</v>
      </c>
      <c r="AB140" s="2"/>
      <c r="AC140" s="2"/>
      <c r="AD140" s="2"/>
      <c r="AE140" s="2"/>
      <c r="AF140" s="2"/>
      <c r="AG140" s="1"/>
      <c r="AH140" s="1"/>
      <c r="AI140" s="1"/>
      <c r="AJ140" s="1"/>
      <c r="AK140" s="1"/>
      <c r="AL140" s="1"/>
      <c r="AM140" s="1"/>
      <c r="AN140" s="1"/>
      <c r="AO140" s="1"/>
      <c r="AP140" s="1"/>
      <c r="AQ140" s="1"/>
    </row>
    <row r="141" spans="1:43" ht="17.25" thickBot="1" x14ac:dyDescent="0.35">
      <c r="A141" s="148"/>
      <c r="B141" s="98"/>
      <c r="C141" s="108"/>
      <c r="D141" s="151"/>
      <c r="E141" s="151"/>
      <c r="F141" s="101"/>
      <c r="G141" s="39">
        <f t="shared" si="130"/>
        <v>0</v>
      </c>
      <c r="H141" s="101"/>
      <c r="I141" s="39">
        <f t="shared" si="131"/>
        <v>0</v>
      </c>
      <c r="J141" s="101"/>
      <c r="K141" s="39">
        <f t="shared" si="126"/>
        <v>0</v>
      </c>
      <c r="L141" s="101"/>
      <c r="M141" s="39">
        <f t="shared" si="127"/>
        <v>0</v>
      </c>
      <c r="N141" s="101"/>
      <c r="O141" s="39">
        <f t="shared" si="128"/>
        <v>0</v>
      </c>
      <c r="P141" s="101"/>
      <c r="Q141" s="39">
        <f t="shared" si="129"/>
        <v>0</v>
      </c>
      <c r="R141" s="36">
        <f t="shared" si="132"/>
        <v>0</v>
      </c>
      <c r="S141" s="35" t="str">
        <f t="shared" si="120"/>
        <v/>
      </c>
      <c r="T141" s="152"/>
      <c r="U141" s="181"/>
      <c r="V141" s="152"/>
      <c r="W141" s="152"/>
      <c r="X141" s="101"/>
      <c r="Y141" s="39">
        <f t="shared" si="133"/>
        <v>0</v>
      </c>
      <c r="Z141" s="101"/>
      <c r="AA141" s="39">
        <f t="shared" si="92"/>
        <v>0</v>
      </c>
      <c r="AB141" s="2"/>
      <c r="AC141" s="2"/>
      <c r="AD141" s="2"/>
      <c r="AE141" s="2"/>
      <c r="AF141" s="2"/>
      <c r="AG141" s="1"/>
      <c r="AH141" s="1"/>
      <c r="AI141" s="1"/>
      <c r="AJ141" s="1"/>
      <c r="AK141" s="1"/>
      <c r="AL141" s="1"/>
      <c r="AM141" s="1"/>
      <c r="AN141" s="1"/>
      <c r="AO141" s="1"/>
      <c r="AP141" s="1"/>
      <c r="AQ141" s="1"/>
    </row>
    <row r="142" spans="1:43" ht="17.25" thickBot="1" x14ac:dyDescent="0.35">
      <c r="A142" s="147">
        <v>36</v>
      </c>
      <c r="B142" s="105">
        <v>43710</v>
      </c>
      <c r="C142" s="106">
        <v>14.5</v>
      </c>
      <c r="D142" s="149">
        <f t="shared" ref="D142" si="134">SUM(G142:G147,I142:I147,K142:K147)</f>
        <v>7683.5999999999995</v>
      </c>
      <c r="E142" s="149">
        <f t="shared" ref="E142" si="135">SUM(G142:G147,I142:I147,M142:M147,O142:O147,Q142:Q147,K142:K147)</f>
        <v>11795.099999999999</v>
      </c>
      <c r="F142" s="99">
        <v>37</v>
      </c>
      <c r="G142" s="7">
        <f t="shared" si="130"/>
        <v>421.8</v>
      </c>
      <c r="H142" s="99">
        <v>46</v>
      </c>
      <c r="I142" s="7">
        <f t="shared" si="131"/>
        <v>524.4</v>
      </c>
      <c r="J142" s="99"/>
      <c r="K142" s="7">
        <f t="shared" si="126"/>
        <v>0</v>
      </c>
      <c r="L142" s="99">
        <v>11</v>
      </c>
      <c r="M142" s="7">
        <f t="shared" si="127"/>
        <v>154</v>
      </c>
      <c r="N142" s="99">
        <v>8</v>
      </c>
      <c r="O142" s="7">
        <f t="shared" si="128"/>
        <v>112</v>
      </c>
      <c r="P142" s="99">
        <v>34</v>
      </c>
      <c r="Q142" s="7">
        <f t="shared" si="129"/>
        <v>459</v>
      </c>
      <c r="R142" s="8">
        <f t="shared" si="132"/>
        <v>0.13468888888888889</v>
      </c>
      <c r="S142" s="31">
        <f t="shared" si="120"/>
        <v>115.2551724137931</v>
      </c>
      <c r="T142" s="152">
        <f>AVERAGE(S142:S147)</f>
        <v>127.96616288347055</v>
      </c>
      <c r="U142" s="179">
        <f t="shared" ref="U142" si="136">(SUM(G142:G147)+SUM(I142:I147))/$F$1</f>
        <v>0.85373333333333334</v>
      </c>
      <c r="V142" s="152">
        <f t="shared" ref="V142" si="137">SUM(R142:R147)</f>
        <v>1.0870666666666666</v>
      </c>
      <c r="W142" s="152">
        <v>1.4338888888888888</v>
      </c>
      <c r="X142" s="99">
        <v>1.5</v>
      </c>
      <c r="Y142" s="7">
        <f t="shared" si="133"/>
        <v>17.100000000000001</v>
      </c>
      <c r="Z142" s="99">
        <v>1</v>
      </c>
      <c r="AA142" s="7">
        <f t="shared" si="92"/>
        <v>11.4</v>
      </c>
      <c r="AB142" s="2"/>
      <c r="AC142" s="2"/>
      <c r="AD142" s="2"/>
      <c r="AE142" s="2"/>
      <c r="AF142" s="2"/>
      <c r="AG142" s="1"/>
      <c r="AH142" s="1"/>
      <c r="AI142" s="1"/>
      <c r="AJ142" s="1"/>
      <c r="AK142" s="1"/>
      <c r="AL142" s="1"/>
      <c r="AM142" s="1"/>
      <c r="AN142" s="1"/>
      <c r="AO142" s="1"/>
      <c r="AP142" s="1"/>
      <c r="AQ142" s="1"/>
    </row>
    <row r="143" spans="1:43" ht="17.25" thickBot="1" x14ac:dyDescent="0.35">
      <c r="A143" s="147"/>
      <c r="B143" s="97">
        <v>43711</v>
      </c>
      <c r="C143" s="107">
        <v>9.5</v>
      </c>
      <c r="D143" s="150"/>
      <c r="E143" s="150"/>
      <c r="F143" s="100">
        <v>33</v>
      </c>
      <c r="G143" s="7">
        <f t="shared" si="130"/>
        <v>376.2</v>
      </c>
      <c r="H143" s="100">
        <v>31</v>
      </c>
      <c r="I143" s="7">
        <f t="shared" si="131"/>
        <v>353.40000000000003</v>
      </c>
      <c r="J143" s="100"/>
      <c r="K143" s="7">
        <f t="shared" si="126"/>
        <v>0</v>
      </c>
      <c r="L143" s="100">
        <v>8</v>
      </c>
      <c r="M143" s="7">
        <f t="shared" si="127"/>
        <v>112</v>
      </c>
      <c r="N143" s="100">
        <v>11</v>
      </c>
      <c r="O143" s="7">
        <f t="shared" si="128"/>
        <v>154</v>
      </c>
      <c r="P143" s="100">
        <v>20</v>
      </c>
      <c r="Q143" s="7">
        <f t="shared" si="129"/>
        <v>270</v>
      </c>
      <c r="R143" s="8">
        <f t="shared" si="132"/>
        <v>0.11062222222222222</v>
      </c>
      <c r="S143" s="4">
        <f t="shared" si="120"/>
        <v>133.22105263157894</v>
      </c>
      <c r="T143" s="152"/>
      <c r="U143" s="180"/>
      <c r="V143" s="152"/>
      <c r="W143" s="152"/>
      <c r="X143" s="100"/>
      <c r="Y143" s="7">
        <f t="shared" si="133"/>
        <v>0</v>
      </c>
      <c r="Z143" s="100"/>
      <c r="AA143" s="7">
        <f t="shared" si="92"/>
        <v>0</v>
      </c>
      <c r="AB143" s="2"/>
      <c r="AC143" s="2"/>
      <c r="AD143" s="2"/>
      <c r="AE143" s="2"/>
      <c r="AF143" s="2"/>
      <c r="AG143" s="1"/>
      <c r="AH143" s="1"/>
      <c r="AI143" s="1"/>
      <c r="AJ143" s="1"/>
      <c r="AK143" s="1"/>
      <c r="AL143" s="1"/>
      <c r="AM143" s="1"/>
      <c r="AN143" s="1"/>
      <c r="AO143" s="1"/>
      <c r="AP143" s="1"/>
      <c r="AQ143" s="1"/>
    </row>
    <row r="144" spans="1:43" ht="17.25" thickBot="1" x14ac:dyDescent="0.35">
      <c r="A144" s="147"/>
      <c r="B144" s="97">
        <v>43712</v>
      </c>
      <c r="C144" s="107">
        <v>18</v>
      </c>
      <c r="D144" s="150"/>
      <c r="E144" s="150"/>
      <c r="F144" s="100">
        <v>91</v>
      </c>
      <c r="G144" s="7">
        <f t="shared" si="130"/>
        <v>1037.4000000000001</v>
      </c>
      <c r="H144" s="100">
        <v>42</v>
      </c>
      <c r="I144" s="7">
        <f t="shared" si="131"/>
        <v>478.8</v>
      </c>
      <c r="J144" s="100"/>
      <c r="K144" s="7">
        <f t="shared" si="126"/>
        <v>0</v>
      </c>
      <c r="L144" s="100">
        <v>10</v>
      </c>
      <c r="M144" s="7">
        <f t="shared" si="127"/>
        <v>140</v>
      </c>
      <c r="N144" s="100">
        <v>25</v>
      </c>
      <c r="O144" s="7">
        <f t="shared" si="128"/>
        <v>350</v>
      </c>
      <c r="P144" s="100">
        <v>28</v>
      </c>
      <c r="Q144" s="7">
        <f t="shared" si="129"/>
        <v>378</v>
      </c>
      <c r="R144" s="8">
        <f t="shared" si="132"/>
        <v>0.22291111111111112</v>
      </c>
      <c r="S144" s="4">
        <f t="shared" si="120"/>
        <v>132.45555555555555</v>
      </c>
      <c r="T144" s="152"/>
      <c r="U144" s="180"/>
      <c r="V144" s="152"/>
      <c r="W144" s="152"/>
      <c r="X144" s="100"/>
      <c r="Y144" s="7">
        <f t="shared" si="133"/>
        <v>0</v>
      </c>
      <c r="Z144" s="100"/>
      <c r="AA144" s="7">
        <f t="shared" si="92"/>
        <v>0</v>
      </c>
      <c r="AB144" s="2"/>
      <c r="AC144" s="2"/>
      <c r="AD144" s="2"/>
      <c r="AE144" s="2"/>
      <c r="AF144" s="2"/>
      <c r="AG144" s="1"/>
      <c r="AH144" s="1"/>
      <c r="AI144" s="1"/>
      <c r="AJ144" s="1"/>
      <c r="AK144" s="1"/>
      <c r="AL144" s="1"/>
      <c r="AM144" s="1"/>
      <c r="AN144" s="1"/>
      <c r="AO144" s="1"/>
      <c r="AP144" s="1"/>
      <c r="AQ144" s="1"/>
    </row>
    <row r="145" spans="1:43" ht="17.25" thickBot="1" x14ac:dyDescent="0.35">
      <c r="A145" s="147"/>
      <c r="B145" s="97">
        <v>43713</v>
      </c>
      <c r="C145" s="107">
        <v>27</v>
      </c>
      <c r="D145" s="150"/>
      <c r="E145" s="150"/>
      <c r="F145" s="100">
        <v>134</v>
      </c>
      <c r="G145" s="7">
        <f t="shared" si="130"/>
        <v>1527.6000000000001</v>
      </c>
      <c r="H145" s="100">
        <v>65</v>
      </c>
      <c r="I145" s="7">
        <f t="shared" si="131"/>
        <v>741</v>
      </c>
      <c r="J145" s="100"/>
      <c r="K145" s="7">
        <f t="shared" si="126"/>
        <v>0</v>
      </c>
      <c r="L145" s="100">
        <v>20</v>
      </c>
      <c r="M145" s="7">
        <f t="shared" si="127"/>
        <v>280</v>
      </c>
      <c r="N145" s="100">
        <v>25</v>
      </c>
      <c r="O145" s="7">
        <f t="shared" si="128"/>
        <v>350</v>
      </c>
      <c r="P145" s="100">
        <v>45</v>
      </c>
      <c r="Q145" s="7">
        <f t="shared" si="129"/>
        <v>607.5</v>
      </c>
      <c r="R145" s="8">
        <f t="shared" si="132"/>
        <v>0.32206666666666672</v>
      </c>
      <c r="S145" s="4">
        <f t="shared" si="120"/>
        <v>129.85555555555558</v>
      </c>
      <c r="T145" s="152"/>
      <c r="U145" s="180"/>
      <c r="V145" s="152"/>
      <c r="W145" s="152"/>
      <c r="X145" s="100"/>
      <c r="Y145" s="7">
        <f t="shared" si="133"/>
        <v>0</v>
      </c>
      <c r="Z145" s="100"/>
      <c r="AA145" s="7">
        <f t="shared" si="92"/>
        <v>0</v>
      </c>
      <c r="AB145" s="2"/>
      <c r="AC145" s="2"/>
      <c r="AD145" s="2"/>
      <c r="AE145" s="2"/>
      <c r="AF145" s="2"/>
      <c r="AG145" s="1"/>
      <c r="AH145" s="1"/>
      <c r="AI145" s="1"/>
      <c r="AJ145" s="1"/>
      <c r="AK145" s="1"/>
      <c r="AL145" s="1"/>
      <c r="AM145" s="1"/>
      <c r="AN145" s="1"/>
      <c r="AO145" s="1"/>
      <c r="AP145" s="1"/>
      <c r="AQ145" s="1"/>
    </row>
    <row r="146" spans="1:43" ht="17.25" thickBot="1" x14ac:dyDescent="0.35">
      <c r="A146" s="147"/>
      <c r="B146" s="97">
        <v>43714</v>
      </c>
      <c r="C146" s="107">
        <v>23</v>
      </c>
      <c r="D146" s="150"/>
      <c r="E146" s="150"/>
      <c r="F146" s="100">
        <v>145</v>
      </c>
      <c r="G146" s="7">
        <f t="shared" si="130"/>
        <v>1653</v>
      </c>
      <c r="H146" s="100">
        <v>50</v>
      </c>
      <c r="I146" s="7">
        <f t="shared" si="131"/>
        <v>570</v>
      </c>
      <c r="J146" s="100"/>
      <c r="K146" s="7">
        <f t="shared" si="126"/>
        <v>0</v>
      </c>
      <c r="L146" s="100">
        <v>13</v>
      </c>
      <c r="M146" s="7">
        <f t="shared" si="127"/>
        <v>182</v>
      </c>
      <c r="N146" s="100">
        <v>19</v>
      </c>
      <c r="O146" s="7">
        <f t="shared" si="128"/>
        <v>266</v>
      </c>
      <c r="P146" s="100">
        <v>22</v>
      </c>
      <c r="Q146" s="7">
        <f t="shared" si="129"/>
        <v>297</v>
      </c>
      <c r="R146" s="8">
        <f t="shared" si="132"/>
        <v>0.29677777777777775</v>
      </c>
      <c r="S146" s="4">
        <f t="shared" si="120"/>
        <v>129.04347826086956</v>
      </c>
      <c r="T146" s="152"/>
      <c r="U146" s="180"/>
      <c r="V146" s="152"/>
      <c r="W146" s="152"/>
      <c r="X146" s="100"/>
      <c r="Y146" s="7">
        <f t="shared" si="133"/>
        <v>0</v>
      </c>
      <c r="Z146" s="100"/>
      <c r="AA146" s="7">
        <f t="shared" si="92"/>
        <v>0</v>
      </c>
      <c r="AB146" s="2"/>
      <c r="AC146" s="2"/>
      <c r="AD146" s="2"/>
      <c r="AE146" s="2"/>
      <c r="AF146" s="2"/>
      <c r="AG146" s="1"/>
      <c r="AH146" s="1"/>
      <c r="AI146" s="1"/>
      <c r="AJ146" s="1"/>
      <c r="AK146" s="1"/>
      <c r="AL146" s="1"/>
      <c r="AM146" s="1"/>
      <c r="AN146" s="1"/>
      <c r="AO146" s="1"/>
      <c r="AP146" s="1"/>
      <c r="AQ146" s="1"/>
    </row>
    <row r="147" spans="1:43" ht="17.25" thickBot="1" x14ac:dyDescent="0.35">
      <c r="A147" s="147"/>
      <c r="B147" s="98"/>
      <c r="C147" s="108"/>
      <c r="D147" s="151"/>
      <c r="E147" s="151"/>
      <c r="F147" s="101"/>
      <c r="G147" s="7">
        <f t="shared" si="130"/>
        <v>0</v>
      </c>
      <c r="H147" s="101"/>
      <c r="I147" s="7">
        <f t="shared" si="131"/>
        <v>0</v>
      </c>
      <c r="J147" s="101"/>
      <c r="K147" s="7">
        <f t="shared" si="126"/>
        <v>0</v>
      </c>
      <c r="L147" s="101"/>
      <c r="M147" s="7">
        <f t="shared" si="127"/>
        <v>0</v>
      </c>
      <c r="N147" s="101"/>
      <c r="O147" s="7">
        <f t="shared" si="128"/>
        <v>0</v>
      </c>
      <c r="P147" s="101"/>
      <c r="Q147" s="7">
        <f t="shared" si="129"/>
        <v>0</v>
      </c>
      <c r="R147" s="8">
        <f t="shared" si="132"/>
        <v>0</v>
      </c>
      <c r="S147" s="35" t="str">
        <f t="shared" si="120"/>
        <v/>
      </c>
      <c r="T147" s="152"/>
      <c r="U147" s="181"/>
      <c r="V147" s="152"/>
      <c r="W147" s="152"/>
      <c r="X147" s="101"/>
      <c r="Y147" s="7">
        <f t="shared" si="133"/>
        <v>0</v>
      </c>
      <c r="Z147" s="101"/>
      <c r="AA147" s="7">
        <f t="shared" si="92"/>
        <v>0</v>
      </c>
      <c r="AB147" s="2"/>
      <c r="AC147" s="2"/>
      <c r="AD147" s="2"/>
      <c r="AE147" s="2"/>
      <c r="AF147" s="2"/>
      <c r="AG147" s="1"/>
      <c r="AH147" s="1"/>
      <c r="AI147" s="1"/>
      <c r="AJ147" s="1"/>
      <c r="AK147" s="1"/>
      <c r="AL147" s="1"/>
      <c r="AM147" s="1"/>
      <c r="AN147" s="1"/>
      <c r="AO147" s="1"/>
      <c r="AP147" s="1"/>
      <c r="AQ147" s="1"/>
    </row>
    <row r="148" spans="1:43" ht="17.25" thickBot="1" x14ac:dyDescent="0.35">
      <c r="A148" s="146">
        <v>37</v>
      </c>
      <c r="B148" s="105">
        <v>43717</v>
      </c>
      <c r="C148" s="106">
        <v>27</v>
      </c>
      <c r="D148" s="149">
        <f t="shared" ref="D148" si="138">SUM(G148:G153,I148:I153,K148:K153)</f>
        <v>13144.200000000003</v>
      </c>
      <c r="E148" s="149">
        <f t="shared" ref="E148" si="139">SUM(G148:G153,I148:I153,M148:M153,O148:O153,Q148:Q153,K148:K153)</f>
        <v>16081.200000000003</v>
      </c>
      <c r="F148" s="99">
        <v>274</v>
      </c>
      <c r="G148" s="40">
        <f t="shared" si="130"/>
        <v>3123.6</v>
      </c>
      <c r="H148" s="99">
        <v>19</v>
      </c>
      <c r="I148" s="40">
        <f t="shared" si="131"/>
        <v>216.6</v>
      </c>
      <c r="J148" s="99"/>
      <c r="K148" s="40">
        <f t="shared" si="126"/>
        <v>0</v>
      </c>
      <c r="L148" s="99">
        <v>12</v>
      </c>
      <c r="M148" s="40">
        <f t="shared" si="127"/>
        <v>168</v>
      </c>
      <c r="N148" s="99">
        <v>22</v>
      </c>
      <c r="O148" s="40">
        <f t="shared" si="128"/>
        <v>308</v>
      </c>
      <c r="P148" s="99">
        <v>19</v>
      </c>
      <c r="Q148" s="40">
        <f t="shared" si="129"/>
        <v>256.5</v>
      </c>
      <c r="R148" s="34">
        <f t="shared" si="132"/>
        <v>0.42402222222222219</v>
      </c>
      <c r="S148" s="31">
        <f t="shared" si="120"/>
        <v>150.84074074074073</v>
      </c>
      <c r="T148" s="152">
        <f t="shared" ref="T148" si="140">AVERAGE(S148:S153)</f>
        <v>147.8871323914916</v>
      </c>
      <c r="U148" s="179">
        <f t="shared" ref="U148" si="141">(SUM(G148:G153)+SUM(I148:I153))/$F$1</f>
        <v>1.4604666666666668</v>
      </c>
      <c r="V148" s="152">
        <f t="shared" ref="V148" si="142">SUM(R148:R153)</f>
        <v>1.6938</v>
      </c>
      <c r="W148" s="152">
        <v>1.3032666666666666</v>
      </c>
      <c r="X148" s="99"/>
      <c r="Y148" s="40">
        <f t="shared" si="133"/>
        <v>0</v>
      </c>
      <c r="Z148" s="99"/>
      <c r="AA148" s="40">
        <f t="shared" si="92"/>
        <v>0</v>
      </c>
      <c r="AB148" s="2"/>
      <c r="AC148" s="2"/>
      <c r="AD148" s="2"/>
      <c r="AE148" s="2"/>
      <c r="AF148" s="2"/>
      <c r="AG148" s="1"/>
      <c r="AH148" s="1"/>
      <c r="AI148" s="1"/>
      <c r="AJ148" s="1"/>
      <c r="AK148" s="1"/>
      <c r="AL148" s="1"/>
      <c r="AM148" s="1"/>
      <c r="AN148" s="1"/>
      <c r="AO148" s="1"/>
      <c r="AP148" s="1"/>
      <c r="AQ148" s="1"/>
    </row>
    <row r="149" spans="1:43" ht="17.25" thickBot="1" x14ac:dyDescent="0.35">
      <c r="A149" s="147"/>
      <c r="B149" s="97">
        <v>43718</v>
      </c>
      <c r="C149" s="107">
        <v>23</v>
      </c>
      <c r="D149" s="150"/>
      <c r="E149" s="150"/>
      <c r="F149" s="100">
        <v>238</v>
      </c>
      <c r="G149" s="7">
        <f t="shared" si="130"/>
        <v>2713.2000000000003</v>
      </c>
      <c r="H149" s="100">
        <v>13</v>
      </c>
      <c r="I149" s="7">
        <f t="shared" si="131"/>
        <v>148.20000000000002</v>
      </c>
      <c r="J149" s="100"/>
      <c r="K149" s="7">
        <f t="shared" si="126"/>
        <v>0</v>
      </c>
      <c r="L149" s="100">
        <v>12</v>
      </c>
      <c r="M149" s="7">
        <f t="shared" si="127"/>
        <v>168</v>
      </c>
      <c r="N149" s="100">
        <v>26</v>
      </c>
      <c r="O149" s="7">
        <f t="shared" si="128"/>
        <v>364</v>
      </c>
      <c r="P149" s="100">
        <v>16</v>
      </c>
      <c r="Q149" s="7">
        <f t="shared" si="129"/>
        <v>216</v>
      </c>
      <c r="R149" s="8">
        <f t="shared" si="132"/>
        <v>0.37704444444444446</v>
      </c>
      <c r="S149" s="4">
        <f t="shared" si="120"/>
        <v>156.9304347826087</v>
      </c>
      <c r="T149" s="152"/>
      <c r="U149" s="180"/>
      <c r="V149" s="152"/>
      <c r="W149" s="152"/>
      <c r="X149" s="100"/>
      <c r="Y149" s="7">
        <f t="shared" si="133"/>
        <v>0</v>
      </c>
      <c r="Z149" s="100"/>
      <c r="AA149" s="7">
        <f t="shared" si="92"/>
        <v>0</v>
      </c>
      <c r="AB149" s="2"/>
      <c r="AC149" s="2"/>
      <c r="AD149" s="2"/>
      <c r="AE149" s="2"/>
      <c r="AF149" s="2"/>
      <c r="AG149" s="1"/>
      <c r="AH149" s="1"/>
      <c r="AI149" s="1"/>
      <c r="AJ149" s="1"/>
      <c r="AK149" s="1"/>
      <c r="AL149" s="1"/>
      <c r="AM149" s="1"/>
      <c r="AN149" s="1"/>
      <c r="AO149" s="1"/>
      <c r="AP149" s="1"/>
      <c r="AQ149" s="1"/>
    </row>
    <row r="150" spans="1:43" ht="17.25" thickBot="1" x14ac:dyDescent="0.35">
      <c r="A150" s="147"/>
      <c r="B150" s="97">
        <v>43719</v>
      </c>
      <c r="C150" s="107">
        <v>21</v>
      </c>
      <c r="D150" s="150"/>
      <c r="E150" s="150"/>
      <c r="F150" s="100">
        <v>192</v>
      </c>
      <c r="G150" s="7">
        <f t="shared" si="130"/>
        <v>2188.8000000000002</v>
      </c>
      <c r="H150" s="100">
        <v>6</v>
      </c>
      <c r="I150" s="7">
        <f t="shared" si="131"/>
        <v>68.400000000000006</v>
      </c>
      <c r="J150" s="100"/>
      <c r="K150" s="7">
        <f t="shared" si="126"/>
        <v>0</v>
      </c>
      <c r="L150" s="100">
        <v>9</v>
      </c>
      <c r="M150" s="7">
        <f t="shared" si="127"/>
        <v>126</v>
      </c>
      <c r="N150" s="100">
        <v>16</v>
      </c>
      <c r="O150" s="7">
        <f t="shared" si="128"/>
        <v>224</v>
      </c>
      <c r="P150" s="100">
        <v>12</v>
      </c>
      <c r="Q150" s="7">
        <f t="shared" si="129"/>
        <v>162</v>
      </c>
      <c r="R150" s="8">
        <f t="shared" si="132"/>
        <v>0.28968888888888894</v>
      </c>
      <c r="S150" s="4">
        <f t="shared" si="120"/>
        <v>131.86666666666667</v>
      </c>
      <c r="T150" s="152"/>
      <c r="U150" s="180"/>
      <c r="V150" s="152"/>
      <c r="W150" s="152"/>
      <c r="X150" s="100">
        <v>1</v>
      </c>
      <c r="Y150" s="7">
        <f t="shared" si="133"/>
        <v>11.4</v>
      </c>
      <c r="Z150" s="100">
        <v>1</v>
      </c>
      <c r="AA150" s="7">
        <f t="shared" si="92"/>
        <v>11.4</v>
      </c>
      <c r="AB150" s="2"/>
      <c r="AC150" s="2"/>
      <c r="AD150" s="2"/>
      <c r="AE150" s="2"/>
      <c r="AF150" s="2"/>
      <c r="AG150" s="1"/>
      <c r="AH150" s="1"/>
      <c r="AI150" s="1"/>
      <c r="AJ150" s="1"/>
      <c r="AK150" s="1"/>
      <c r="AL150" s="1"/>
      <c r="AM150" s="1"/>
      <c r="AN150" s="1"/>
      <c r="AO150" s="1"/>
      <c r="AP150" s="1"/>
      <c r="AQ150" s="1"/>
    </row>
    <row r="151" spans="1:43" ht="17.25" thickBot="1" x14ac:dyDescent="0.35">
      <c r="A151" s="147"/>
      <c r="B151" s="97">
        <v>43720</v>
      </c>
      <c r="C151" s="107">
        <v>21.5</v>
      </c>
      <c r="D151" s="150"/>
      <c r="E151" s="150"/>
      <c r="F151" s="100">
        <v>228</v>
      </c>
      <c r="G151" s="7">
        <f t="shared" si="130"/>
        <v>2599.2000000000003</v>
      </c>
      <c r="H151" s="100">
        <v>9</v>
      </c>
      <c r="I151" s="7">
        <f t="shared" si="131"/>
        <v>102.60000000000001</v>
      </c>
      <c r="J151" s="100"/>
      <c r="K151" s="7">
        <f t="shared" si="126"/>
        <v>0</v>
      </c>
      <c r="L151" s="100">
        <v>12</v>
      </c>
      <c r="M151" s="7">
        <f t="shared" si="127"/>
        <v>168</v>
      </c>
      <c r="N151" s="100">
        <v>18</v>
      </c>
      <c r="O151" s="7">
        <f t="shared" si="128"/>
        <v>252</v>
      </c>
      <c r="P151" s="100">
        <v>10</v>
      </c>
      <c r="Q151" s="7">
        <f t="shared" si="129"/>
        <v>135</v>
      </c>
      <c r="R151" s="8">
        <f t="shared" si="132"/>
        <v>0.34686666666666671</v>
      </c>
      <c r="S151" s="4">
        <f t="shared" si="120"/>
        <v>151.47906976744187</v>
      </c>
      <c r="T151" s="152"/>
      <c r="U151" s="180"/>
      <c r="V151" s="152"/>
      <c r="W151" s="152"/>
      <c r="X151" s="100"/>
      <c r="Y151" s="7">
        <f t="shared" si="133"/>
        <v>0</v>
      </c>
      <c r="Z151" s="100"/>
      <c r="AA151" s="7">
        <f t="shared" si="92"/>
        <v>0</v>
      </c>
      <c r="AB151" s="2"/>
      <c r="AC151" s="2"/>
      <c r="AD151" s="2"/>
      <c r="AE151" s="2"/>
      <c r="AF151" s="2"/>
      <c r="AG151" s="1"/>
      <c r="AH151" s="1"/>
      <c r="AI151" s="1"/>
      <c r="AJ151" s="1"/>
      <c r="AK151" s="1"/>
      <c r="AL151" s="1"/>
      <c r="AM151" s="1"/>
      <c r="AN151" s="1"/>
      <c r="AO151" s="1"/>
      <c r="AP151" s="1"/>
      <c r="AQ151" s="1"/>
    </row>
    <row r="152" spans="1:43" ht="17.25" thickBot="1" x14ac:dyDescent="0.35">
      <c r="A152" s="147"/>
      <c r="B152" s="97">
        <v>43721</v>
      </c>
      <c r="C152" s="107">
        <v>16</v>
      </c>
      <c r="D152" s="150"/>
      <c r="E152" s="150"/>
      <c r="F152" s="100">
        <v>170</v>
      </c>
      <c r="G152" s="7">
        <f t="shared" si="130"/>
        <v>1938</v>
      </c>
      <c r="H152" s="100">
        <v>4</v>
      </c>
      <c r="I152" s="7">
        <f t="shared" si="131"/>
        <v>45.6</v>
      </c>
      <c r="J152" s="100"/>
      <c r="K152" s="7">
        <f t="shared" si="126"/>
        <v>0</v>
      </c>
      <c r="L152" s="100">
        <v>8</v>
      </c>
      <c r="M152" s="7">
        <f t="shared" si="127"/>
        <v>112</v>
      </c>
      <c r="N152" s="100">
        <v>15</v>
      </c>
      <c r="O152" s="7">
        <f t="shared" si="128"/>
        <v>210</v>
      </c>
      <c r="P152" s="100">
        <v>5</v>
      </c>
      <c r="Q152" s="7">
        <f t="shared" si="129"/>
        <v>67.5</v>
      </c>
      <c r="R152" s="8">
        <f t="shared" si="132"/>
        <v>0.25617777777777778</v>
      </c>
      <c r="S152" s="4">
        <f t="shared" si="120"/>
        <v>148.31874999999999</v>
      </c>
      <c r="T152" s="152"/>
      <c r="U152" s="180"/>
      <c r="V152" s="152"/>
      <c r="W152" s="152"/>
      <c r="X152" s="100"/>
      <c r="Y152" s="7">
        <f t="shared" si="133"/>
        <v>0</v>
      </c>
      <c r="Z152" s="100"/>
      <c r="AA152" s="7">
        <f t="shared" si="92"/>
        <v>0</v>
      </c>
      <c r="AB152" s="2"/>
      <c r="AC152" s="2"/>
      <c r="AD152" s="2"/>
      <c r="AE152" s="2"/>
      <c r="AF152" s="2"/>
      <c r="AG152" s="1"/>
      <c r="AH152" s="1"/>
      <c r="AI152" s="1"/>
      <c r="AJ152" s="1"/>
      <c r="AK152" s="1"/>
      <c r="AL152" s="1"/>
      <c r="AM152" s="1"/>
      <c r="AN152" s="1"/>
      <c r="AO152" s="1"/>
      <c r="AP152" s="1"/>
      <c r="AQ152" s="1"/>
    </row>
    <row r="153" spans="1:43" ht="17.25" thickBot="1" x14ac:dyDescent="0.35">
      <c r="A153" s="148"/>
      <c r="B153" s="98"/>
      <c r="C153" s="108"/>
      <c r="D153" s="151"/>
      <c r="E153" s="151"/>
      <c r="F153" s="101"/>
      <c r="G153" s="39">
        <f t="shared" si="130"/>
        <v>0</v>
      </c>
      <c r="H153" s="101"/>
      <c r="I153" s="39">
        <f t="shared" si="131"/>
        <v>0</v>
      </c>
      <c r="J153" s="101"/>
      <c r="K153" s="39">
        <f t="shared" si="126"/>
        <v>0</v>
      </c>
      <c r="L153" s="101"/>
      <c r="M153" s="39">
        <f t="shared" si="127"/>
        <v>0</v>
      </c>
      <c r="N153" s="101"/>
      <c r="O153" s="39">
        <f>N153*N$3</f>
        <v>0</v>
      </c>
      <c r="P153" s="101"/>
      <c r="Q153" s="39">
        <f t="shared" si="129"/>
        <v>0</v>
      </c>
      <c r="R153" s="36">
        <f t="shared" si="132"/>
        <v>0</v>
      </c>
      <c r="S153" s="35" t="str">
        <f t="shared" si="120"/>
        <v/>
      </c>
      <c r="T153" s="152"/>
      <c r="U153" s="181"/>
      <c r="V153" s="152"/>
      <c r="W153" s="152"/>
      <c r="X153" s="101"/>
      <c r="Y153" s="39">
        <f t="shared" si="133"/>
        <v>0</v>
      </c>
      <c r="Z153" s="101"/>
      <c r="AA153" s="39">
        <f t="shared" si="92"/>
        <v>0</v>
      </c>
      <c r="AB153" s="2"/>
      <c r="AC153" s="2"/>
      <c r="AD153" s="2"/>
      <c r="AE153" s="2"/>
      <c r="AF153" s="2"/>
      <c r="AG153" s="1"/>
      <c r="AH153" s="1"/>
      <c r="AI153" s="1"/>
      <c r="AJ153" s="1"/>
      <c r="AK153" s="1"/>
      <c r="AL153" s="1"/>
      <c r="AM153" s="1"/>
      <c r="AN153" s="1"/>
      <c r="AO153" s="1"/>
      <c r="AP153" s="1"/>
      <c r="AQ153" s="1"/>
    </row>
    <row r="154" spans="1:43" ht="17.25" thickBot="1" x14ac:dyDescent="0.35">
      <c r="A154" s="147">
        <v>38</v>
      </c>
      <c r="B154" s="105">
        <v>43724</v>
      </c>
      <c r="C154" s="106">
        <v>21.5</v>
      </c>
      <c r="D154" s="149">
        <f>SUM(G154:G159,I154:I159,K154:K159)</f>
        <v>10676.1</v>
      </c>
      <c r="E154" s="149">
        <f t="shared" ref="E154" si="143">SUM(G154:G159,I154:I159,M154:M159,O154:O159,Q154:Q159,K154:K159)</f>
        <v>13606.1</v>
      </c>
      <c r="F154" s="99">
        <v>235</v>
      </c>
      <c r="G154" s="7">
        <f t="shared" si="130"/>
        <v>2679</v>
      </c>
      <c r="H154" s="99">
        <v>9</v>
      </c>
      <c r="I154" s="7">
        <f t="shared" si="131"/>
        <v>102.60000000000001</v>
      </c>
      <c r="J154" s="99"/>
      <c r="K154" s="7">
        <f t="shared" si="126"/>
        <v>0</v>
      </c>
      <c r="L154" s="99">
        <v>12</v>
      </c>
      <c r="M154" s="7">
        <f t="shared" si="127"/>
        <v>168</v>
      </c>
      <c r="N154" s="99">
        <v>28</v>
      </c>
      <c r="O154" s="7">
        <f t="shared" si="128"/>
        <v>392</v>
      </c>
      <c r="P154" s="99">
        <v>9</v>
      </c>
      <c r="Q154" s="7">
        <f t="shared" si="129"/>
        <v>121.5</v>
      </c>
      <c r="R154" s="8">
        <f t="shared" si="132"/>
        <v>0.37128888888888889</v>
      </c>
      <c r="S154" s="31">
        <f t="shared" si="120"/>
        <v>161.07441860465116</v>
      </c>
      <c r="T154" s="152">
        <f t="shared" ref="T154" si="144">AVERAGE(S154:S159)</f>
        <v>144.35931600547195</v>
      </c>
      <c r="U154" s="179">
        <f t="shared" ref="U154" si="145">(SUM(G154:G159)+SUM(I154:I159))/$F$1</f>
        <v>1.1862333333333335</v>
      </c>
      <c r="V154" s="152">
        <f t="shared" ref="V154" si="146">SUM(R154:R159)</f>
        <v>1.4397888888888888</v>
      </c>
      <c r="W154" s="152">
        <v>1.2951999999999999</v>
      </c>
      <c r="X154" s="99">
        <v>1</v>
      </c>
      <c r="Y154" s="7">
        <f t="shared" si="133"/>
        <v>11.4</v>
      </c>
      <c r="Z154" s="99">
        <v>1</v>
      </c>
      <c r="AA154" s="7">
        <f t="shared" si="92"/>
        <v>11.4</v>
      </c>
      <c r="AB154" s="2"/>
      <c r="AC154" s="2"/>
      <c r="AD154" s="2"/>
      <c r="AE154" s="2"/>
      <c r="AF154" s="2"/>
      <c r="AG154" s="1"/>
      <c r="AH154" s="1"/>
      <c r="AI154" s="1"/>
      <c r="AJ154" s="1"/>
      <c r="AK154" s="1"/>
      <c r="AL154" s="1"/>
      <c r="AM154" s="1"/>
      <c r="AN154" s="1"/>
      <c r="AO154" s="1"/>
      <c r="AP154" s="1"/>
      <c r="AQ154" s="1"/>
    </row>
    <row r="155" spans="1:43" ht="17.25" thickBot="1" x14ac:dyDescent="0.35">
      <c r="A155" s="147"/>
      <c r="B155" s="97">
        <v>43725</v>
      </c>
      <c r="C155" s="107">
        <v>17</v>
      </c>
      <c r="D155" s="150"/>
      <c r="E155" s="150"/>
      <c r="F155" s="100">
        <v>176</v>
      </c>
      <c r="G155" s="7">
        <f t="shared" si="130"/>
        <v>2006.4</v>
      </c>
      <c r="H155" s="100">
        <v>5.5</v>
      </c>
      <c r="I155" s="7">
        <f t="shared" si="131"/>
        <v>62.7</v>
      </c>
      <c r="J155" s="100"/>
      <c r="K155" s="7">
        <f t="shared" si="126"/>
        <v>0</v>
      </c>
      <c r="L155" s="100">
        <v>7</v>
      </c>
      <c r="M155" s="7">
        <f t="shared" si="127"/>
        <v>98</v>
      </c>
      <c r="N155" s="100">
        <v>19</v>
      </c>
      <c r="O155" s="7">
        <f t="shared" si="128"/>
        <v>266</v>
      </c>
      <c r="P155" s="100">
        <v>9</v>
      </c>
      <c r="Q155" s="7">
        <f t="shared" si="129"/>
        <v>121.5</v>
      </c>
      <c r="R155" s="8">
        <f t="shared" si="132"/>
        <v>0.27034444444444444</v>
      </c>
      <c r="S155" s="4">
        <f t="shared" si="120"/>
        <v>150.2705882352941</v>
      </c>
      <c r="T155" s="152"/>
      <c r="U155" s="180"/>
      <c r="V155" s="152"/>
      <c r="W155" s="152"/>
      <c r="X155" s="100"/>
      <c r="Y155" s="7">
        <f t="shared" si="133"/>
        <v>0</v>
      </c>
      <c r="Z155" s="100"/>
      <c r="AA155" s="7">
        <f t="shared" si="92"/>
        <v>0</v>
      </c>
      <c r="AB155" s="2"/>
      <c r="AC155" s="2"/>
      <c r="AD155" s="2"/>
      <c r="AE155" s="2"/>
      <c r="AF155" s="2"/>
      <c r="AG155" s="1"/>
      <c r="AH155" s="1"/>
      <c r="AI155" s="1"/>
      <c r="AJ155" s="1"/>
      <c r="AK155" s="1"/>
      <c r="AL155" s="1"/>
      <c r="AM155" s="1"/>
      <c r="AN155" s="1"/>
      <c r="AO155" s="1"/>
      <c r="AP155" s="1"/>
      <c r="AQ155" s="1"/>
    </row>
    <row r="156" spans="1:43" ht="17.25" thickBot="1" x14ac:dyDescent="0.35">
      <c r="A156" s="147"/>
      <c r="B156" s="97">
        <v>42996</v>
      </c>
      <c r="C156" s="107">
        <v>21.5</v>
      </c>
      <c r="D156" s="150"/>
      <c r="E156" s="150"/>
      <c r="F156" s="100">
        <v>199</v>
      </c>
      <c r="G156" s="7">
        <f t="shared" si="130"/>
        <v>2268.6</v>
      </c>
      <c r="H156" s="100">
        <v>12</v>
      </c>
      <c r="I156" s="7">
        <f t="shared" si="131"/>
        <v>136.80000000000001</v>
      </c>
      <c r="J156" s="100"/>
      <c r="K156" s="7">
        <f t="shared" si="126"/>
        <v>0</v>
      </c>
      <c r="L156" s="100">
        <v>12</v>
      </c>
      <c r="M156" s="7">
        <f t="shared" si="127"/>
        <v>168</v>
      </c>
      <c r="N156" s="100">
        <v>14</v>
      </c>
      <c r="O156" s="7">
        <f t="shared" si="128"/>
        <v>196</v>
      </c>
      <c r="P156" s="100">
        <v>11</v>
      </c>
      <c r="Q156" s="7">
        <f t="shared" si="129"/>
        <v>148.5</v>
      </c>
      <c r="R156" s="8">
        <f t="shared" si="132"/>
        <v>0.3077111111111111</v>
      </c>
      <c r="S156" s="4">
        <f t="shared" si="120"/>
        <v>135.71627906976744</v>
      </c>
      <c r="T156" s="152"/>
      <c r="U156" s="180"/>
      <c r="V156" s="152"/>
      <c r="W156" s="152"/>
      <c r="X156" s="100"/>
      <c r="Y156" s="7">
        <f t="shared" si="133"/>
        <v>0</v>
      </c>
      <c r="Z156" s="100"/>
      <c r="AA156" s="7">
        <f t="shared" si="92"/>
        <v>0</v>
      </c>
      <c r="AB156" s="2"/>
      <c r="AC156" s="2"/>
      <c r="AD156" s="2"/>
      <c r="AE156" s="2"/>
      <c r="AF156" s="2"/>
      <c r="AG156" s="1"/>
      <c r="AH156" s="1"/>
      <c r="AI156" s="1"/>
      <c r="AJ156" s="1"/>
      <c r="AK156" s="1"/>
      <c r="AL156" s="1"/>
      <c r="AM156" s="1"/>
      <c r="AN156" s="1"/>
      <c r="AO156" s="1"/>
      <c r="AP156" s="1"/>
      <c r="AQ156" s="1"/>
    </row>
    <row r="157" spans="1:43" ht="17.25" thickBot="1" x14ac:dyDescent="0.35">
      <c r="A157" s="147"/>
      <c r="B157" s="97">
        <v>43727</v>
      </c>
      <c r="C157" s="107">
        <v>17</v>
      </c>
      <c r="D157" s="150"/>
      <c r="E157" s="150"/>
      <c r="F157" s="100">
        <v>128</v>
      </c>
      <c r="G157" s="7">
        <f t="shared" si="130"/>
        <v>1459.2</v>
      </c>
      <c r="H157" s="100">
        <v>11</v>
      </c>
      <c r="I157" s="7">
        <f t="shared" si="131"/>
        <v>125.4</v>
      </c>
      <c r="J157" s="100"/>
      <c r="K157" s="7">
        <f t="shared" si="126"/>
        <v>0</v>
      </c>
      <c r="L157" s="100">
        <v>9</v>
      </c>
      <c r="M157" s="7">
        <f t="shared" si="127"/>
        <v>126</v>
      </c>
      <c r="N157" s="100">
        <v>15</v>
      </c>
      <c r="O157" s="7">
        <f t="shared" si="128"/>
        <v>210</v>
      </c>
      <c r="P157" s="100">
        <v>10</v>
      </c>
      <c r="Q157" s="7">
        <f t="shared" si="129"/>
        <v>135</v>
      </c>
      <c r="R157" s="8">
        <f t="shared" si="132"/>
        <v>0.21340000000000001</v>
      </c>
      <c r="S157" s="4">
        <f t="shared" si="120"/>
        <v>120.91764705882355</v>
      </c>
      <c r="T157" s="152"/>
      <c r="U157" s="180"/>
      <c r="V157" s="152"/>
      <c r="W157" s="152"/>
      <c r="X157" s="100"/>
      <c r="Y157" s="7">
        <f t="shared" si="133"/>
        <v>0</v>
      </c>
      <c r="Z157" s="100"/>
      <c r="AA157" s="7">
        <f t="shared" si="92"/>
        <v>0</v>
      </c>
      <c r="AB157" s="2"/>
      <c r="AC157" s="2"/>
      <c r="AD157" s="2"/>
      <c r="AE157" s="2"/>
      <c r="AF157" s="2"/>
      <c r="AG157" s="1"/>
      <c r="AH157" s="1"/>
      <c r="AI157" s="1"/>
      <c r="AJ157" s="1"/>
      <c r="AK157" s="1"/>
      <c r="AL157" s="1"/>
      <c r="AM157" s="1"/>
      <c r="AN157" s="1"/>
      <c r="AO157" s="1"/>
      <c r="AP157" s="1"/>
      <c r="AQ157" s="1"/>
    </row>
    <row r="158" spans="1:43" ht="17.25" thickBot="1" x14ac:dyDescent="0.35">
      <c r="A158" s="147"/>
      <c r="B158" s="97">
        <v>43728</v>
      </c>
      <c r="C158" s="107">
        <v>17</v>
      </c>
      <c r="D158" s="150"/>
      <c r="E158" s="150"/>
      <c r="F158" s="100">
        <v>154</v>
      </c>
      <c r="G158" s="7">
        <f t="shared" si="130"/>
        <v>1755.6000000000001</v>
      </c>
      <c r="H158" s="100">
        <v>7</v>
      </c>
      <c r="I158" s="7">
        <f t="shared" si="131"/>
        <v>79.8</v>
      </c>
      <c r="J158" s="100"/>
      <c r="K158" s="7">
        <f t="shared" si="126"/>
        <v>0</v>
      </c>
      <c r="L158" s="100">
        <v>15</v>
      </c>
      <c r="M158" s="7">
        <f t="shared" si="127"/>
        <v>210</v>
      </c>
      <c r="N158" s="100">
        <v>32</v>
      </c>
      <c r="O158" s="7">
        <f t="shared" si="128"/>
        <v>448</v>
      </c>
      <c r="P158" s="100">
        <v>9</v>
      </c>
      <c r="Q158" s="7">
        <f t="shared" si="129"/>
        <v>121.5</v>
      </c>
      <c r="R158" s="8">
        <f t="shared" si="132"/>
        <v>0.27704444444444448</v>
      </c>
      <c r="S158" s="4">
        <f t="shared" si="120"/>
        <v>153.81764705882352</v>
      </c>
      <c r="T158" s="152"/>
      <c r="U158" s="180"/>
      <c r="V158" s="152"/>
      <c r="W158" s="152"/>
      <c r="X158" s="100"/>
      <c r="Y158" s="7">
        <f t="shared" si="133"/>
        <v>0</v>
      </c>
      <c r="Z158" s="100"/>
      <c r="AA158" s="7">
        <f t="shared" si="92"/>
        <v>0</v>
      </c>
      <c r="AB158" s="2"/>
      <c r="AC158" s="2"/>
      <c r="AD158" s="2"/>
      <c r="AE158" s="2"/>
      <c r="AF158" s="2"/>
      <c r="AG158" s="1"/>
      <c r="AH158" s="1"/>
      <c r="AI158" s="1"/>
      <c r="AJ158" s="1"/>
      <c r="AK158" s="1"/>
      <c r="AL158" s="1"/>
      <c r="AM158" s="1"/>
      <c r="AN158" s="1"/>
      <c r="AO158" s="1"/>
      <c r="AP158" s="1"/>
      <c r="AQ158" s="1"/>
    </row>
    <row r="159" spans="1:43" ht="17.25" thickBot="1" x14ac:dyDescent="0.35">
      <c r="A159" s="147"/>
      <c r="B159" s="98"/>
      <c r="C159" s="108"/>
      <c r="D159" s="151"/>
      <c r="E159" s="151"/>
      <c r="F159" s="101"/>
      <c r="G159" s="7">
        <f t="shared" si="130"/>
        <v>0</v>
      </c>
      <c r="H159" s="101"/>
      <c r="I159" s="7">
        <f t="shared" si="131"/>
        <v>0</v>
      </c>
      <c r="J159" s="101"/>
      <c r="K159" s="7">
        <f t="shared" si="126"/>
        <v>0</v>
      </c>
      <c r="L159" s="101"/>
      <c r="M159" s="7">
        <f t="shared" si="127"/>
        <v>0</v>
      </c>
      <c r="N159" s="101"/>
      <c r="O159" s="7">
        <f t="shared" si="128"/>
        <v>0</v>
      </c>
      <c r="P159" s="101"/>
      <c r="Q159" s="7">
        <f t="shared" si="129"/>
        <v>0</v>
      </c>
      <c r="R159" s="8">
        <f t="shared" si="132"/>
        <v>0</v>
      </c>
      <c r="S159" s="35" t="str">
        <f t="shared" si="120"/>
        <v/>
      </c>
      <c r="T159" s="152"/>
      <c r="U159" s="181"/>
      <c r="V159" s="152"/>
      <c r="W159" s="152"/>
      <c r="X159" s="101"/>
      <c r="Y159" s="7">
        <f t="shared" si="133"/>
        <v>0</v>
      </c>
      <c r="Z159" s="101"/>
      <c r="AA159" s="7">
        <f t="shared" si="92"/>
        <v>0</v>
      </c>
      <c r="AB159" s="2"/>
      <c r="AC159" s="2"/>
      <c r="AD159" s="2"/>
      <c r="AE159" s="2"/>
      <c r="AF159" s="2"/>
      <c r="AG159" s="1"/>
      <c r="AH159" s="1"/>
      <c r="AI159" s="1"/>
      <c r="AJ159" s="1"/>
      <c r="AK159" s="1"/>
      <c r="AL159" s="1"/>
      <c r="AM159" s="1"/>
      <c r="AN159" s="1"/>
      <c r="AO159" s="1"/>
      <c r="AP159" s="1"/>
      <c r="AQ159" s="1"/>
    </row>
    <row r="160" spans="1:43" ht="17.25" thickBot="1" x14ac:dyDescent="0.35">
      <c r="A160" s="146">
        <v>39</v>
      </c>
      <c r="B160" s="105">
        <v>43731</v>
      </c>
      <c r="C160" s="106">
        <v>17.5</v>
      </c>
      <c r="D160" s="149">
        <f t="shared" ref="D160" si="147">SUM(G160:G165,I160:I165,K160:K165)</f>
        <v>17960.700000000004</v>
      </c>
      <c r="E160" s="149">
        <f t="shared" ref="E160" si="148">SUM(G160:G165,I160:I165,M160:M165,O160:O165,Q160:Q165,K160:K165)</f>
        <v>21690.700000000004</v>
      </c>
      <c r="F160" s="99">
        <v>163</v>
      </c>
      <c r="G160" s="40">
        <f t="shared" si="130"/>
        <v>1858.2</v>
      </c>
      <c r="H160" s="99">
        <v>11</v>
      </c>
      <c r="I160" s="40">
        <f t="shared" si="131"/>
        <v>125.4</v>
      </c>
      <c r="J160" s="99"/>
      <c r="K160" s="40">
        <f t="shared" si="126"/>
        <v>0</v>
      </c>
      <c r="L160" s="99">
        <v>7</v>
      </c>
      <c r="M160" s="40">
        <f t="shared" si="127"/>
        <v>98</v>
      </c>
      <c r="N160" s="99">
        <v>13</v>
      </c>
      <c r="O160" s="40">
        <f t="shared" si="128"/>
        <v>182</v>
      </c>
      <c r="P160" s="99">
        <v>8</v>
      </c>
      <c r="Q160" s="40">
        <f t="shared" si="129"/>
        <v>108</v>
      </c>
      <c r="R160" s="34">
        <f t="shared" si="132"/>
        <v>0.25151111111111113</v>
      </c>
      <c r="S160" s="31">
        <f t="shared" si="120"/>
        <v>135.52000000000001</v>
      </c>
      <c r="T160" s="152">
        <f>AVERAGE(S160:S165)</f>
        <v>140.20495164090181</v>
      </c>
      <c r="U160" s="179">
        <f t="shared" ref="U160" si="149">(SUM(G160:G165)+SUM(I160:I165))/$F$1</f>
        <v>1.9956333333333334</v>
      </c>
      <c r="V160" s="152">
        <f t="shared" ref="V160" si="150">SUM(R160:R165)</f>
        <v>2.3020777777777774</v>
      </c>
      <c r="W160" s="152">
        <v>1.3869555555555555</v>
      </c>
      <c r="X160" s="99"/>
      <c r="Y160" s="40">
        <f t="shared" si="133"/>
        <v>0</v>
      </c>
      <c r="Z160" s="99"/>
      <c r="AA160" s="40">
        <f t="shared" si="92"/>
        <v>0</v>
      </c>
      <c r="AB160" s="2"/>
      <c r="AC160" s="2"/>
      <c r="AD160" s="2"/>
      <c r="AE160" s="2"/>
      <c r="AF160" s="2"/>
      <c r="AG160" s="1"/>
      <c r="AH160" s="1"/>
      <c r="AI160" s="1"/>
      <c r="AJ160" s="1"/>
      <c r="AK160" s="1"/>
      <c r="AL160" s="1"/>
      <c r="AM160" s="1"/>
      <c r="AN160" s="1"/>
      <c r="AO160" s="1"/>
      <c r="AP160" s="1"/>
      <c r="AQ160" s="1"/>
    </row>
    <row r="161" spans="1:43" ht="17.25" thickBot="1" x14ac:dyDescent="0.35">
      <c r="A161" s="147"/>
      <c r="B161" s="97">
        <v>43732</v>
      </c>
      <c r="C161" s="107">
        <v>25.5</v>
      </c>
      <c r="D161" s="150"/>
      <c r="E161" s="150"/>
      <c r="F161" s="100">
        <v>243</v>
      </c>
      <c r="G161" s="7">
        <f t="shared" si="130"/>
        <v>2770.2000000000003</v>
      </c>
      <c r="H161" s="100">
        <v>18</v>
      </c>
      <c r="I161" s="7">
        <f t="shared" si="131"/>
        <v>205.20000000000002</v>
      </c>
      <c r="J161" s="100"/>
      <c r="K161" s="7">
        <f t="shared" si="126"/>
        <v>0</v>
      </c>
      <c r="L161" s="100">
        <v>16</v>
      </c>
      <c r="M161" s="7">
        <f t="shared" si="127"/>
        <v>224</v>
      </c>
      <c r="N161" s="100">
        <v>18</v>
      </c>
      <c r="O161" s="7">
        <f t="shared" si="128"/>
        <v>252</v>
      </c>
      <c r="P161" s="100">
        <v>10</v>
      </c>
      <c r="Q161" s="7">
        <f t="shared" si="129"/>
        <v>135</v>
      </c>
      <c r="R161" s="8">
        <f t="shared" si="132"/>
        <v>0.38348888888888888</v>
      </c>
      <c r="S161" s="4">
        <f t="shared" si="120"/>
        <v>140.64313725490197</v>
      </c>
      <c r="T161" s="152"/>
      <c r="U161" s="180"/>
      <c r="V161" s="152"/>
      <c r="W161" s="152"/>
      <c r="X161" s="100">
        <v>1.5</v>
      </c>
      <c r="Y161" s="7">
        <f t="shared" si="133"/>
        <v>17.100000000000001</v>
      </c>
      <c r="Z161" s="100">
        <v>1</v>
      </c>
      <c r="AA161" s="7">
        <f t="shared" si="92"/>
        <v>11.4</v>
      </c>
      <c r="AB161" s="2"/>
      <c r="AC161" s="2"/>
      <c r="AD161" s="2"/>
      <c r="AE161" s="2"/>
      <c r="AF161" s="2"/>
      <c r="AG161" s="1"/>
      <c r="AH161" s="1"/>
      <c r="AI161" s="1"/>
      <c r="AJ161" s="1"/>
      <c r="AK161" s="1"/>
      <c r="AL161" s="1"/>
      <c r="AM161" s="1"/>
      <c r="AN161" s="1"/>
      <c r="AO161" s="1"/>
      <c r="AP161" s="1"/>
      <c r="AQ161" s="1"/>
    </row>
    <row r="162" spans="1:43" ht="17.25" thickBot="1" x14ac:dyDescent="0.35">
      <c r="A162" s="147"/>
      <c r="B162" s="97">
        <v>43733</v>
      </c>
      <c r="C162" s="107">
        <v>38</v>
      </c>
      <c r="D162" s="150"/>
      <c r="E162" s="150"/>
      <c r="F162" s="100">
        <v>375</v>
      </c>
      <c r="G162" s="7">
        <f t="shared" si="130"/>
        <v>4275</v>
      </c>
      <c r="H162" s="100">
        <v>23.5</v>
      </c>
      <c r="I162" s="7">
        <f t="shared" si="131"/>
        <v>267.90000000000003</v>
      </c>
      <c r="J162" s="100"/>
      <c r="K162" s="7">
        <f t="shared" si="126"/>
        <v>0</v>
      </c>
      <c r="L162" s="100">
        <v>13</v>
      </c>
      <c r="M162" s="7">
        <f t="shared" si="127"/>
        <v>182</v>
      </c>
      <c r="N162" s="100">
        <v>29</v>
      </c>
      <c r="O162" s="7">
        <f t="shared" si="128"/>
        <v>406</v>
      </c>
      <c r="P162" s="100">
        <v>12</v>
      </c>
      <c r="Q162" s="7">
        <f t="shared" si="129"/>
        <v>162</v>
      </c>
      <c r="R162" s="8">
        <f t="shared" si="132"/>
        <v>0.57009999999999994</v>
      </c>
      <c r="S162" s="4">
        <f t="shared" si="120"/>
        <v>139.28684210526316</v>
      </c>
      <c r="T162" s="152"/>
      <c r="U162" s="180"/>
      <c r="V162" s="152"/>
      <c r="W162" s="152"/>
      <c r="X162" s="100"/>
      <c r="Y162" s="7">
        <f t="shared" si="133"/>
        <v>0</v>
      </c>
      <c r="Z162" s="100"/>
      <c r="AA162" s="7">
        <f t="shared" ref="AA162:AA225" si="151">Z162*Z$3</f>
        <v>0</v>
      </c>
      <c r="AB162" s="2"/>
      <c r="AC162" s="2"/>
      <c r="AD162" s="2"/>
      <c r="AE162" s="2"/>
      <c r="AF162" s="2"/>
      <c r="AG162" s="1"/>
      <c r="AH162" s="1"/>
      <c r="AI162" s="1"/>
      <c r="AJ162" s="1"/>
      <c r="AK162" s="1"/>
      <c r="AL162" s="1"/>
      <c r="AM162" s="1"/>
      <c r="AN162" s="1"/>
      <c r="AO162" s="1"/>
      <c r="AP162" s="1"/>
      <c r="AQ162" s="1"/>
    </row>
    <row r="163" spans="1:43" ht="17.25" thickBot="1" x14ac:dyDescent="0.35">
      <c r="A163" s="147"/>
      <c r="B163" s="97">
        <v>43734</v>
      </c>
      <c r="C163" s="107">
        <v>38.5</v>
      </c>
      <c r="D163" s="150"/>
      <c r="E163" s="150"/>
      <c r="F163" s="100">
        <v>380</v>
      </c>
      <c r="G163" s="7">
        <f t="shared" si="130"/>
        <v>4332</v>
      </c>
      <c r="H163" s="100">
        <v>31</v>
      </c>
      <c r="I163" s="7">
        <f t="shared" si="131"/>
        <v>353.40000000000003</v>
      </c>
      <c r="J163" s="100"/>
      <c r="K163" s="7">
        <f t="shared" si="126"/>
        <v>0</v>
      </c>
      <c r="L163" s="100">
        <v>20</v>
      </c>
      <c r="M163" s="7">
        <f t="shared" si="127"/>
        <v>280</v>
      </c>
      <c r="N163" s="100">
        <v>28</v>
      </c>
      <c r="O163" s="7">
        <f t="shared" si="128"/>
        <v>392</v>
      </c>
      <c r="P163" s="100">
        <v>22</v>
      </c>
      <c r="Q163" s="7">
        <f t="shared" si="129"/>
        <v>297</v>
      </c>
      <c r="R163" s="8">
        <f t="shared" si="132"/>
        <v>0.59526666666666661</v>
      </c>
      <c r="S163" s="4">
        <f t="shared" si="120"/>
        <v>146.86753246753247</v>
      </c>
      <c r="T163" s="152"/>
      <c r="U163" s="180"/>
      <c r="V163" s="152"/>
      <c r="W163" s="152"/>
      <c r="X163" s="100"/>
      <c r="Y163" s="7">
        <f t="shared" si="133"/>
        <v>0</v>
      </c>
      <c r="Z163" s="100"/>
      <c r="AA163" s="7">
        <f t="shared" si="151"/>
        <v>0</v>
      </c>
      <c r="AB163" s="2"/>
      <c r="AC163" s="2"/>
      <c r="AD163" s="2"/>
      <c r="AE163" s="2"/>
      <c r="AF163" s="2"/>
      <c r="AG163" s="1"/>
      <c r="AH163" s="1"/>
      <c r="AI163" s="1"/>
      <c r="AJ163" s="1"/>
      <c r="AK163" s="1"/>
      <c r="AL163" s="1"/>
      <c r="AM163" s="1"/>
      <c r="AN163" s="1"/>
      <c r="AO163" s="1"/>
      <c r="AP163" s="1"/>
      <c r="AQ163" s="1"/>
    </row>
    <row r="164" spans="1:43" ht="17.25" thickBot="1" x14ac:dyDescent="0.35">
      <c r="A164" s="147"/>
      <c r="B164" s="97">
        <v>43735</v>
      </c>
      <c r="C164" s="107">
        <v>34.5</v>
      </c>
      <c r="D164" s="150"/>
      <c r="E164" s="150"/>
      <c r="F164" s="100">
        <v>302</v>
      </c>
      <c r="G164" s="7">
        <f t="shared" si="130"/>
        <v>3442.8</v>
      </c>
      <c r="H164" s="100">
        <v>29</v>
      </c>
      <c r="I164" s="7">
        <f t="shared" si="131"/>
        <v>330.6</v>
      </c>
      <c r="J164" s="100"/>
      <c r="K164" s="7">
        <f t="shared" si="126"/>
        <v>0</v>
      </c>
      <c r="L164" s="100">
        <v>17</v>
      </c>
      <c r="M164" s="7">
        <f t="shared" si="127"/>
        <v>238</v>
      </c>
      <c r="N164" s="100">
        <v>36</v>
      </c>
      <c r="O164" s="7">
        <f t="shared" si="128"/>
        <v>504</v>
      </c>
      <c r="P164" s="100">
        <v>20</v>
      </c>
      <c r="Q164" s="7">
        <f t="shared" si="129"/>
        <v>270</v>
      </c>
      <c r="R164" s="8">
        <f t="shared" si="132"/>
        <v>0.50171111111111111</v>
      </c>
      <c r="S164" s="4">
        <f t="shared" si="120"/>
        <v>138.70724637681158</v>
      </c>
      <c r="T164" s="152"/>
      <c r="U164" s="180"/>
      <c r="V164" s="152"/>
      <c r="W164" s="152"/>
      <c r="X164" s="100"/>
      <c r="Y164" s="7">
        <f t="shared" si="133"/>
        <v>0</v>
      </c>
      <c r="Z164" s="100"/>
      <c r="AA164" s="7">
        <f t="shared" si="151"/>
        <v>0</v>
      </c>
      <c r="AB164" s="2"/>
      <c r="AC164" s="2"/>
      <c r="AD164" s="2"/>
      <c r="AE164" s="2"/>
      <c r="AF164" s="2"/>
      <c r="AG164" s="1"/>
      <c r="AH164" s="1"/>
      <c r="AI164" s="1"/>
      <c r="AJ164" s="1"/>
      <c r="AK164" s="1"/>
      <c r="AL164" s="1"/>
      <c r="AM164" s="1"/>
      <c r="AN164" s="1"/>
      <c r="AO164" s="1"/>
      <c r="AP164" s="1"/>
      <c r="AQ164" s="1"/>
    </row>
    <row r="165" spans="1:43" ht="17.25" thickBot="1" x14ac:dyDescent="0.35">
      <c r="A165" s="148"/>
      <c r="B165" s="98"/>
      <c r="C165" s="108"/>
      <c r="D165" s="151"/>
      <c r="E165" s="151"/>
      <c r="F165" s="101"/>
      <c r="G165" s="39">
        <f t="shared" si="130"/>
        <v>0</v>
      </c>
      <c r="H165" s="101"/>
      <c r="I165" s="39">
        <f t="shared" si="131"/>
        <v>0</v>
      </c>
      <c r="J165" s="101"/>
      <c r="K165" s="39">
        <f t="shared" si="126"/>
        <v>0</v>
      </c>
      <c r="L165" s="101"/>
      <c r="M165" s="39">
        <f t="shared" si="127"/>
        <v>0</v>
      </c>
      <c r="N165" s="101"/>
      <c r="O165" s="39">
        <f t="shared" si="128"/>
        <v>0</v>
      </c>
      <c r="P165" s="101"/>
      <c r="Q165" s="39">
        <f t="shared" si="129"/>
        <v>0</v>
      </c>
      <c r="R165" s="36">
        <f t="shared" si="132"/>
        <v>0</v>
      </c>
      <c r="S165" s="35" t="str">
        <f t="shared" si="120"/>
        <v/>
      </c>
      <c r="T165" s="152"/>
      <c r="U165" s="181"/>
      <c r="V165" s="152"/>
      <c r="W165" s="152"/>
      <c r="X165" s="101"/>
      <c r="Y165" s="39">
        <f t="shared" si="133"/>
        <v>0</v>
      </c>
      <c r="Z165" s="101"/>
      <c r="AA165" s="39">
        <f t="shared" si="151"/>
        <v>0</v>
      </c>
      <c r="AB165" s="2"/>
      <c r="AC165" s="2"/>
      <c r="AD165" s="2"/>
      <c r="AE165" s="2"/>
      <c r="AF165" s="2"/>
      <c r="AG165" s="1"/>
      <c r="AH165" s="1"/>
      <c r="AI165" s="1"/>
      <c r="AJ165" s="1"/>
      <c r="AK165" s="1"/>
      <c r="AL165" s="1"/>
      <c r="AM165" s="1"/>
      <c r="AN165" s="1"/>
      <c r="AO165" s="1"/>
      <c r="AP165" s="1"/>
      <c r="AQ165" s="1"/>
    </row>
    <row r="166" spans="1:43" ht="17.25" thickBot="1" x14ac:dyDescent="0.35">
      <c r="A166" s="147">
        <v>40</v>
      </c>
      <c r="B166" s="105">
        <v>43738</v>
      </c>
      <c r="C166" s="106">
        <v>18</v>
      </c>
      <c r="D166" s="149">
        <f t="shared" ref="D166" si="152">SUM(G166:G171,I166:I171,K166:K171)</f>
        <v>5688.5999999999995</v>
      </c>
      <c r="E166" s="149">
        <f t="shared" ref="E166" si="153">SUM(G166:G171,I166:I171,M166:M171,O166:O171,Q166:Q171,K166:K171)</f>
        <v>7721.0999999999995</v>
      </c>
      <c r="F166" s="99">
        <v>126</v>
      </c>
      <c r="G166" s="7">
        <f t="shared" si="130"/>
        <v>1436.4</v>
      </c>
      <c r="H166" s="99">
        <v>10.5</v>
      </c>
      <c r="I166" s="7">
        <f t="shared" si="131"/>
        <v>119.7</v>
      </c>
      <c r="J166" s="99"/>
      <c r="K166" s="7">
        <f t="shared" si="126"/>
        <v>0</v>
      </c>
      <c r="L166" s="99">
        <v>7</v>
      </c>
      <c r="M166" s="7">
        <f t="shared" si="127"/>
        <v>98</v>
      </c>
      <c r="N166" s="99">
        <v>21</v>
      </c>
      <c r="O166" s="7">
        <f t="shared" si="128"/>
        <v>294</v>
      </c>
      <c r="P166" s="99">
        <v>10</v>
      </c>
      <c r="Q166" s="7">
        <f t="shared" si="129"/>
        <v>135</v>
      </c>
      <c r="R166" s="8">
        <f t="shared" si="132"/>
        <v>0.21645555555555557</v>
      </c>
      <c r="S166" s="31">
        <f t="shared" si="120"/>
        <v>115.7277777777778</v>
      </c>
      <c r="T166" s="152">
        <f t="shared" ref="T166" si="154">AVERAGE(S166:S171)</f>
        <v>111.77514557338088</v>
      </c>
      <c r="U166" s="179">
        <f t="shared" ref="U166" si="155">(SUM(G166:G171)+SUM(I166:I171))/$F$1</f>
        <v>0.63206666666666667</v>
      </c>
      <c r="V166" s="152">
        <f t="shared" ref="V166" si="156">SUM(R166:R171)</f>
        <v>0.71582222222222225</v>
      </c>
      <c r="W166" s="152">
        <v>0.62626666666666664</v>
      </c>
      <c r="X166" s="99"/>
      <c r="Y166" s="7">
        <f t="shared" si="133"/>
        <v>0</v>
      </c>
      <c r="Z166" s="99"/>
      <c r="AA166" s="7">
        <f t="shared" si="151"/>
        <v>0</v>
      </c>
      <c r="AB166" s="2"/>
      <c r="AC166" s="2"/>
      <c r="AD166" s="2"/>
      <c r="AE166" s="2"/>
      <c r="AF166" s="2"/>
      <c r="AG166" s="1"/>
      <c r="AH166" s="1"/>
      <c r="AI166" s="1"/>
      <c r="AJ166" s="1"/>
      <c r="AK166" s="1"/>
      <c r="AL166" s="1"/>
      <c r="AM166" s="1"/>
      <c r="AN166" s="1"/>
      <c r="AO166" s="1"/>
      <c r="AP166" s="1"/>
      <c r="AQ166" s="1"/>
    </row>
    <row r="167" spans="1:43" ht="17.25" thickBot="1" x14ac:dyDescent="0.35">
      <c r="A167" s="147"/>
      <c r="B167" s="97">
        <v>43739</v>
      </c>
      <c r="C167" s="107">
        <v>17</v>
      </c>
      <c r="D167" s="150"/>
      <c r="E167" s="150"/>
      <c r="F167" s="100">
        <v>117</v>
      </c>
      <c r="G167" s="7">
        <f t="shared" si="130"/>
        <v>1333.8</v>
      </c>
      <c r="H167" s="100">
        <v>8.5</v>
      </c>
      <c r="I167" s="7">
        <f t="shared" si="131"/>
        <v>96.9</v>
      </c>
      <c r="J167" s="100"/>
      <c r="K167" s="7">
        <f t="shared" si="126"/>
        <v>0</v>
      </c>
      <c r="L167" s="100">
        <v>7.5</v>
      </c>
      <c r="M167" s="7">
        <f t="shared" si="127"/>
        <v>105</v>
      </c>
      <c r="N167" s="100">
        <v>18</v>
      </c>
      <c r="O167" s="7">
        <f t="shared" si="128"/>
        <v>252</v>
      </c>
      <c r="P167" s="100">
        <v>8</v>
      </c>
      <c r="Q167" s="7">
        <f t="shared" si="129"/>
        <v>108</v>
      </c>
      <c r="R167" s="8">
        <f t="shared" si="132"/>
        <v>0.19863333333333333</v>
      </c>
      <c r="S167" s="4">
        <f t="shared" si="120"/>
        <v>111.51176470588236</v>
      </c>
      <c r="T167" s="152"/>
      <c r="U167" s="180"/>
      <c r="V167" s="152"/>
      <c r="W167" s="152"/>
      <c r="X167" s="100"/>
      <c r="Y167" s="7">
        <f t="shared" si="133"/>
        <v>0</v>
      </c>
      <c r="Z167" s="100"/>
      <c r="AA167" s="7">
        <f t="shared" si="151"/>
        <v>0</v>
      </c>
      <c r="AB167" s="2"/>
      <c r="AC167" s="2"/>
      <c r="AD167" s="2"/>
      <c r="AE167" s="2"/>
      <c r="AF167" s="2"/>
      <c r="AG167" s="1"/>
      <c r="AH167" s="1"/>
      <c r="AI167" s="1"/>
      <c r="AJ167" s="1"/>
      <c r="AK167" s="1"/>
      <c r="AL167" s="1"/>
      <c r="AM167" s="1"/>
      <c r="AN167" s="1"/>
      <c r="AO167" s="1"/>
      <c r="AP167" s="1"/>
      <c r="AQ167" s="1"/>
    </row>
    <row r="168" spans="1:43" ht="17.25" thickBot="1" x14ac:dyDescent="0.35">
      <c r="A168" s="147"/>
      <c r="B168" s="97">
        <v>43710</v>
      </c>
      <c r="C168" s="107">
        <v>8.5</v>
      </c>
      <c r="D168" s="150"/>
      <c r="E168" s="150"/>
      <c r="F168" s="100">
        <v>60</v>
      </c>
      <c r="G168" s="7">
        <f t="shared" si="130"/>
        <v>684</v>
      </c>
      <c r="H168" s="100">
        <v>5</v>
      </c>
      <c r="I168" s="7">
        <f t="shared" si="131"/>
        <v>57</v>
      </c>
      <c r="J168" s="100"/>
      <c r="K168" s="7">
        <f t="shared" si="126"/>
        <v>0</v>
      </c>
      <c r="L168" s="100">
        <v>4.5</v>
      </c>
      <c r="M168" s="7">
        <f t="shared" si="127"/>
        <v>63</v>
      </c>
      <c r="N168" s="100">
        <v>9</v>
      </c>
      <c r="O168" s="7">
        <f t="shared" si="128"/>
        <v>126</v>
      </c>
      <c r="P168" s="100">
        <v>5</v>
      </c>
      <c r="Q168" s="7">
        <f t="shared" si="129"/>
        <v>67.5</v>
      </c>
      <c r="R168" s="8">
        <f t="shared" si="132"/>
        <v>0.10333333333333333</v>
      </c>
      <c r="S168" s="4">
        <f t="shared" si="120"/>
        <v>117.35294117647059</v>
      </c>
      <c r="T168" s="152"/>
      <c r="U168" s="180"/>
      <c r="V168" s="152"/>
      <c r="W168" s="152"/>
      <c r="X168" s="100">
        <v>1</v>
      </c>
      <c r="Y168" s="7">
        <f t="shared" si="133"/>
        <v>11.4</v>
      </c>
      <c r="Z168" s="100">
        <v>1</v>
      </c>
      <c r="AA168" s="7">
        <f t="shared" si="151"/>
        <v>11.4</v>
      </c>
      <c r="AB168" s="2"/>
      <c r="AC168" s="2"/>
      <c r="AD168" s="2"/>
      <c r="AE168" s="2"/>
      <c r="AF168" s="2"/>
      <c r="AG168" s="1"/>
      <c r="AH168" s="1"/>
      <c r="AI168" s="1"/>
      <c r="AJ168" s="1"/>
      <c r="AK168" s="1"/>
      <c r="AL168" s="1"/>
      <c r="AM168" s="1"/>
      <c r="AN168" s="1"/>
      <c r="AO168" s="1"/>
      <c r="AP168" s="1"/>
      <c r="AQ168" s="1"/>
    </row>
    <row r="169" spans="1:43" ht="17.25" thickBot="1" x14ac:dyDescent="0.35">
      <c r="A169" s="147"/>
      <c r="B169" s="97">
        <v>43711</v>
      </c>
      <c r="C169" s="107">
        <v>17</v>
      </c>
      <c r="D169" s="150"/>
      <c r="E169" s="150"/>
      <c r="F169" s="100">
        <v>112</v>
      </c>
      <c r="G169" s="7">
        <f t="shared" si="130"/>
        <v>1276.8</v>
      </c>
      <c r="H169" s="100">
        <v>7</v>
      </c>
      <c r="I169" s="7">
        <f t="shared" si="131"/>
        <v>79.8</v>
      </c>
      <c r="J169" s="100"/>
      <c r="K169" s="7">
        <f t="shared" si="126"/>
        <v>0</v>
      </c>
      <c r="L169" s="100">
        <v>10</v>
      </c>
      <c r="M169" s="7">
        <f t="shared" si="127"/>
        <v>140</v>
      </c>
      <c r="N169" s="100">
        <v>20</v>
      </c>
      <c r="O169" s="7">
        <f t="shared" si="128"/>
        <v>280</v>
      </c>
      <c r="P169" s="100">
        <v>9</v>
      </c>
      <c r="Q169" s="7">
        <f t="shared" si="129"/>
        <v>121.5</v>
      </c>
      <c r="R169" s="8">
        <f t="shared" si="132"/>
        <v>0.19739999999999999</v>
      </c>
      <c r="S169" s="4">
        <f t="shared" si="120"/>
        <v>111.65294117647058</v>
      </c>
      <c r="T169" s="152"/>
      <c r="U169" s="180"/>
      <c r="V169" s="152"/>
      <c r="W169" s="152"/>
      <c r="X169" s="100"/>
      <c r="Y169" s="7">
        <f t="shared" si="133"/>
        <v>0</v>
      </c>
      <c r="Z169" s="100"/>
      <c r="AA169" s="7">
        <f t="shared" si="151"/>
        <v>0</v>
      </c>
      <c r="AB169" s="2"/>
      <c r="AC169" s="2"/>
      <c r="AD169" s="2"/>
      <c r="AE169" s="2"/>
      <c r="AF169" s="2"/>
      <c r="AG169" s="1"/>
      <c r="AH169" s="1"/>
      <c r="AI169" s="1"/>
      <c r="AJ169" s="1"/>
      <c r="AK169" s="1"/>
      <c r="AL169" s="1"/>
      <c r="AM169" s="1"/>
      <c r="AN169" s="1"/>
      <c r="AO169" s="1"/>
      <c r="AP169" s="1"/>
      <c r="AQ169" s="1"/>
    </row>
    <row r="170" spans="1:43" ht="17.25" thickBot="1" x14ac:dyDescent="0.35">
      <c r="A170" s="147"/>
      <c r="B170" s="97">
        <v>43712</v>
      </c>
      <c r="C170" s="107">
        <v>8.25</v>
      </c>
      <c r="D170" s="150"/>
      <c r="E170" s="150"/>
      <c r="F170" s="100">
        <v>47</v>
      </c>
      <c r="G170" s="7">
        <f t="shared" si="130"/>
        <v>535.80000000000007</v>
      </c>
      <c r="H170" s="100">
        <v>6</v>
      </c>
      <c r="I170" s="7">
        <f t="shared" si="131"/>
        <v>68.400000000000006</v>
      </c>
      <c r="J170" s="100"/>
      <c r="K170" s="7">
        <f t="shared" si="126"/>
        <v>0</v>
      </c>
      <c r="L170" s="100">
        <v>6</v>
      </c>
      <c r="M170" s="7">
        <f t="shared" si="127"/>
        <v>84</v>
      </c>
      <c r="N170" s="100">
        <v>6.5</v>
      </c>
      <c r="O170" s="7">
        <f t="shared" si="128"/>
        <v>91</v>
      </c>
      <c r="P170" s="100">
        <v>5</v>
      </c>
      <c r="Q170" s="7">
        <f t="shared" si="129"/>
        <v>67.5</v>
      </c>
      <c r="R170" s="8">
        <v>0</v>
      </c>
      <c r="S170" s="4">
        <f t="shared" si="120"/>
        <v>102.63030303030304</v>
      </c>
      <c r="T170" s="152"/>
      <c r="U170" s="180"/>
      <c r="V170" s="152"/>
      <c r="W170" s="152"/>
      <c r="X170" s="100"/>
      <c r="Y170" s="7">
        <f t="shared" si="133"/>
        <v>0</v>
      </c>
      <c r="Z170" s="100"/>
      <c r="AA170" s="7">
        <f t="shared" si="151"/>
        <v>0</v>
      </c>
      <c r="AB170" s="2"/>
      <c r="AC170" s="2"/>
      <c r="AD170" s="2"/>
      <c r="AE170" s="2"/>
      <c r="AF170" s="2"/>
      <c r="AG170" s="1"/>
      <c r="AH170" s="1"/>
      <c r="AI170" s="1"/>
      <c r="AJ170" s="1"/>
      <c r="AK170" s="1"/>
      <c r="AL170" s="1"/>
      <c r="AM170" s="1"/>
      <c r="AN170" s="1"/>
      <c r="AO170" s="1"/>
      <c r="AP170" s="1"/>
      <c r="AQ170" s="1"/>
    </row>
    <row r="171" spans="1:43" ht="17.25" thickBot="1" x14ac:dyDescent="0.35">
      <c r="A171" s="147"/>
      <c r="B171" s="98"/>
      <c r="C171" s="108"/>
      <c r="D171" s="151"/>
      <c r="E171" s="151"/>
      <c r="F171" s="101"/>
      <c r="G171" s="7">
        <f t="shared" si="130"/>
        <v>0</v>
      </c>
      <c r="H171" s="101"/>
      <c r="I171" s="7">
        <f t="shared" si="131"/>
        <v>0</v>
      </c>
      <c r="J171" s="101"/>
      <c r="K171" s="7">
        <f t="shared" si="126"/>
        <v>0</v>
      </c>
      <c r="L171" s="101"/>
      <c r="M171" s="7">
        <f t="shared" si="127"/>
        <v>0</v>
      </c>
      <c r="N171" s="101"/>
      <c r="O171" s="7">
        <f t="shared" si="128"/>
        <v>0</v>
      </c>
      <c r="P171" s="101"/>
      <c r="Q171" s="7">
        <f t="shared" si="129"/>
        <v>0</v>
      </c>
      <c r="R171" s="8">
        <f t="shared" si="132"/>
        <v>0</v>
      </c>
      <c r="S171" s="35" t="str">
        <f t="shared" si="120"/>
        <v/>
      </c>
      <c r="T171" s="152"/>
      <c r="U171" s="181"/>
      <c r="V171" s="152"/>
      <c r="W171" s="152"/>
      <c r="X171" s="101"/>
      <c r="Y171" s="7">
        <f t="shared" si="133"/>
        <v>0</v>
      </c>
      <c r="Z171" s="101"/>
      <c r="AA171" s="7">
        <f t="shared" si="151"/>
        <v>0</v>
      </c>
      <c r="AB171" s="2"/>
      <c r="AC171" s="2"/>
      <c r="AD171" s="2"/>
      <c r="AE171" s="2"/>
      <c r="AF171" s="2"/>
      <c r="AG171" s="1"/>
      <c r="AH171" s="1"/>
      <c r="AI171" s="1"/>
      <c r="AJ171" s="1"/>
      <c r="AK171" s="1"/>
      <c r="AL171" s="1"/>
      <c r="AM171" s="1"/>
      <c r="AN171" s="1"/>
      <c r="AO171" s="1"/>
      <c r="AP171" s="1"/>
      <c r="AQ171" s="1"/>
    </row>
    <row r="172" spans="1:43" ht="17.25" thickBot="1" x14ac:dyDescent="0.35">
      <c r="A172" s="146">
        <v>41</v>
      </c>
      <c r="B172" s="105">
        <v>43745</v>
      </c>
      <c r="C172" s="106">
        <v>17</v>
      </c>
      <c r="D172" s="149">
        <f t="shared" ref="D172" si="157">SUM(G172:G177,I172:I177,K172:K177)</f>
        <v>12699.6</v>
      </c>
      <c r="E172" s="149">
        <f t="shared" ref="E172" si="158">SUM(G172:G177,I172:I177,M172:M177,O172:O177,Q172:Q177,K172:K177)</f>
        <v>15633.6</v>
      </c>
      <c r="F172" s="99">
        <v>143</v>
      </c>
      <c r="G172" s="40">
        <f t="shared" si="130"/>
        <v>1630.2</v>
      </c>
      <c r="H172" s="99">
        <v>8.5</v>
      </c>
      <c r="I172" s="40">
        <f t="shared" si="131"/>
        <v>96.9</v>
      </c>
      <c r="J172" s="99"/>
      <c r="K172" s="40">
        <f t="shared" si="126"/>
        <v>0</v>
      </c>
      <c r="L172" s="99">
        <v>12.5</v>
      </c>
      <c r="M172" s="40">
        <f t="shared" si="127"/>
        <v>175</v>
      </c>
      <c r="N172" s="99">
        <v>9.5</v>
      </c>
      <c r="O172" s="40">
        <f t="shared" si="128"/>
        <v>133</v>
      </c>
      <c r="P172" s="99">
        <v>8</v>
      </c>
      <c r="Q172" s="40">
        <f t="shared" si="129"/>
        <v>108</v>
      </c>
      <c r="R172" s="34">
        <f t="shared" si="132"/>
        <v>0.22612222222222222</v>
      </c>
      <c r="S172" s="31">
        <f t="shared" si="120"/>
        <v>126.06470588235297</v>
      </c>
      <c r="T172" s="152">
        <f>AVERAGE(S172:S177)</f>
        <v>124.79278244631186</v>
      </c>
      <c r="U172" s="179">
        <f t="shared" ref="U172" si="159">(SUM(G172:G177)+SUM(I172:I177))/$F$1</f>
        <v>1.4110666666666667</v>
      </c>
      <c r="V172" s="152">
        <f t="shared" ref="V172" si="160">SUM(R172:R177)</f>
        <v>1.6560666666666668</v>
      </c>
      <c r="W172" s="152">
        <v>0.77682222222222219</v>
      </c>
      <c r="X172" s="99"/>
      <c r="Y172" s="40">
        <f t="shared" si="133"/>
        <v>0</v>
      </c>
      <c r="Z172" s="99"/>
      <c r="AA172" s="40">
        <f t="shared" si="151"/>
        <v>0</v>
      </c>
      <c r="AB172" s="2"/>
      <c r="AC172" s="2"/>
      <c r="AD172" s="2"/>
      <c r="AE172" s="2"/>
      <c r="AF172" s="2"/>
      <c r="AG172" s="1"/>
      <c r="AH172" s="1"/>
      <c r="AI172" s="1"/>
      <c r="AJ172" s="1"/>
      <c r="AK172" s="1"/>
      <c r="AL172" s="1"/>
      <c r="AM172" s="1"/>
      <c r="AN172" s="1"/>
      <c r="AO172" s="1"/>
      <c r="AP172" s="1"/>
      <c r="AQ172" s="1"/>
    </row>
    <row r="173" spans="1:43" ht="17.25" thickBot="1" x14ac:dyDescent="0.35">
      <c r="A173" s="147"/>
      <c r="B173" s="97">
        <v>43746</v>
      </c>
      <c r="C173" s="107">
        <v>18</v>
      </c>
      <c r="D173" s="150"/>
      <c r="E173" s="150"/>
      <c r="F173" s="100">
        <v>142</v>
      </c>
      <c r="G173" s="7">
        <f t="shared" si="130"/>
        <v>1618.8</v>
      </c>
      <c r="H173" s="100">
        <v>6.5</v>
      </c>
      <c r="I173" s="7">
        <f t="shared" si="131"/>
        <v>74.100000000000009</v>
      </c>
      <c r="J173" s="100"/>
      <c r="K173" s="7">
        <f t="shared" si="126"/>
        <v>0</v>
      </c>
      <c r="L173" s="100">
        <v>14</v>
      </c>
      <c r="M173" s="7">
        <f t="shared" si="127"/>
        <v>196</v>
      </c>
      <c r="N173" s="100">
        <v>12.5</v>
      </c>
      <c r="O173" s="7">
        <f t="shared" si="128"/>
        <v>175</v>
      </c>
      <c r="P173" s="100">
        <v>8</v>
      </c>
      <c r="Q173" s="7">
        <f t="shared" si="129"/>
        <v>108</v>
      </c>
      <c r="R173" s="8">
        <f t="shared" si="132"/>
        <v>0.22932222222222218</v>
      </c>
      <c r="S173" s="4">
        <f t="shared" si="120"/>
        <v>120.6611111111111</v>
      </c>
      <c r="T173" s="152"/>
      <c r="U173" s="180"/>
      <c r="V173" s="152"/>
      <c r="W173" s="152"/>
      <c r="X173" s="100"/>
      <c r="Y173" s="7">
        <f t="shared" si="133"/>
        <v>0</v>
      </c>
      <c r="Z173" s="100"/>
      <c r="AA173" s="7">
        <f t="shared" si="151"/>
        <v>0</v>
      </c>
      <c r="AB173" s="2"/>
      <c r="AC173" s="2"/>
      <c r="AD173" s="2"/>
      <c r="AE173" s="2"/>
      <c r="AF173" s="2"/>
      <c r="AG173" s="1"/>
      <c r="AH173" s="1"/>
      <c r="AI173" s="1"/>
      <c r="AJ173" s="1"/>
      <c r="AK173" s="1"/>
      <c r="AL173" s="1"/>
      <c r="AM173" s="1"/>
      <c r="AN173" s="1"/>
      <c r="AO173" s="1"/>
      <c r="AP173" s="1"/>
      <c r="AQ173" s="1"/>
    </row>
    <row r="174" spans="1:43" ht="17.25" thickBot="1" x14ac:dyDescent="0.35">
      <c r="A174" s="147"/>
      <c r="B174" s="97">
        <v>43747</v>
      </c>
      <c r="C174" s="107">
        <v>27</v>
      </c>
      <c r="D174" s="150"/>
      <c r="E174" s="150"/>
      <c r="F174" s="100">
        <v>229</v>
      </c>
      <c r="G174" s="7">
        <f t="shared" si="130"/>
        <v>2610.6</v>
      </c>
      <c r="H174" s="100">
        <v>12</v>
      </c>
      <c r="I174" s="7">
        <f t="shared" si="131"/>
        <v>136.80000000000001</v>
      </c>
      <c r="J174" s="100"/>
      <c r="K174" s="7">
        <f t="shared" si="126"/>
        <v>0</v>
      </c>
      <c r="L174" s="100">
        <v>18</v>
      </c>
      <c r="M174" s="7">
        <f t="shared" si="127"/>
        <v>252</v>
      </c>
      <c r="N174" s="100">
        <v>18</v>
      </c>
      <c r="O174" s="7">
        <f t="shared" si="128"/>
        <v>252</v>
      </c>
      <c r="P174" s="100">
        <v>10</v>
      </c>
      <c r="Q174" s="7">
        <f t="shared" si="129"/>
        <v>135</v>
      </c>
      <c r="R174" s="8">
        <f t="shared" si="132"/>
        <v>0.36126666666666668</v>
      </c>
      <c r="S174" s="4">
        <f t="shared" si="120"/>
        <v>125.42222222222223</v>
      </c>
      <c r="T174" s="152"/>
      <c r="U174" s="180"/>
      <c r="V174" s="152"/>
      <c r="W174" s="152"/>
      <c r="X174" s="100">
        <v>1</v>
      </c>
      <c r="Y174" s="7">
        <f t="shared" si="133"/>
        <v>11.4</v>
      </c>
      <c r="Z174" s="100">
        <v>1</v>
      </c>
      <c r="AA174" s="7">
        <f t="shared" si="151"/>
        <v>11.4</v>
      </c>
      <c r="AB174" s="2"/>
      <c r="AC174" s="2"/>
      <c r="AD174" s="2"/>
      <c r="AE174" s="2"/>
      <c r="AF174" s="2"/>
      <c r="AG174" s="1"/>
      <c r="AH174" s="1"/>
      <c r="AI174" s="1"/>
      <c r="AJ174" s="1"/>
      <c r="AK174" s="1"/>
      <c r="AL174" s="1"/>
      <c r="AM174" s="1"/>
      <c r="AN174" s="1"/>
      <c r="AO174" s="1"/>
      <c r="AP174" s="1"/>
      <c r="AQ174" s="1"/>
    </row>
    <row r="175" spans="1:43" ht="17.25" thickBot="1" x14ac:dyDescent="0.35">
      <c r="A175" s="147"/>
      <c r="B175" s="97">
        <v>43748</v>
      </c>
      <c r="C175" s="107">
        <v>31.5</v>
      </c>
      <c r="D175" s="150"/>
      <c r="E175" s="150"/>
      <c r="F175" s="100">
        <v>280</v>
      </c>
      <c r="G175" s="7">
        <f t="shared" si="130"/>
        <v>3192</v>
      </c>
      <c r="H175" s="100">
        <v>12</v>
      </c>
      <c r="I175" s="7">
        <f t="shared" si="131"/>
        <v>136.80000000000001</v>
      </c>
      <c r="J175" s="100"/>
      <c r="K175" s="7">
        <f t="shared" si="126"/>
        <v>0</v>
      </c>
      <c r="L175" s="100">
        <v>20</v>
      </c>
      <c r="M175" s="7">
        <f t="shared" si="127"/>
        <v>280</v>
      </c>
      <c r="N175" s="100">
        <v>20</v>
      </c>
      <c r="O175" s="7">
        <f t="shared" si="128"/>
        <v>280</v>
      </c>
      <c r="P175" s="100">
        <v>14</v>
      </c>
      <c r="Q175" s="7">
        <f t="shared" si="129"/>
        <v>189</v>
      </c>
      <c r="R175" s="8">
        <f t="shared" si="132"/>
        <v>0.43208888888888891</v>
      </c>
      <c r="S175" s="4">
        <f t="shared" si="120"/>
        <v>129.45396825396827</v>
      </c>
      <c r="T175" s="152"/>
      <c r="U175" s="180"/>
      <c r="V175" s="152"/>
      <c r="W175" s="152"/>
      <c r="X175" s="100"/>
      <c r="Y175" s="7">
        <f t="shared" si="133"/>
        <v>0</v>
      </c>
      <c r="Z175" s="100"/>
      <c r="AA175" s="7">
        <f t="shared" si="151"/>
        <v>0</v>
      </c>
      <c r="AB175" s="2"/>
      <c r="AC175" s="2"/>
      <c r="AD175" s="2"/>
      <c r="AE175" s="2"/>
      <c r="AF175" s="2"/>
      <c r="AG175" s="1"/>
      <c r="AH175" s="1"/>
      <c r="AI175" s="1"/>
      <c r="AJ175" s="1"/>
      <c r="AK175" s="1"/>
      <c r="AL175" s="1"/>
      <c r="AM175" s="1"/>
      <c r="AN175" s="1"/>
      <c r="AO175" s="1"/>
      <c r="AP175" s="1"/>
      <c r="AQ175" s="1"/>
    </row>
    <row r="176" spans="1:43" ht="17.25" thickBot="1" x14ac:dyDescent="0.35">
      <c r="A176" s="147"/>
      <c r="B176" s="97">
        <v>43749</v>
      </c>
      <c r="C176" s="107">
        <v>31.5</v>
      </c>
      <c r="D176" s="150"/>
      <c r="E176" s="150"/>
      <c r="F176" s="100">
        <v>263</v>
      </c>
      <c r="G176" s="7">
        <f t="shared" si="130"/>
        <v>2998.2000000000003</v>
      </c>
      <c r="H176" s="100">
        <v>18</v>
      </c>
      <c r="I176" s="7">
        <f t="shared" si="131"/>
        <v>205.20000000000002</v>
      </c>
      <c r="J176" s="100"/>
      <c r="K176" s="7">
        <f t="shared" si="126"/>
        <v>0</v>
      </c>
      <c r="L176" s="100">
        <v>18</v>
      </c>
      <c r="M176" s="7">
        <f t="shared" si="127"/>
        <v>252</v>
      </c>
      <c r="N176" s="100">
        <v>15</v>
      </c>
      <c r="O176" s="7">
        <f t="shared" si="128"/>
        <v>210</v>
      </c>
      <c r="P176" s="100">
        <v>14</v>
      </c>
      <c r="Q176" s="7">
        <f t="shared" si="129"/>
        <v>189</v>
      </c>
      <c r="R176" s="8">
        <f t="shared" si="132"/>
        <v>0.40726666666666667</v>
      </c>
      <c r="S176" s="4">
        <f t="shared" si="120"/>
        <v>122.36190476190477</v>
      </c>
      <c r="T176" s="152"/>
      <c r="U176" s="180"/>
      <c r="V176" s="152"/>
      <c r="W176" s="152"/>
      <c r="X176" s="100"/>
      <c r="Y176" s="7">
        <f t="shared" si="133"/>
        <v>0</v>
      </c>
      <c r="Z176" s="100"/>
      <c r="AA176" s="7">
        <f t="shared" si="151"/>
        <v>0</v>
      </c>
      <c r="AB176" s="2"/>
      <c r="AC176" s="2"/>
      <c r="AD176" s="2"/>
      <c r="AE176" s="2"/>
      <c r="AF176" s="2"/>
      <c r="AG176" s="1"/>
      <c r="AH176" s="1"/>
      <c r="AI176" s="1"/>
      <c r="AJ176" s="1"/>
      <c r="AK176" s="1"/>
      <c r="AL176" s="1"/>
      <c r="AM176" s="1"/>
      <c r="AN176" s="1"/>
      <c r="AO176" s="1"/>
      <c r="AP176" s="1"/>
      <c r="AQ176" s="1"/>
    </row>
    <row r="177" spans="1:43" ht="17.25" thickBot="1" x14ac:dyDescent="0.35">
      <c r="A177" s="148"/>
      <c r="B177" s="98"/>
      <c r="C177" s="108"/>
      <c r="D177" s="151"/>
      <c r="E177" s="151"/>
      <c r="F177" s="101"/>
      <c r="G177" s="39">
        <f t="shared" si="130"/>
        <v>0</v>
      </c>
      <c r="H177" s="101"/>
      <c r="I177" s="39">
        <f t="shared" si="131"/>
        <v>0</v>
      </c>
      <c r="J177" s="101"/>
      <c r="K177" s="39">
        <f t="shared" si="126"/>
        <v>0</v>
      </c>
      <c r="L177" s="101"/>
      <c r="M177" s="39">
        <f t="shared" si="127"/>
        <v>0</v>
      </c>
      <c r="N177" s="101"/>
      <c r="O177" s="39">
        <f t="shared" si="128"/>
        <v>0</v>
      </c>
      <c r="P177" s="101"/>
      <c r="Q177" s="39">
        <f t="shared" si="129"/>
        <v>0</v>
      </c>
      <c r="R177" s="36">
        <f t="shared" si="132"/>
        <v>0</v>
      </c>
      <c r="S177" s="35" t="str">
        <f t="shared" si="120"/>
        <v/>
      </c>
      <c r="T177" s="152"/>
      <c r="U177" s="181"/>
      <c r="V177" s="152"/>
      <c r="W177" s="152"/>
      <c r="X177" s="101"/>
      <c r="Y177" s="39">
        <f t="shared" si="133"/>
        <v>0</v>
      </c>
      <c r="Z177" s="101"/>
      <c r="AA177" s="39">
        <f t="shared" si="151"/>
        <v>0</v>
      </c>
      <c r="AB177" s="2"/>
      <c r="AC177" s="2"/>
      <c r="AD177" s="2"/>
      <c r="AE177" s="2"/>
      <c r="AF177" s="2"/>
      <c r="AG177" s="1"/>
      <c r="AH177" s="1"/>
      <c r="AI177" s="1"/>
      <c r="AJ177" s="1"/>
      <c r="AK177" s="1"/>
      <c r="AL177" s="1"/>
      <c r="AM177" s="1"/>
      <c r="AN177" s="1"/>
      <c r="AO177" s="1"/>
      <c r="AP177" s="1"/>
      <c r="AQ177" s="1"/>
    </row>
    <row r="178" spans="1:43" ht="17.25" thickBot="1" x14ac:dyDescent="0.35">
      <c r="A178" s="147">
        <v>42</v>
      </c>
      <c r="B178" s="105">
        <v>43752</v>
      </c>
      <c r="C178" s="106">
        <v>25.5</v>
      </c>
      <c r="D178" s="149">
        <f t="shared" ref="D178" si="161">SUM(G178:G183,I178:I183,K178:K183)</f>
        <v>8846.4</v>
      </c>
      <c r="E178" s="149">
        <f t="shared" ref="E178" si="162">SUM(G178:G183,I178:I183,M178:M183,O178:O183,Q178:Q183,K178:K183)</f>
        <v>10726.9</v>
      </c>
      <c r="F178" s="99">
        <v>215</v>
      </c>
      <c r="G178" s="7">
        <f t="shared" si="130"/>
        <v>2451</v>
      </c>
      <c r="H178" s="99">
        <v>15</v>
      </c>
      <c r="I178" s="7">
        <f t="shared" si="131"/>
        <v>171</v>
      </c>
      <c r="J178" s="99"/>
      <c r="K178" s="7">
        <f t="shared" si="126"/>
        <v>0</v>
      </c>
      <c r="L178" s="99">
        <v>12</v>
      </c>
      <c r="M178" s="7">
        <f t="shared" si="127"/>
        <v>168</v>
      </c>
      <c r="N178" s="99">
        <v>14</v>
      </c>
      <c r="O178" s="7">
        <f t="shared" si="128"/>
        <v>196</v>
      </c>
      <c r="P178" s="99">
        <v>10</v>
      </c>
      <c r="Q178" s="7">
        <f t="shared" si="129"/>
        <v>135</v>
      </c>
      <c r="R178" s="8">
        <f t="shared" si="132"/>
        <v>0.33177777777777778</v>
      </c>
      <c r="S178" s="31">
        <f t="shared" si="120"/>
        <v>122.3921568627451</v>
      </c>
      <c r="T178" s="152">
        <f t="shared" ref="T178" si="163">AVERAGE(S178:S183)</f>
        <v>124.07436255534472</v>
      </c>
      <c r="U178" s="179">
        <f t="shared" ref="U178" si="164">(SUM(G178:G183)+SUM(I178:I183))/$F$1</f>
        <v>0.98293333333333333</v>
      </c>
      <c r="V178" s="152">
        <f t="shared" ref="V178" si="165">SUM(R178:R183)</f>
        <v>1.1213777777777778</v>
      </c>
      <c r="W178" s="152">
        <v>1.2578</v>
      </c>
      <c r="X178" s="99"/>
      <c r="Y178" s="7">
        <f t="shared" si="133"/>
        <v>0</v>
      </c>
      <c r="Z178" s="99"/>
      <c r="AA178" s="7">
        <f t="shared" si="151"/>
        <v>0</v>
      </c>
      <c r="AB178" s="2"/>
      <c r="AC178" s="2"/>
      <c r="AD178" s="2"/>
      <c r="AE178" s="2"/>
      <c r="AF178" s="2"/>
      <c r="AG178" s="1"/>
      <c r="AH178" s="1"/>
      <c r="AI178" s="1"/>
      <c r="AJ178" s="1"/>
      <c r="AK178" s="1"/>
      <c r="AL178" s="1"/>
      <c r="AM178" s="1"/>
      <c r="AN178" s="1"/>
      <c r="AO178" s="1"/>
      <c r="AP178" s="1"/>
      <c r="AQ178" s="1"/>
    </row>
    <row r="179" spans="1:43" ht="17.25" thickBot="1" x14ac:dyDescent="0.35">
      <c r="A179" s="147"/>
      <c r="B179" s="97">
        <v>43753</v>
      </c>
      <c r="C179" s="107">
        <v>21</v>
      </c>
      <c r="D179" s="150"/>
      <c r="E179" s="150"/>
      <c r="F179" s="100">
        <v>169</v>
      </c>
      <c r="G179" s="7">
        <f t="shared" si="130"/>
        <v>1926.6000000000001</v>
      </c>
      <c r="H179" s="100">
        <v>11</v>
      </c>
      <c r="I179" s="7">
        <f t="shared" si="131"/>
        <v>125.4</v>
      </c>
      <c r="J179" s="100"/>
      <c r="K179" s="7">
        <f t="shared" si="126"/>
        <v>0</v>
      </c>
      <c r="L179" s="100">
        <v>11</v>
      </c>
      <c r="M179" s="7">
        <f t="shared" si="127"/>
        <v>154</v>
      </c>
      <c r="N179" s="100">
        <v>12</v>
      </c>
      <c r="O179" s="7">
        <f t="shared" si="128"/>
        <v>168</v>
      </c>
      <c r="P179" s="100">
        <v>9</v>
      </c>
      <c r="Q179" s="7">
        <f t="shared" si="129"/>
        <v>121.5</v>
      </c>
      <c r="R179" s="8">
        <f t="shared" si="132"/>
        <v>0.26377777777777778</v>
      </c>
      <c r="S179" s="4">
        <f t="shared" si="120"/>
        <v>118.83333333333333</v>
      </c>
      <c r="T179" s="152"/>
      <c r="U179" s="180"/>
      <c r="V179" s="152"/>
      <c r="W179" s="152"/>
      <c r="X179" s="100">
        <v>1</v>
      </c>
      <c r="Y179" s="7">
        <f t="shared" si="133"/>
        <v>11.4</v>
      </c>
      <c r="Z179" s="100">
        <v>1</v>
      </c>
      <c r="AA179" s="7">
        <f t="shared" si="151"/>
        <v>11.4</v>
      </c>
      <c r="AB179" s="2"/>
      <c r="AC179" s="2"/>
      <c r="AD179" s="2"/>
      <c r="AE179" s="2"/>
      <c r="AF179" s="2"/>
      <c r="AG179" s="1"/>
      <c r="AH179" s="1"/>
      <c r="AI179" s="1"/>
      <c r="AJ179" s="1"/>
      <c r="AK179" s="1"/>
      <c r="AL179" s="1"/>
      <c r="AM179" s="1"/>
      <c r="AN179" s="1"/>
      <c r="AO179" s="1"/>
      <c r="AP179" s="1"/>
      <c r="AQ179" s="1"/>
    </row>
    <row r="180" spans="1:43" ht="17.25" thickBot="1" x14ac:dyDescent="0.35">
      <c r="A180" s="147"/>
      <c r="B180" s="97">
        <v>43755</v>
      </c>
      <c r="C180" s="107">
        <v>12.5</v>
      </c>
      <c r="D180" s="150"/>
      <c r="E180" s="150"/>
      <c r="F180" s="100">
        <v>104</v>
      </c>
      <c r="G180" s="7">
        <f t="shared" si="130"/>
        <v>1185.6000000000001</v>
      </c>
      <c r="H180" s="100">
        <v>8.5</v>
      </c>
      <c r="I180" s="7">
        <f t="shared" si="131"/>
        <v>96.9</v>
      </c>
      <c r="J180" s="100"/>
      <c r="K180" s="7">
        <f t="shared" si="126"/>
        <v>0</v>
      </c>
      <c r="L180" s="100">
        <v>6</v>
      </c>
      <c r="M180" s="7">
        <f t="shared" si="127"/>
        <v>84</v>
      </c>
      <c r="N180" s="100">
        <v>7</v>
      </c>
      <c r="O180" s="7">
        <f t="shared" si="128"/>
        <v>98</v>
      </c>
      <c r="P180" s="100">
        <v>7</v>
      </c>
      <c r="Q180" s="7">
        <f t="shared" si="129"/>
        <v>94.5</v>
      </c>
      <c r="R180" s="8">
        <f t="shared" si="132"/>
        <v>0.16272222222222224</v>
      </c>
      <c r="S180" s="4">
        <f t="shared" si="120"/>
        <v>124.72000000000001</v>
      </c>
      <c r="T180" s="152"/>
      <c r="U180" s="180"/>
      <c r="V180" s="152"/>
      <c r="W180" s="152"/>
      <c r="X180" s="100"/>
      <c r="Y180" s="7">
        <f t="shared" si="133"/>
        <v>0</v>
      </c>
      <c r="Z180" s="100"/>
      <c r="AA180" s="7">
        <f t="shared" si="151"/>
        <v>0</v>
      </c>
      <c r="AB180" s="2"/>
      <c r="AC180" s="2"/>
      <c r="AD180" s="2"/>
      <c r="AE180" s="2"/>
      <c r="AF180" s="2"/>
      <c r="AG180" s="1"/>
      <c r="AH180" s="1"/>
      <c r="AI180" s="1"/>
      <c r="AJ180" s="1"/>
      <c r="AK180" s="1"/>
      <c r="AL180" s="1"/>
      <c r="AM180" s="1"/>
      <c r="AN180" s="1"/>
      <c r="AO180" s="1"/>
      <c r="AP180" s="1"/>
      <c r="AQ180" s="1"/>
    </row>
    <row r="181" spans="1:43" ht="17.25" thickBot="1" x14ac:dyDescent="0.35">
      <c r="A181" s="147"/>
      <c r="B181" s="97">
        <v>43756</v>
      </c>
      <c r="C181" s="107">
        <v>12.5</v>
      </c>
      <c r="D181" s="150"/>
      <c r="E181" s="150"/>
      <c r="F181" s="100">
        <v>107</v>
      </c>
      <c r="G181" s="7">
        <f t="shared" si="130"/>
        <v>1219.8</v>
      </c>
      <c r="H181" s="100">
        <v>8.5</v>
      </c>
      <c r="I181" s="7">
        <f t="shared" si="131"/>
        <v>96.9</v>
      </c>
      <c r="J181" s="100"/>
      <c r="K181" s="7">
        <f t="shared" si="126"/>
        <v>0</v>
      </c>
      <c r="L181" s="100">
        <v>7</v>
      </c>
      <c r="M181" s="7">
        <f t="shared" si="127"/>
        <v>98</v>
      </c>
      <c r="N181" s="100">
        <v>7</v>
      </c>
      <c r="O181" s="7">
        <f t="shared" si="128"/>
        <v>98</v>
      </c>
      <c r="P181" s="100">
        <v>9</v>
      </c>
      <c r="Q181" s="7">
        <f t="shared" si="129"/>
        <v>121.5</v>
      </c>
      <c r="R181" s="8">
        <f t="shared" si="132"/>
        <v>0.16807777777777777</v>
      </c>
      <c r="S181" s="4">
        <f t="shared" si="120"/>
        <v>130.73599999999999</v>
      </c>
      <c r="T181" s="152"/>
      <c r="U181" s="180"/>
      <c r="V181" s="152"/>
      <c r="W181" s="152"/>
      <c r="X181" s="100"/>
      <c r="Y181" s="7">
        <f t="shared" si="133"/>
        <v>0</v>
      </c>
      <c r="Z181" s="100"/>
      <c r="AA181" s="7">
        <f t="shared" si="151"/>
        <v>0</v>
      </c>
      <c r="AB181" s="2"/>
      <c r="AC181" s="2"/>
      <c r="AD181" s="2"/>
      <c r="AE181" s="2"/>
      <c r="AF181" s="2"/>
      <c r="AG181" s="1"/>
      <c r="AH181" s="1"/>
      <c r="AI181" s="1"/>
      <c r="AJ181" s="1"/>
      <c r="AK181" s="1"/>
      <c r="AL181" s="1"/>
      <c r="AM181" s="1"/>
      <c r="AN181" s="1"/>
      <c r="AO181" s="1"/>
      <c r="AP181" s="1"/>
      <c r="AQ181" s="1"/>
    </row>
    <row r="182" spans="1:43" ht="17.25" thickBot="1" x14ac:dyDescent="0.35">
      <c r="A182" s="147"/>
      <c r="B182" s="97">
        <v>43757</v>
      </c>
      <c r="C182" s="107">
        <v>15.5</v>
      </c>
      <c r="D182" s="150"/>
      <c r="E182" s="150"/>
      <c r="F182" s="100">
        <v>124</v>
      </c>
      <c r="G182" s="7">
        <f t="shared" si="130"/>
        <v>1413.6000000000001</v>
      </c>
      <c r="H182" s="100">
        <v>14</v>
      </c>
      <c r="I182" s="7">
        <f t="shared" si="131"/>
        <v>159.6</v>
      </c>
      <c r="J182" s="100"/>
      <c r="K182" s="7">
        <f t="shared" si="126"/>
        <v>0</v>
      </c>
      <c r="L182" s="100">
        <v>6</v>
      </c>
      <c r="M182" s="7">
        <f t="shared" si="127"/>
        <v>84</v>
      </c>
      <c r="N182" s="100">
        <v>7</v>
      </c>
      <c r="O182" s="7">
        <f t="shared" si="128"/>
        <v>98</v>
      </c>
      <c r="P182" s="100">
        <v>12</v>
      </c>
      <c r="Q182" s="7">
        <f t="shared" si="129"/>
        <v>162</v>
      </c>
      <c r="R182" s="8">
        <f t="shared" si="132"/>
        <v>0.19502222222222224</v>
      </c>
      <c r="S182" s="4">
        <f t="shared" si="120"/>
        <v>123.69032258064516</v>
      </c>
      <c r="T182" s="152"/>
      <c r="U182" s="180"/>
      <c r="V182" s="152"/>
      <c r="W182" s="152"/>
      <c r="X182" s="100"/>
      <c r="Y182" s="7">
        <f t="shared" si="133"/>
        <v>0</v>
      </c>
      <c r="Z182" s="100"/>
      <c r="AA182" s="7">
        <f t="shared" si="151"/>
        <v>0</v>
      </c>
      <c r="AB182" s="2"/>
      <c r="AC182" s="2"/>
      <c r="AD182" s="2"/>
      <c r="AE182" s="2"/>
      <c r="AF182" s="2"/>
      <c r="AG182" s="1"/>
      <c r="AH182" s="1"/>
      <c r="AI182" s="1"/>
      <c r="AJ182" s="1"/>
      <c r="AK182" s="1"/>
      <c r="AL182" s="1"/>
      <c r="AM182" s="1"/>
      <c r="AN182" s="1"/>
      <c r="AO182" s="1"/>
      <c r="AP182" s="1"/>
      <c r="AQ182" s="1"/>
    </row>
    <row r="183" spans="1:43" ht="17.25" thickBot="1" x14ac:dyDescent="0.35">
      <c r="A183" s="147"/>
      <c r="B183" s="98"/>
      <c r="C183" s="108"/>
      <c r="D183" s="151"/>
      <c r="E183" s="151"/>
      <c r="F183" s="101"/>
      <c r="G183" s="7">
        <f t="shared" si="130"/>
        <v>0</v>
      </c>
      <c r="H183" s="101"/>
      <c r="I183" s="7">
        <f t="shared" si="131"/>
        <v>0</v>
      </c>
      <c r="J183" s="101"/>
      <c r="K183" s="7">
        <f t="shared" si="126"/>
        <v>0</v>
      </c>
      <c r="L183" s="101"/>
      <c r="M183" s="7">
        <f t="shared" si="127"/>
        <v>0</v>
      </c>
      <c r="N183" s="101"/>
      <c r="O183" s="7">
        <f t="shared" si="128"/>
        <v>0</v>
      </c>
      <c r="P183" s="101"/>
      <c r="Q183" s="7">
        <f t="shared" si="129"/>
        <v>0</v>
      </c>
      <c r="R183" s="8">
        <f t="shared" si="132"/>
        <v>0</v>
      </c>
      <c r="S183" s="35" t="str">
        <f t="shared" si="120"/>
        <v/>
      </c>
      <c r="T183" s="152"/>
      <c r="U183" s="181"/>
      <c r="V183" s="152"/>
      <c r="W183" s="152"/>
      <c r="X183" s="101"/>
      <c r="Y183" s="7">
        <f t="shared" si="133"/>
        <v>0</v>
      </c>
      <c r="Z183" s="101"/>
      <c r="AA183" s="7">
        <f t="shared" si="151"/>
        <v>0</v>
      </c>
      <c r="AB183" s="2"/>
      <c r="AC183" s="2"/>
      <c r="AD183" s="2"/>
      <c r="AE183" s="2"/>
      <c r="AF183" s="2"/>
      <c r="AG183" s="1"/>
      <c r="AH183" s="1"/>
      <c r="AI183" s="1"/>
      <c r="AJ183" s="1"/>
      <c r="AK183" s="1"/>
      <c r="AL183" s="1"/>
      <c r="AM183" s="1"/>
      <c r="AN183" s="1"/>
      <c r="AO183" s="1"/>
      <c r="AP183" s="1"/>
      <c r="AQ183" s="1"/>
    </row>
    <row r="184" spans="1:43" ht="17.25" thickBot="1" x14ac:dyDescent="0.35">
      <c r="A184" s="146">
        <v>43</v>
      </c>
      <c r="B184" s="105">
        <v>43759</v>
      </c>
      <c r="C184" s="106">
        <v>17</v>
      </c>
      <c r="D184" s="149">
        <f t="shared" ref="D184" si="166">SUM(G184:G189,I184:I189,K184:K189)</f>
        <v>12460.199999999997</v>
      </c>
      <c r="E184" s="149">
        <f t="shared" ref="E184" si="167">SUM(G184:G189,I184:I189,M184:M189,O184:O189,Q184:Q189,K184:K189)</f>
        <v>14590.699999999997</v>
      </c>
      <c r="F184" s="99">
        <v>174</v>
      </c>
      <c r="G184" s="40">
        <f t="shared" si="130"/>
        <v>1983.6000000000001</v>
      </c>
      <c r="H184" s="99">
        <v>22</v>
      </c>
      <c r="I184" s="40">
        <f t="shared" si="131"/>
        <v>250.8</v>
      </c>
      <c r="J184" s="99"/>
      <c r="K184" s="40">
        <f t="shared" si="126"/>
        <v>0</v>
      </c>
      <c r="L184" s="99">
        <v>5</v>
      </c>
      <c r="M184" s="40">
        <f t="shared" si="127"/>
        <v>70</v>
      </c>
      <c r="N184" s="99">
        <v>3</v>
      </c>
      <c r="O184" s="40">
        <f t="shared" si="128"/>
        <v>42</v>
      </c>
      <c r="P184" s="99">
        <v>10</v>
      </c>
      <c r="Q184" s="40">
        <f t="shared" si="129"/>
        <v>135</v>
      </c>
      <c r="R184" s="34">
        <f t="shared" si="132"/>
        <v>0.26071111111111112</v>
      </c>
      <c r="S184" s="31">
        <f t="shared" si="120"/>
        <v>145.96470588235294</v>
      </c>
      <c r="T184" s="152">
        <f t="shared" ref="T184" si="168">AVERAGE(S184:S189)</f>
        <v>131.33578754369964</v>
      </c>
      <c r="U184" s="179">
        <f t="shared" ref="U184" si="169">(SUM(G184:G189)+SUM(I184:I189))/$F$1</f>
        <v>1.3844666666666667</v>
      </c>
      <c r="V184" s="152">
        <f t="shared" ref="V184" si="170">SUM(R184:R189)</f>
        <v>1.502688888888889</v>
      </c>
      <c r="W184" s="152">
        <v>2.2642666666666664</v>
      </c>
      <c r="X184" s="99"/>
      <c r="Y184" s="40">
        <f t="shared" si="133"/>
        <v>0</v>
      </c>
      <c r="Z184" s="99"/>
      <c r="AA184" s="40">
        <f t="shared" si="151"/>
        <v>0</v>
      </c>
      <c r="AB184" s="2"/>
      <c r="AC184" s="2"/>
      <c r="AD184" s="2"/>
      <c r="AE184" s="2"/>
      <c r="AF184" s="2"/>
      <c r="AG184" s="1"/>
      <c r="AH184" s="1"/>
      <c r="AI184" s="1"/>
      <c r="AJ184" s="1"/>
      <c r="AK184" s="1"/>
      <c r="AL184" s="1"/>
      <c r="AM184" s="1"/>
      <c r="AN184" s="1"/>
      <c r="AO184" s="1"/>
      <c r="AP184" s="1"/>
      <c r="AQ184" s="1"/>
    </row>
    <row r="185" spans="1:43" ht="17.25" thickBot="1" x14ac:dyDescent="0.35">
      <c r="A185" s="147"/>
      <c r="B185" s="97">
        <v>43760</v>
      </c>
      <c r="C185" s="107">
        <v>17</v>
      </c>
      <c r="D185" s="150"/>
      <c r="E185" s="150"/>
      <c r="F185" s="100">
        <v>154</v>
      </c>
      <c r="G185" s="7">
        <f t="shared" si="130"/>
        <v>1755.6000000000001</v>
      </c>
      <c r="H185" s="100">
        <v>27</v>
      </c>
      <c r="I185" s="7">
        <f t="shared" si="131"/>
        <v>307.8</v>
      </c>
      <c r="J185" s="100"/>
      <c r="K185" s="7">
        <f t="shared" si="126"/>
        <v>0</v>
      </c>
      <c r="L185" s="100">
        <v>6</v>
      </c>
      <c r="M185" s="7">
        <f t="shared" si="127"/>
        <v>84</v>
      </c>
      <c r="N185" s="100">
        <v>2</v>
      </c>
      <c r="O185" s="7">
        <f t="shared" si="128"/>
        <v>28</v>
      </c>
      <c r="P185" s="100">
        <v>11</v>
      </c>
      <c r="Q185" s="7">
        <f t="shared" si="129"/>
        <v>148.5</v>
      </c>
      <c r="R185" s="8">
        <f t="shared" si="132"/>
        <v>0.24171111111111113</v>
      </c>
      <c r="S185" s="4">
        <f t="shared" si="120"/>
        <v>136.70000000000002</v>
      </c>
      <c r="T185" s="152"/>
      <c r="U185" s="180"/>
      <c r="V185" s="152"/>
      <c r="W185" s="152"/>
      <c r="X185" s="100">
        <v>1</v>
      </c>
      <c r="Y185" s="7">
        <f t="shared" si="133"/>
        <v>11.4</v>
      </c>
      <c r="Z185" s="100">
        <v>1</v>
      </c>
      <c r="AA185" s="7">
        <f t="shared" si="151"/>
        <v>11.4</v>
      </c>
      <c r="AB185" s="2"/>
      <c r="AC185" s="2"/>
      <c r="AD185" s="2"/>
      <c r="AE185" s="2"/>
      <c r="AF185" s="2"/>
      <c r="AG185" s="1"/>
      <c r="AH185" s="1"/>
      <c r="AI185" s="1"/>
      <c r="AJ185" s="1"/>
      <c r="AK185" s="1"/>
      <c r="AL185" s="1"/>
      <c r="AM185" s="1"/>
      <c r="AN185" s="1"/>
      <c r="AO185" s="1"/>
      <c r="AP185" s="1"/>
      <c r="AQ185" s="1"/>
    </row>
    <row r="186" spans="1:43" ht="17.25" thickBot="1" x14ac:dyDescent="0.35">
      <c r="A186" s="147"/>
      <c r="B186" s="97">
        <v>43761</v>
      </c>
      <c r="C186" s="107">
        <v>20</v>
      </c>
      <c r="D186" s="150"/>
      <c r="E186" s="150"/>
      <c r="F186" s="100">
        <v>171</v>
      </c>
      <c r="G186" s="7">
        <f t="shared" si="130"/>
        <v>1949.4</v>
      </c>
      <c r="H186" s="100">
        <v>32</v>
      </c>
      <c r="I186" s="7">
        <f t="shared" si="131"/>
        <v>364.8</v>
      </c>
      <c r="J186" s="100"/>
      <c r="K186" s="7">
        <f t="shared" si="126"/>
        <v>0</v>
      </c>
      <c r="L186" s="100">
        <v>10</v>
      </c>
      <c r="M186" s="7">
        <f t="shared" si="127"/>
        <v>140</v>
      </c>
      <c r="N186" s="100">
        <v>4</v>
      </c>
      <c r="O186" s="7">
        <f t="shared" si="128"/>
        <v>56</v>
      </c>
      <c r="P186" s="100">
        <v>13</v>
      </c>
      <c r="Q186" s="7">
        <f t="shared" si="129"/>
        <v>175.5</v>
      </c>
      <c r="R186" s="8">
        <f t="shared" si="132"/>
        <v>0.27891111111111117</v>
      </c>
      <c r="S186" s="4">
        <f t="shared" si="120"/>
        <v>134.28500000000003</v>
      </c>
      <c r="T186" s="152"/>
      <c r="U186" s="180"/>
      <c r="V186" s="152"/>
      <c r="W186" s="152"/>
      <c r="X186" s="100"/>
      <c r="Y186" s="7">
        <f t="shared" si="133"/>
        <v>0</v>
      </c>
      <c r="Z186" s="100"/>
      <c r="AA186" s="7">
        <f t="shared" si="151"/>
        <v>0</v>
      </c>
      <c r="AB186" s="2"/>
      <c r="AC186" s="2"/>
      <c r="AD186" s="2"/>
      <c r="AE186" s="2"/>
      <c r="AF186" s="2"/>
      <c r="AG186" s="1"/>
      <c r="AH186" s="1"/>
      <c r="AI186" s="1"/>
      <c r="AJ186" s="1"/>
      <c r="AK186" s="1"/>
      <c r="AL186" s="1"/>
      <c r="AM186" s="1"/>
      <c r="AN186" s="1"/>
      <c r="AO186" s="1"/>
      <c r="AP186" s="1"/>
      <c r="AQ186" s="1"/>
    </row>
    <row r="187" spans="1:43" ht="17.25" thickBot="1" x14ac:dyDescent="0.35">
      <c r="A187" s="147"/>
      <c r="B187" s="97">
        <v>43762</v>
      </c>
      <c r="C187" s="107">
        <v>24</v>
      </c>
      <c r="D187" s="150"/>
      <c r="E187" s="150"/>
      <c r="F187" s="100">
        <v>190</v>
      </c>
      <c r="G187" s="7">
        <f t="shared" si="130"/>
        <v>2166</v>
      </c>
      <c r="H187" s="100">
        <v>27</v>
      </c>
      <c r="I187" s="7">
        <f t="shared" si="131"/>
        <v>307.8</v>
      </c>
      <c r="J187" s="100"/>
      <c r="K187" s="7">
        <f t="shared" si="126"/>
        <v>0</v>
      </c>
      <c r="L187" s="100">
        <v>14</v>
      </c>
      <c r="M187" s="7">
        <f t="shared" si="127"/>
        <v>196</v>
      </c>
      <c r="N187" s="100">
        <v>5</v>
      </c>
      <c r="O187" s="7">
        <f t="shared" si="128"/>
        <v>70</v>
      </c>
      <c r="P187" s="100">
        <v>17</v>
      </c>
      <c r="Q187" s="7">
        <f t="shared" si="129"/>
        <v>229.5</v>
      </c>
      <c r="R187" s="8">
        <f t="shared" si="132"/>
        <v>0.30442222222222226</v>
      </c>
      <c r="S187" s="4">
        <f t="shared" si="120"/>
        <v>123.72083333333335</v>
      </c>
      <c r="T187" s="152"/>
      <c r="U187" s="180"/>
      <c r="V187" s="152"/>
      <c r="W187" s="152"/>
      <c r="X187" s="100"/>
      <c r="Y187" s="7">
        <f t="shared" si="133"/>
        <v>0</v>
      </c>
      <c r="Z187" s="100"/>
      <c r="AA187" s="7">
        <f t="shared" si="151"/>
        <v>0</v>
      </c>
      <c r="AB187" s="2"/>
      <c r="AC187" s="2"/>
      <c r="AD187" s="2"/>
      <c r="AE187" s="2"/>
      <c r="AF187" s="2"/>
      <c r="AG187" s="1"/>
      <c r="AH187" s="1"/>
      <c r="AI187" s="1"/>
      <c r="AJ187" s="1"/>
      <c r="AK187" s="1"/>
      <c r="AL187" s="1"/>
      <c r="AM187" s="1"/>
      <c r="AN187" s="1"/>
      <c r="AO187" s="1"/>
      <c r="AP187" s="1"/>
      <c r="AQ187" s="1"/>
    </row>
    <row r="188" spans="1:43" ht="17.25" thickBot="1" x14ac:dyDescent="0.35">
      <c r="A188" s="147"/>
      <c r="B188" s="97">
        <v>43763</v>
      </c>
      <c r="C188" s="107">
        <v>21.5</v>
      </c>
      <c r="D188" s="150"/>
      <c r="E188" s="150"/>
      <c r="F188" s="100">
        <v>160</v>
      </c>
      <c r="G188" s="7">
        <f t="shared" si="130"/>
        <v>1824</v>
      </c>
      <c r="H188" s="100">
        <v>26</v>
      </c>
      <c r="I188" s="7">
        <f t="shared" si="131"/>
        <v>296.40000000000003</v>
      </c>
      <c r="J188" s="100"/>
      <c r="K188" s="7">
        <f t="shared" si="126"/>
        <v>0</v>
      </c>
      <c r="L188" s="100">
        <v>16</v>
      </c>
      <c r="M188" s="7">
        <f t="shared" si="127"/>
        <v>224</v>
      </c>
      <c r="N188" s="100">
        <v>5</v>
      </c>
      <c r="O188" s="7">
        <f t="shared" si="128"/>
        <v>70</v>
      </c>
      <c r="P188" s="100">
        <v>16</v>
      </c>
      <c r="Q188" s="7">
        <f t="shared" si="129"/>
        <v>216</v>
      </c>
      <c r="R188" s="8">
        <f t="shared" si="132"/>
        <v>0.26826666666666665</v>
      </c>
      <c r="S188" s="4">
        <f t="shared" si="120"/>
        <v>122.34418604651164</v>
      </c>
      <c r="T188" s="152"/>
      <c r="U188" s="180"/>
      <c r="V188" s="152"/>
      <c r="W188" s="152"/>
      <c r="X188" s="100"/>
      <c r="Y188" s="7">
        <f t="shared" si="133"/>
        <v>0</v>
      </c>
      <c r="Z188" s="100"/>
      <c r="AA188" s="7">
        <f t="shared" si="151"/>
        <v>0</v>
      </c>
      <c r="AB188" s="2"/>
      <c r="AC188" s="2"/>
      <c r="AD188" s="2"/>
      <c r="AE188" s="2"/>
      <c r="AF188" s="2"/>
      <c r="AG188" s="1"/>
      <c r="AH188" s="1"/>
      <c r="AI188" s="1"/>
      <c r="AJ188" s="1"/>
      <c r="AK188" s="1"/>
      <c r="AL188" s="1"/>
      <c r="AM188" s="1"/>
      <c r="AN188" s="1"/>
      <c r="AO188" s="1"/>
      <c r="AP188" s="1"/>
      <c r="AQ188" s="1"/>
    </row>
    <row r="189" spans="1:43" ht="17.25" thickBot="1" x14ac:dyDescent="0.35">
      <c r="A189" s="148"/>
      <c r="B189" s="98">
        <v>43034</v>
      </c>
      <c r="C189" s="108">
        <v>12</v>
      </c>
      <c r="D189" s="151"/>
      <c r="E189" s="151"/>
      <c r="F189" s="101">
        <v>91</v>
      </c>
      <c r="G189" s="39">
        <f t="shared" si="130"/>
        <v>1037.4000000000001</v>
      </c>
      <c r="H189" s="101">
        <v>19</v>
      </c>
      <c r="I189" s="39">
        <f t="shared" si="131"/>
        <v>216.6</v>
      </c>
      <c r="J189" s="101"/>
      <c r="K189" s="39">
        <f t="shared" si="126"/>
        <v>0</v>
      </c>
      <c r="L189" s="101">
        <v>5</v>
      </c>
      <c r="M189" s="39">
        <f t="shared" si="127"/>
        <v>70</v>
      </c>
      <c r="N189" s="101">
        <v>1</v>
      </c>
      <c r="O189" s="39">
        <f t="shared" si="128"/>
        <v>14</v>
      </c>
      <c r="P189" s="101">
        <v>12</v>
      </c>
      <c r="Q189" s="39">
        <f t="shared" si="129"/>
        <v>162</v>
      </c>
      <c r="R189" s="36">
        <f t="shared" si="132"/>
        <v>0.14866666666666667</v>
      </c>
      <c r="S189" s="35">
        <f t="shared" si="120"/>
        <v>125</v>
      </c>
      <c r="T189" s="152"/>
      <c r="U189" s="181"/>
      <c r="V189" s="152"/>
      <c r="W189" s="152"/>
      <c r="X189" s="101"/>
      <c r="Y189" s="39">
        <f t="shared" si="133"/>
        <v>0</v>
      </c>
      <c r="Z189" s="101"/>
      <c r="AA189" s="39">
        <f t="shared" si="151"/>
        <v>0</v>
      </c>
      <c r="AB189" s="2"/>
      <c r="AC189" s="2"/>
      <c r="AD189" s="2"/>
      <c r="AE189" s="2"/>
      <c r="AF189" s="2"/>
      <c r="AG189" s="1"/>
      <c r="AH189" s="1"/>
      <c r="AI189" s="1"/>
      <c r="AJ189" s="1"/>
      <c r="AK189" s="1"/>
      <c r="AL189" s="1"/>
      <c r="AM189" s="1"/>
      <c r="AN189" s="1"/>
      <c r="AO189" s="1"/>
      <c r="AP189" s="1"/>
      <c r="AQ189" s="1"/>
    </row>
    <row r="190" spans="1:43" ht="17.25" thickBot="1" x14ac:dyDescent="0.35">
      <c r="A190" s="147">
        <v>44</v>
      </c>
      <c r="B190" s="105">
        <v>43766</v>
      </c>
      <c r="C190" s="106">
        <v>33.25</v>
      </c>
      <c r="D190" s="149">
        <f t="shared" ref="D190" si="171">SUM(G190:G195,I190:I195,K190:K195)</f>
        <v>14654.7</v>
      </c>
      <c r="E190" s="149">
        <f t="shared" ref="E190" si="172">SUM(G190:G195,I190:I195,M190:M195,O190:O195,Q190:Q195,K190:K195)</f>
        <v>18333.7</v>
      </c>
      <c r="F190" s="99">
        <v>285</v>
      </c>
      <c r="G190" s="7">
        <f t="shared" si="130"/>
        <v>3249</v>
      </c>
      <c r="H190" s="99">
        <v>31.5</v>
      </c>
      <c r="I190" s="7">
        <f t="shared" si="131"/>
        <v>359.1</v>
      </c>
      <c r="J190" s="99"/>
      <c r="K190" s="7">
        <f t="shared" si="126"/>
        <v>0</v>
      </c>
      <c r="L190" s="99">
        <v>14</v>
      </c>
      <c r="M190" s="7">
        <f t="shared" si="127"/>
        <v>196</v>
      </c>
      <c r="N190" s="99">
        <v>1</v>
      </c>
      <c r="O190" s="7">
        <f t="shared" si="128"/>
        <v>14</v>
      </c>
      <c r="P190" s="99">
        <v>14</v>
      </c>
      <c r="Q190" s="7">
        <f t="shared" si="129"/>
        <v>189</v>
      </c>
      <c r="R190" s="8">
        <f t="shared" si="132"/>
        <v>0.4242333333333333</v>
      </c>
      <c r="S190" s="31">
        <f t="shared" si="120"/>
        <v>120.51428571428571</v>
      </c>
      <c r="T190" s="152">
        <f>AVERAGE(S190:S195)</f>
        <v>111.31168578830497</v>
      </c>
      <c r="U190" s="179">
        <f t="shared" ref="U190" si="173">(SUM(G190:G195)+SUM(I190:I195))/$F$1</f>
        <v>1.6283000000000001</v>
      </c>
      <c r="V190" s="152">
        <f t="shared" ref="V190" si="174">SUM(R190:R195)</f>
        <v>1.8600777777777779</v>
      </c>
      <c r="W190" s="152">
        <v>1.2233333333333334</v>
      </c>
      <c r="X190" s="99"/>
      <c r="Y190" s="7">
        <f t="shared" si="133"/>
        <v>0</v>
      </c>
      <c r="Z190" s="99"/>
      <c r="AA190" s="7">
        <f t="shared" si="151"/>
        <v>0</v>
      </c>
      <c r="AB190" s="2"/>
      <c r="AC190" s="2"/>
      <c r="AD190" s="2"/>
      <c r="AE190" s="2"/>
      <c r="AF190" s="2"/>
      <c r="AG190" s="1"/>
      <c r="AH190" s="1"/>
      <c r="AI190" s="1"/>
      <c r="AJ190" s="1"/>
      <c r="AK190" s="1"/>
      <c r="AL190" s="1"/>
      <c r="AM190" s="1"/>
      <c r="AN190" s="1"/>
      <c r="AO190" s="1"/>
      <c r="AP190" s="1"/>
      <c r="AQ190" s="1"/>
    </row>
    <row r="191" spans="1:43" ht="17.25" thickBot="1" x14ac:dyDescent="0.35">
      <c r="A191" s="147"/>
      <c r="B191" s="97">
        <v>43767</v>
      </c>
      <c r="C191" s="107">
        <v>42</v>
      </c>
      <c r="D191" s="150"/>
      <c r="E191" s="150"/>
      <c r="F191" s="100">
        <v>287</v>
      </c>
      <c r="G191" s="7">
        <f t="shared" si="130"/>
        <v>3271.8</v>
      </c>
      <c r="H191" s="100">
        <v>32</v>
      </c>
      <c r="I191" s="7">
        <f t="shared" si="131"/>
        <v>364.8</v>
      </c>
      <c r="J191" s="100"/>
      <c r="K191" s="7">
        <f t="shared" si="126"/>
        <v>0</v>
      </c>
      <c r="L191" s="100">
        <v>13</v>
      </c>
      <c r="M191" s="7">
        <f t="shared" si="127"/>
        <v>182</v>
      </c>
      <c r="N191" s="100">
        <v>3</v>
      </c>
      <c r="O191" s="7">
        <f t="shared" si="128"/>
        <v>42</v>
      </c>
      <c r="P191" s="100">
        <v>32</v>
      </c>
      <c r="Q191" s="7">
        <f t="shared" si="129"/>
        <v>432</v>
      </c>
      <c r="R191" s="8">
        <f t="shared" si="132"/>
        <v>0.42895555555555559</v>
      </c>
      <c r="S191" s="4">
        <f t="shared" si="120"/>
        <v>102.20476190476191</v>
      </c>
      <c r="T191" s="152"/>
      <c r="U191" s="180"/>
      <c r="V191" s="152"/>
      <c r="W191" s="152"/>
      <c r="X191" s="100">
        <v>2</v>
      </c>
      <c r="Y191" s="7">
        <f t="shared" si="133"/>
        <v>22.8</v>
      </c>
      <c r="Z191" s="100">
        <v>1</v>
      </c>
      <c r="AA191" s="7">
        <f t="shared" si="151"/>
        <v>11.4</v>
      </c>
      <c r="AB191" s="2"/>
      <c r="AC191" s="2"/>
      <c r="AD191" s="2"/>
      <c r="AE191" s="2"/>
      <c r="AF191" s="2"/>
      <c r="AG191" s="1"/>
      <c r="AH191" s="1"/>
      <c r="AI191" s="1"/>
      <c r="AJ191" s="1"/>
      <c r="AK191" s="1"/>
      <c r="AL191" s="1"/>
      <c r="AM191" s="1"/>
      <c r="AN191" s="1"/>
      <c r="AO191" s="1"/>
      <c r="AP191" s="1"/>
      <c r="AQ191" s="1"/>
    </row>
    <row r="192" spans="1:43" ht="17.25" thickBot="1" x14ac:dyDescent="0.35">
      <c r="A192" s="147"/>
      <c r="B192" s="97">
        <v>43768</v>
      </c>
      <c r="C192" s="107">
        <v>42</v>
      </c>
      <c r="D192" s="150"/>
      <c r="E192" s="150"/>
      <c r="F192" s="100">
        <v>318</v>
      </c>
      <c r="G192" s="7">
        <f t="shared" si="130"/>
        <v>3625.2000000000003</v>
      </c>
      <c r="H192" s="100">
        <v>43</v>
      </c>
      <c r="I192" s="7">
        <f t="shared" si="131"/>
        <v>490.2</v>
      </c>
      <c r="J192" s="100"/>
      <c r="K192" s="7">
        <f t="shared" si="126"/>
        <v>0</v>
      </c>
      <c r="L192" s="100">
        <v>24</v>
      </c>
      <c r="M192" s="7">
        <f t="shared" si="127"/>
        <v>336</v>
      </c>
      <c r="N192" s="100">
        <v>5</v>
      </c>
      <c r="O192" s="7">
        <f t="shared" si="128"/>
        <v>70</v>
      </c>
      <c r="P192" s="100">
        <v>15</v>
      </c>
      <c r="Q192" s="7">
        <f t="shared" si="129"/>
        <v>202.5</v>
      </c>
      <c r="R192" s="8">
        <f t="shared" si="132"/>
        <v>0.50237777777777781</v>
      </c>
      <c r="S192" s="4">
        <f t="shared" si="120"/>
        <v>112.47380952380954</v>
      </c>
      <c r="T192" s="152"/>
      <c r="U192" s="180"/>
      <c r="V192" s="152"/>
      <c r="W192" s="152"/>
      <c r="X192" s="100"/>
      <c r="Y192" s="7">
        <f t="shared" si="133"/>
        <v>0</v>
      </c>
      <c r="Z192" s="100"/>
      <c r="AA192" s="7">
        <f t="shared" si="151"/>
        <v>0</v>
      </c>
      <c r="AB192" s="2"/>
      <c r="AC192" s="2"/>
      <c r="AD192" s="2"/>
      <c r="AE192" s="2"/>
      <c r="AF192" s="2"/>
      <c r="AG192" s="1"/>
      <c r="AH192" s="1"/>
      <c r="AI192" s="1"/>
      <c r="AJ192" s="1"/>
      <c r="AK192" s="1"/>
      <c r="AL192" s="1"/>
      <c r="AM192" s="1"/>
      <c r="AN192" s="1"/>
      <c r="AO192" s="1"/>
      <c r="AP192" s="1"/>
      <c r="AQ192" s="1"/>
    </row>
    <row r="193" spans="1:43" ht="17.25" thickBot="1" x14ac:dyDescent="0.35">
      <c r="A193" s="147"/>
      <c r="B193" s="97">
        <v>43769</v>
      </c>
      <c r="C193" s="107">
        <v>48.25</v>
      </c>
      <c r="D193" s="150"/>
      <c r="E193" s="150"/>
      <c r="F193" s="100">
        <v>269</v>
      </c>
      <c r="G193" s="7">
        <f t="shared" si="130"/>
        <v>3066.6</v>
      </c>
      <c r="H193" s="100">
        <v>20</v>
      </c>
      <c r="I193" s="7">
        <f t="shared" si="131"/>
        <v>228</v>
      </c>
      <c r="J193" s="100"/>
      <c r="K193" s="7">
        <f t="shared" si="126"/>
        <v>0</v>
      </c>
      <c r="L193" s="100">
        <v>86</v>
      </c>
      <c r="M193" s="7">
        <f t="shared" si="127"/>
        <v>1204</v>
      </c>
      <c r="N193" s="100">
        <v>3</v>
      </c>
      <c r="O193" s="7">
        <f t="shared" si="128"/>
        <v>42</v>
      </c>
      <c r="P193" s="100">
        <v>57</v>
      </c>
      <c r="Q193" s="7">
        <f t="shared" si="129"/>
        <v>769.5</v>
      </c>
      <c r="R193" s="8">
        <f t="shared" si="132"/>
        <v>0.50451111111111113</v>
      </c>
      <c r="S193" s="4">
        <f t="shared" si="120"/>
        <v>110.0538860103627</v>
      </c>
      <c r="T193" s="152"/>
      <c r="U193" s="180"/>
      <c r="V193" s="152"/>
      <c r="W193" s="152"/>
      <c r="X193" s="100"/>
      <c r="Y193" s="7">
        <f t="shared" si="133"/>
        <v>0</v>
      </c>
      <c r="Z193" s="100"/>
      <c r="AA193" s="7">
        <f t="shared" si="151"/>
        <v>0</v>
      </c>
      <c r="AB193" s="2"/>
      <c r="AC193" s="2"/>
      <c r="AD193" s="2"/>
      <c r="AE193" s="2"/>
      <c r="AF193" s="2"/>
      <c r="AG193" s="1"/>
      <c r="AH193" s="1"/>
      <c r="AI193" s="1"/>
      <c r="AJ193" s="1"/>
      <c r="AK193" s="1"/>
      <c r="AL193" s="1"/>
      <c r="AM193" s="1"/>
      <c r="AN193" s="1"/>
      <c r="AO193" s="1"/>
      <c r="AP193" s="1"/>
      <c r="AQ193" s="1"/>
    </row>
    <row r="194" spans="1:43" ht="17.25" thickBot="1" x14ac:dyDescent="0.35">
      <c r="A194" s="147"/>
      <c r="B194" s="97"/>
      <c r="C194" s="107"/>
      <c r="D194" s="150"/>
      <c r="E194" s="150"/>
      <c r="F194" s="100"/>
      <c r="G194" s="7">
        <f t="shared" si="130"/>
        <v>0</v>
      </c>
      <c r="H194" s="100"/>
      <c r="I194" s="7">
        <f t="shared" si="131"/>
        <v>0</v>
      </c>
      <c r="J194" s="100"/>
      <c r="K194" s="7">
        <f t="shared" si="126"/>
        <v>0</v>
      </c>
      <c r="L194" s="100"/>
      <c r="M194" s="7">
        <f t="shared" si="127"/>
        <v>0</v>
      </c>
      <c r="N194" s="100"/>
      <c r="O194" s="7">
        <f t="shared" si="128"/>
        <v>0</v>
      </c>
      <c r="P194" s="100"/>
      <c r="Q194" s="7">
        <f t="shared" si="129"/>
        <v>0</v>
      </c>
      <c r="R194" s="8">
        <f t="shared" si="132"/>
        <v>0</v>
      </c>
      <c r="S194" s="4" t="str">
        <f t="shared" si="120"/>
        <v/>
      </c>
      <c r="T194" s="152"/>
      <c r="U194" s="180"/>
      <c r="V194" s="152"/>
      <c r="W194" s="152"/>
      <c r="X194" s="100"/>
      <c r="Y194" s="7">
        <f t="shared" si="133"/>
        <v>0</v>
      </c>
      <c r="Z194" s="100"/>
      <c r="AA194" s="7">
        <f t="shared" si="151"/>
        <v>0</v>
      </c>
      <c r="AB194" s="2"/>
      <c r="AC194" s="2"/>
      <c r="AD194" s="2"/>
      <c r="AE194" s="2"/>
      <c r="AF194" s="2"/>
      <c r="AG194" s="1"/>
      <c r="AH194" s="1"/>
      <c r="AI194" s="1"/>
      <c r="AJ194" s="1"/>
      <c r="AK194" s="1"/>
      <c r="AL194" s="1"/>
      <c r="AM194" s="1"/>
      <c r="AN194" s="1"/>
      <c r="AO194" s="1"/>
      <c r="AP194" s="1"/>
      <c r="AQ194" s="1"/>
    </row>
    <row r="195" spans="1:43" ht="17.25" thickBot="1" x14ac:dyDescent="0.35">
      <c r="A195" s="147"/>
      <c r="B195" s="98"/>
      <c r="C195" s="108"/>
      <c r="D195" s="151"/>
      <c r="E195" s="151"/>
      <c r="F195" s="101"/>
      <c r="G195" s="7">
        <f t="shared" si="130"/>
        <v>0</v>
      </c>
      <c r="H195" s="101"/>
      <c r="I195" s="7">
        <f t="shared" si="131"/>
        <v>0</v>
      </c>
      <c r="J195" s="101"/>
      <c r="K195" s="7">
        <f t="shared" si="126"/>
        <v>0</v>
      </c>
      <c r="L195" s="101"/>
      <c r="M195" s="7">
        <f t="shared" si="127"/>
        <v>0</v>
      </c>
      <c r="N195" s="101"/>
      <c r="O195" s="7">
        <f t="shared" si="128"/>
        <v>0</v>
      </c>
      <c r="P195" s="101"/>
      <c r="Q195" s="7">
        <f t="shared" si="129"/>
        <v>0</v>
      </c>
      <c r="R195" s="8">
        <f t="shared" si="132"/>
        <v>0</v>
      </c>
      <c r="S195" s="35" t="str">
        <f t="shared" si="120"/>
        <v/>
      </c>
      <c r="T195" s="152"/>
      <c r="U195" s="181"/>
      <c r="V195" s="152"/>
      <c r="W195" s="152"/>
      <c r="X195" s="101"/>
      <c r="Y195" s="7">
        <f t="shared" si="133"/>
        <v>0</v>
      </c>
      <c r="Z195" s="101"/>
      <c r="AA195" s="7">
        <f t="shared" si="151"/>
        <v>0</v>
      </c>
      <c r="AB195" s="2"/>
      <c r="AC195" s="2"/>
      <c r="AD195" s="2"/>
      <c r="AE195" s="2"/>
      <c r="AF195" s="2"/>
      <c r="AG195" s="1"/>
      <c r="AH195" s="1"/>
      <c r="AI195" s="1"/>
      <c r="AJ195" s="1"/>
      <c r="AK195" s="1"/>
      <c r="AL195" s="1"/>
      <c r="AM195" s="1"/>
      <c r="AN195" s="1"/>
      <c r="AO195" s="1"/>
      <c r="AP195" s="1"/>
      <c r="AQ195" s="1"/>
    </row>
    <row r="196" spans="1:43" ht="17.25" thickBot="1" x14ac:dyDescent="0.35">
      <c r="A196" s="146">
        <v>45</v>
      </c>
      <c r="B196" s="105"/>
      <c r="C196" s="106"/>
      <c r="D196" s="149">
        <f t="shared" ref="D196" si="175">SUM(G196:G201,I196:I201,K196:K201)</f>
        <v>2929.8</v>
      </c>
      <c r="E196" s="149">
        <f t="shared" ref="E196" si="176">SUM(G196:G201,I196:I201,M196:M201,O196:O201,Q196:Q201,K196:K201)</f>
        <v>4287.8</v>
      </c>
      <c r="F196" s="99"/>
      <c r="G196" s="40">
        <f t="shared" si="130"/>
        <v>0</v>
      </c>
      <c r="H196" s="99"/>
      <c r="I196" s="40">
        <f t="shared" si="131"/>
        <v>0</v>
      </c>
      <c r="J196" s="99"/>
      <c r="K196" s="40">
        <f t="shared" si="126"/>
        <v>0</v>
      </c>
      <c r="L196" s="99"/>
      <c r="M196" s="40">
        <f t="shared" si="127"/>
        <v>0</v>
      </c>
      <c r="N196" s="99"/>
      <c r="O196" s="40">
        <f t="shared" si="128"/>
        <v>0</v>
      </c>
      <c r="P196" s="99"/>
      <c r="Q196" s="40">
        <f t="shared" si="129"/>
        <v>0</v>
      </c>
      <c r="R196" s="34">
        <f t="shared" si="132"/>
        <v>0</v>
      </c>
      <c r="S196" s="31" t="str">
        <f t="shared" si="120"/>
        <v/>
      </c>
      <c r="T196" s="152">
        <f t="shared" ref="T196" si="177">AVERAGE(S196:S201)</f>
        <v>85.433756001772096</v>
      </c>
      <c r="U196" s="179">
        <f t="shared" ref="U196" si="178">(SUM(G196:G201)+SUM(I196:I201))/$F$1</f>
        <v>0.32553333333333334</v>
      </c>
      <c r="V196" s="152">
        <f t="shared" ref="V196" si="179">SUM(R196:R201)</f>
        <v>0.43442222222222221</v>
      </c>
      <c r="W196" s="152">
        <v>0</v>
      </c>
      <c r="X196" s="99"/>
      <c r="Y196" s="40">
        <f t="shared" si="133"/>
        <v>0</v>
      </c>
      <c r="Z196" s="99"/>
      <c r="AA196" s="40">
        <f t="shared" si="151"/>
        <v>0</v>
      </c>
      <c r="AB196" s="2"/>
      <c r="AC196" s="2"/>
      <c r="AD196" s="2"/>
      <c r="AE196" s="2"/>
      <c r="AF196" s="2"/>
      <c r="AG196" s="1"/>
      <c r="AH196" s="1"/>
      <c r="AI196" s="1"/>
      <c r="AJ196" s="1"/>
      <c r="AK196" s="1"/>
      <c r="AL196" s="1"/>
      <c r="AM196" s="1"/>
      <c r="AN196" s="1"/>
      <c r="AO196" s="1"/>
      <c r="AP196" s="1"/>
      <c r="AQ196" s="1"/>
    </row>
    <row r="197" spans="1:43" ht="17.25" thickBot="1" x14ac:dyDescent="0.35">
      <c r="A197" s="147"/>
      <c r="B197" s="97">
        <v>43774</v>
      </c>
      <c r="C197" s="107">
        <v>7</v>
      </c>
      <c r="D197" s="150"/>
      <c r="E197" s="150"/>
      <c r="F197" s="100">
        <v>61</v>
      </c>
      <c r="G197" s="7">
        <f t="shared" si="130"/>
        <v>695.4</v>
      </c>
      <c r="H197" s="100"/>
      <c r="I197" s="7">
        <f t="shared" si="131"/>
        <v>0</v>
      </c>
      <c r="J197" s="100"/>
      <c r="K197" s="7">
        <f t="shared" si="126"/>
        <v>0</v>
      </c>
      <c r="L197" s="100"/>
      <c r="M197" s="7">
        <f t="shared" si="127"/>
        <v>0</v>
      </c>
      <c r="N197" s="100"/>
      <c r="O197" s="7">
        <f t="shared" si="128"/>
        <v>0</v>
      </c>
      <c r="P197" s="100"/>
      <c r="Q197" s="7">
        <f t="shared" si="129"/>
        <v>0</v>
      </c>
      <c r="R197" s="8">
        <f t="shared" si="132"/>
        <v>7.7266666666666664E-2</v>
      </c>
      <c r="S197" s="4">
        <f t="shared" ref="S197:S231" si="180">IF(C197=0,"",(G197+I197+M197+O197+Q197+K197)/C197)</f>
        <v>99.342857142857142</v>
      </c>
      <c r="T197" s="152"/>
      <c r="U197" s="180"/>
      <c r="V197" s="152"/>
      <c r="W197" s="152"/>
      <c r="X197" s="100"/>
      <c r="Y197" s="7">
        <f t="shared" si="133"/>
        <v>0</v>
      </c>
      <c r="Z197" s="100"/>
      <c r="AA197" s="7">
        <f t="shared" si="151"/>
        <v>0</v>
      </c>
      <c r="AB197" s="2"/>
      <c r="AC197" s="2"/>
      <c r="AD197" s="2"/>
      <c r="AE197" s="2"/>
      <c r="AF197" s="2"/>
      <c r="AG197" s="1"/>
      <c r="AH197" s="1"/>
      <c r="AI197" s="1"/>
      <c r="AJ197" s="1"/>
      <c r="AK197" s="1"/>
      <c r="AL197" s="1"/>
      <c r="AM197" s="1"/>
      <c r="AN197" s="1"/>
      <c r="AO197" s="1"/>
      <c r="AP197" s="1"/>
      <c r="AQ197" s="1"/>
    </row>
    <row r="198" spans="1:43" ht="17.25" thickBot="1" x14ac:dyDescent="0.35">
      <c r="A198" s="147"/>
      <c r="B198" s="97">
        <v>43775</v>
      </c>
      <c r="C198" s="107">
        <v>24.25</v>
      </c>
      <c r="D198" s="150"/>
      <c r="E198" s="150"/>
      <c r="F198" s="100">
        <v>196</v>
      </c>
      <c r="G198" s="7">
        <f t="shared" si="130"/>
        <v>2234.4</v>
      </c>
      <c r="H198" s="100"/>
      <c r="I198" s="7">
        <f t="shared" si="131"/>
        <v>0</v>
      </c>
      <c r="J198" s="100"/>
      <c r="K198" s="7">
        <f t="shared" si="126"/>
        <v>0</v>
      </c>
      <c r="L198" s="100"/>
      <c r="M198" s="7">
        <f t="shared" si="127"/>
        <v>0</v>
      </c>
      <c r="N198" s="100"/>
      <c r="O198" s="7">
        <f t="shared" si="128"/>
        <v>0</v>
      </c>
      <c r="P198" s="100">
        <v>14</v>
      </c>
      <c r="Q198" s="7">
        <f t="shared" si="129"/>
        <v>189</v>
      </c>
      <c r="R198" s="8">
        <f t="shared" si="132"/>
        <v>0.24826666666666666</v>
      </c>
      <c r="S198" s="4">
        <f t="shared" si="180"/>
        <v>99.934020618556701</v>
      </c>
      <c r="T198" s="152"/>
      <c r="U198" s="180"/>
      <c r="V198" s="152"/>
      <c r="W198" s="152"/>
      <c r="X198" s="100"/>
      <c r="Y198" s="7">
        <f t="shared" si="133"/>
        <v>0</v>
      </c>
      <c r="Z198" s="100"/>
      <c r="AA198" s="7">
        <f t="shared" si="151"/>
        <v>0</v>
      </c>
      <c r="AB198" s="2"/>
      <c r="AC198" s="2"/>
      <c r="AD198" s="2"/>
      <c r="AE198" s="2"/>
      <c r="AF198" s="2"/>
      <c r="AG198" s="1"/>
      <c r="AH198" s="1"/>
      <c r="AI198" s="1"/>
      <c r="AJ198" s="1"/>
      <c r="AK198" s="1"/>
      <c r="AL198" s="1"/>
      <c r="AM198" s="1"/>
      <c r="AN198" s="1"/>
      <c r="AO198" s="1"/>
      <c r="AP198" s="1"/>
      <c r="AQ198" s="1"/>
    </row>
    <row r="199" spans="1:43" ht="17.25" thickBot="1" x14ac:dyDescent="0.35">
      <c r="A199" s="147"/>
      <c r="B199" s="97">
        <v>43775</v>
      </c>
      <c r="C199" s="107">
        <v>20.5</v>
      </c>
      <c r="D199" s="150"/>
      <c r="E199" s="150"/>
      <c r="F199" s="100"/>
      <c r="G199" s="7">
        <f t="shared" si="130"/>
        <v>0</v>
      </c>
      <c r="H199" s="100"/>
      <c r="I199" s="7">
        <f t="shared" si="131"/>
        <v>0</v>
      </c>
      <c r="J199" s="100"/>
      <c r="K199" s="7">
        <f t="shared" si="126"/>
        <v>0</v>
      </c>
      <c r="L199" s="100">
        <v>70</v>
      </c>
      <c r="M199" s="7">
        <f t="shared" si="127"/>
        <v>980</v>
      </c>
      <c r="N199" s="100"/>
      <c r="O199" s="7">
        <f t="shared" si="128"/>
        <v>0</v>
      </c>
      <c r="P199" s="100">
        <v>14</v>
      </c>
      <c r="Q199" s="7">
        <f t="shared" si="129"/>
        <v>189</v>
      </c>
      <c r="R199" s="8">
        <f t="shared" si="132"/>
        <v>0.10888888888888888</v>
      </c>
      <c r="S199" s="4">
        <f t="shared" si="180"/>
        <v>57.024390243902438</v>
      </c>
      <c r="T199" s="152"/>
      <c r="U199" s="180"/>
      <c r="V199" s="152"/>
      <c r="W199" s="152"/>
      <c r="X199" s="100"/>
      <c r="Y199" s="7">
        <f t="shared" si="133"/>
        <v>0</v>
      </c>
      <c r="Z199" s="100"/>
      <c r="AA199" s="7">
        <f t="shared" si="151"/>
        <v>0</v>
      </c>
      <c r="AB199" s="2"/>
      <c r="AC199" s="2"/>
      <c r="AD199" s="2"/>
      <c r="AE199" s="2"/>
      <c r="AF199" s="2"/>
      <c r="AG199" s="1"/>
      <c r="AH199" s="1"/>
      <c r="AI199" s="1"/>
      <c r="AJ199" s="1"/>
      <c r="AK199" s="1"/>
      <c r="AL199" s="1"/>
      <c r="AM199" s="1"/>
      <c r="AN199" s="1"/>
      <c r="AO199" s="1"/>
      <c r="AP199" s="1"/>
      <c r="AQ199" s="1"/>
    </row>
    <row r="200" spans="1:43" ht="17.25" thickBot="1" x14ac:dyDescent="0.35">
      <c r="A200" s="147"/>
      <c r="B200" s="97"/>
      <c r="C200" s="107"/>
      <c r="D200" s="150"/>
      <c r="E200" s="150"/>
      <c r="F200" s="100"/>
      <c r="G200" s="7">
        <f t="shared" si="130"/>
        <v>0</v>
      </c>
      <c r="H200" s="100"/>
      <c r="I200" s="7">
        <f t="shared" si="131"/>
        <v>0</v>
      </c>
      <c r="J200" s="100"/>
      <c r="K200" s="7">
        <f t="shared" si="126"/>
        <v>0</v>
      </c>
      <c r="L200" s="100"/>
      <c r="M200" s="7">
        <f t="shared" si="127"/>
        <v>0</v>
      </c>
      <c r="N200" s="100"/>
      <c r="O200" s="7">
        <f t="shared" si="128"/>
        <v>0</v>
      </c>
      <c r="P200" s="100"/>
      <c r="Q200" s="7">
        <f t="shared" si="129"/>
        <v>0</v>
      </c>
      <c r="R200" s="8">
        <f t="shared" si="132"/>
        <v>0</v>
      </c>
      <c r="S200" s="4" t="str">
        <f t="shared" si="180"/>
        <v/>
      </c>
      <c r="T200" s="152"/>
      <c r="U200" s="180"/>
      <c r="V200" s="152"/>
      <c r="W200" s="152"/>
      <c r="X200" s="100"/>
      <c r="Y200" s="7">
        <f t="shared" si="133"/>
        <v>0</v>
      </c>
      <c r="Z200" s="100"/>
      <c r="AA200" s="7">
        <f t="shared" si="151"/>
        <v>0</v>
      </c>
      <c r="AB200" s="2"/>
      <c r="AC200" s="2"/>
      <c r="AD200" s="2"/>
      <c r="AE200" s="2"/>
      <c r="AF200" s="2"/>
      <c r="AG200" s="1"/>
      <c r="AH200" s="1"/>
      <c r="AI200" s="1"/>
      <c r="AJ200" s="1"/>
      <c r="AK200" s="1"/>
      <c r="AL200" s="1"/>
      <c r="AM200" s="1"/>
      <c r="AN200" s="1"/>
      <c r="AO200" s="1"/>
      <c r="AP200" s="1"/>
      <c r="AQ200" s="1"/>
    </row>
    <row r="201" spans="1:43" ht="17.25" thickBot="1" x14ac:dyDescent="0.35">
      <c r="A201" s="148"/>
      <c r="B201" s="98"/>
      <c r="C201" s="108"/>
      <c r="D201" s="151"/>
      <c r="E201" s="151"/>
      <c r="F201" s="101"/>
      <c r="G201" s="39">
        <f t="shared" si="130"/>
        <v>0</v>
      </c>
      <c r="H201" s="101"/>
      <c r="I201" s="39">
        <f t="shared" si="131"/>
        <v>0</v>
      </c>
      <c r="J201" s="101"/>
      <c r="K201" s="39">
        <f t="shared" si="126"/>
        <v>0</v>
      </c>
      <c r="L201" s="101"/>
      <c r="M201" s="39">
        <f t="shared" si="127"/>
        <v>0</v>
      </c>
      <c r="N201" s="101"/>
      <c r="O201" s="39">
        <f t="shared" si="128"/>
        <v>0</v>
      </c>
      <c r="P201" s="101"/>
      <c r="Q201" s="39">
        <f t="shared" si="129"/>
        <v>0</v>
      </c>
      <c r="R201" s="36">
        <f t="shared" si="132"/>
        <v>0</v>
      </c>
      <c r="S201" s="35" t="str">
        <f t="shared" si="180"/>
        <v/>
      </c>
      <c r="T201" s="152"/>
      <c r="U201" s="181"/>
      <c r="V201" s="152"/>
      <c r="W201" s="152"/>
      <c r="X201" s="101"/>
      <c r="Y201" s="39">
        <f t="shared" si="133"/>
        <v>0</v>
      </c>
      <c r="Z201" s="101"/>
      <c r="AA201" s="39">
        <f t="shared" si="151"/>
        <v>0</v>
      </c>
      <c r="AB201" s="2"/>
      <c r="AC201" s="2"/>
      <c r="AD201" s="2"/>
      <c r="AE201" s="2"/>
      <c r="AF201" s="2"/>
      <c r="AG201" s="1"/>
      <c r="AH201" s="1"/>
      <c r="AI201" s="1"/>
      <c r="AJ201" s="1"/>
      <c r="AK201" s="1"/>
      <c r="AL201" s="1"/>
      <c r="AM201" s="1"/>
      <c r="AN201" s="1"/>
      <c r="AO201" s="1"/>
      <c r="AP201" s="1"/>
      <c r="AQ201" s="1"/>
    </row>
    <row r="202" spans="1:43" ht="17.25" thickBot="1" x14ac:dyDescent="0.35">
      <c r="A202" s="146">
        <v>46</v>
      </c>
      <c r="B202" s="105"/>
      <c r="C202" s="106"/>
      <c r="D202" s="149">
        <f t="shared" ref="D202" si="181">SUM(G202:G207,I202:I207,K202:K207)</f>
        <v>0</v>
      </c>
      <c r="E202" s="149">
        <f t="shared" ref="E202" si="182">SUM(G202:G207,I202:I207,M202:M207,O202:O207,Q202:Q207,K202:K207)</f>
        <v>0</v>
      </c>
      <c r="F202" s="99"/>
      <c r="G202" s="40">
        <f t="shared" si="130"/>
        <v>0</v>
      </c>
      <c r="H202" s="99"/>
      <c r="I202" s="40">
        <f t="shared" si="131"/>
        <v>0</v>
      </c>
      <c r="J202" s="99"/>
      <c r="K202" s="40">
        <f t="shared" ref="K202:K231" si="183">J202*J$3</f>
        <v>0</v>
      </c>
      <c r="L202" s="99"/>
      <c r="M202" s="40">
        <f t="shared" ref="M202:M231" si="184">L202*L$3</f>
        <v>0</v>
      </c>
      <c r="N202" s="99"/>
      <c r="O202" s="40">
        <f t="shared" ref="O202:O231" si="185">N202*N$3</f>
        <v>0</v>
      </c>
      <c r="P202" s="99"/>
      <c r="Q202" s="40">
        <f t="shared" ref="Q202:Q231" si="186">P202*P$3</f>
        <v>0</v>
      </c>
      <c r="R202" s="34">
        <f t="shared" si="132"/>
        <v>0</v>
      </c>
      <c r="S202" s="75" t="str">
        <f t="shared" si="180"/>
        <v/>
      </c>
      <c r="T202" s="152" t="e">
        <f t="shared" ref="T202" si="187">AVERAGE(S202:S207)</f>
        <v>#DIV/0!</v>
      </c>
      <c r="U202" s="179">
        <f t="shared" ref="U202" si="188">(SUM(G202:G207)+SUM(I202:I207))/$F$1</f>
        <v>0</v>
      </c>
      <c r="V202" s="152">
        <f t="shared" ref="V202" si="189">SUM(R202:R207)</f>
        <v>0</v>
      </c>
      <c r="W202" s="152">
        <v>0</v>
      </c>
      <c r="X202" s="99"/>
      <c r="Y202" s="40">
        <f t="shared" si="133"/>
        <v>0</v>
      </c>
      <c r="Z202" s="99"/>
      <c r="AA202" s="40">
        <f t="shared" si="151"/>
        <v>0</v>
      </c>
      <c r="AB202" s="2"/>
      <c r="AC202" s="2"/>
      <c r="AD202" s="2"/>
      <c r="AE202" s="2"/>
      <c r="AF202" s="2"/>
      <c r="AG202" s="1"/>
      <c r="AH202" s="1"/>
      <c r="AI202" s="1"/>
      <c r="AJ202" s="1"/>
      <c r="AK202" s="1"/>
      <c r="AL202" s="1"/>
      <c r="AM202" s="1"/>
      <c r="AN202" s="1"/>
      <c r="AO202" s="1"/>
      <c r="AP202" s="1"/>
      <c r="AQ202" s="1"/>
    </row>
    <row r="203" spans="1:43" ht="17.25" thickBot="1" x14ac:dyDescent="0.35">
      <c r="A203" s="147"/>
      <c r="B203" s="97"/>
      <c r="C203" s="107"/>
      <c r="D203" s="150"/>
      <c r="E203" s="150"/>
      <c r="F203" s="100"/>
      <c r="G203" s="7">
        <f t="shared" ref="G203:G231" si="190">F203*F$3</f>
        <v>0</v>
      </c>
      <c r="H203" s="100"/>
      <c r="I203" s="7">
        <f t="shared" ref="I203:I231" si="191">H203*H$3</f>
        <v>0</v>
      </c>
      <c r="J203" s="100"/>
      <c r="K203" s="7">
        <f t="shared" si="183"/>
        <v>0</v>
      </c>
      <c r="L203" s="100"/>
      <c r="M203" s="7">
        <f t="shared" si="184"/>
        <v>0</v>
      </c>
      <c r="N203" s="100"/>
      <c r="O203" s="7">
        <f t="shared" si="185"/>
        <v>0</v>
      </c>
      <c r="P203" s="100"/>
      <c r="Q203" s="7">
        <f t="shared" si="186"/>
        <v>0</v>
      </c>
      <c r="R203" s="8">
        <f t="shared" ref="R203:R231" si="192">(G203+I203+M203+O203+K203)/F$1</f>
        <v>0</v>
      </c>
      <c r="S203" s="4" t="str">
        <f t="shared" si="180"/>
        <v/>
      </c>
      <c r="T203" s="152"/>
      <c r="U203" s="180"/>
      <c r="V203" s="152"/>
      <c r="W203" s="152"/>
      <c r="X203" s="100"/>
      <c r="Y203" s="7">
        <f t="shared" ref="Y203:Y231" si="193">X203*X$3</f>
        <v>0</v>
      </c>
      <c r="Z203" s="100"/>
      <c r="AA203" s="7">
        <f t="shared" si="151"/>
        <v>0</v>
      </c>
      <c r="AB203" s="2"/>
      <c r="AC203" s="2"/>
      <c r="AD203" s="2"/>
      <c r="AE203" s="2"/>
      <c r="AF203" s="2"/>
      <c r="AG203" s="1"/>
      <c r="AH203" s="1"/>
      <c r="AI203" s="1"/>
      <c r="AJ203" s="1"/>
      <c r="AK203" s="1"/>
      <c r="AL203" s="1"/>
      <c r="AM203" s="1"/>
      <c r="AN203" s="1"/>
      <c r="AO203" s="1"/>
      <c r="AP203" s="1"/>
      <c r="AQ203" s="1"/>
    </row>
    <row r="204" spans="1:43" ht="17.25" thickBot="1" x14ac:dyDescent="0.35">
      <c r="A204" s="147"/>
      <c r="B204" s="97"/>
      <c r="C204" s="107"/>
      <c r="D204" s="150"/>
      <c r="E204" s="150"/>
      <c r="F204" s="100"/>
      <c r="G204" s="7">
        <f t="shared" si="190"/>
        <v>0</v>
      </c>
      <c r="H204" s="100"/>
      <c r="I204" s="7">
        <f t="shared" si="191"/>
        <v>0</v>
      </c>
      <c r="J204" s="100"/>
      <c r="K204" s="7">
        <f t="shared" si="183"/>
        <v>0</v>
      </c>
      <c r="L204" s="100"/>
      <c r="M204" s="7">
        <f t="shared" si="184"/>
        <v>0</v>
      </c>
      <c r="N204" s="100"/>
      <c r="O204" s="7">
        <f t="shared" si="185"/>
        <v>0</v>
      </c>
      <c r="P204" s="100"/>
      <c r="Q204" s="7">
        <f t="shared" si="186"/>
        <v>0</v>
      </c>
      <c r="R204" s="8">
        <f t="shared" si="192"/>
        <v>0</v>
      </c>
      <c r="S204" s="4" t="str">
        <f t="shared" si="180"/>
        <v/>
      </c>
      <c r="T204" s="152"/>
      <c r="U204" s="180"/>
      <c r="V204" s="152"/>
      <c r="W204" s="152"/>
      <c r="X204" s="100"/>
      <c r="Y204" s="7">
        <f t="shared" si="193"/>
        <v>0</v>
      </c>
      <c r="Z204" s="100"/>
      <c r="AA204" s="7">
        <f t="shared" si="151"/>
        <v>0</v>
      </c>
      <c r="AB204" s="2"/>
      <c r="AC204" s="2"/>
      <c r="AD204" s="2"/>
      <c r="AE204" s="2"/>
      <c r="AF204" s="2"/>
      <c r="AG204" s="1"/>
      <c r="AH204" s="1"/>
      <c r="AI204" s="1"/>
      <c r="AJ204" s="1"/>
      <c r="AK204" s="1"/>
      <c r="AL204" s="1"/>
      <c r="AM204" s="1"/>
      <c r="AN204" s="1"/>
      <c r="AO204" s="1"/>
      <c r="AP204" s="1"/>
      <c r="AQ204" s="1"/>
    </row>
    <row r="205" spans="1:43" ht="17.25" thickBot="1" x14ac:dyDescent="0.35">
      <c r="A205" s="147"/>
      <c r="B205" s="97"/>
      <c r="C205" s="107"/>
      <c r="D205" s="150"/>
      <c r="E205" s="150"/>
      <c r="F205" s="100"/>
      <c r="G205" s="7">
        <f t="shared" si="190"/>
        <v>0</v>
      </c>
      <c r="H205" s="100"/>
      <c r="I205" s="7">
        <f t="shared" si="191"/>
        <v>0</v>
      </c>
      <c r="J205" s="100"/>
      <c r="K205" s="7">
        <f t="shared" si="183"/>
        <v>0</v>
      </c>
      <c r="L205" s="100"/>
      <c r="M205" s="7">
        <f t="shared" si="184"/>
        <v>0</v>
      </c>
      <c r="N205" s="100"/>
      <c r="O205" s="7">
        <f t="shared" si="185"/>
        <v>0</v>
      </c>
      <c r="P205" s="100"/>
      <c r="Q205" s="7">
        <f t="shared" si="186"/>
        <v>0</v>
      </c>
      <c r="R205" s="8">
        <f t="shared" si="192"/>
        <v>0</v>
      </c>
      <c r="S205" s="4" t="str">
        <f t="shared" si="180"/>
        <v/>
      </c>
      <c r="T205" s="152"/>
      <c r="U205" s="180"/>
      <c r="V205" s="152"/>
      <c r="W205" s="152"/>
      <c r="X205" s="100"/>
      <c r="Y205" s="7">
        <f t="shared" si="193"/>
        <v>0</v>
      </c>
      <c r="Z205" s="100"/>
      <c r="AA205" s="7">
        <f t="shared" si="151"/>
        <v>0</v>
      </c>
      <c r="AB205" s="2"/>
      <c r="AC205" s="2"/>
      <c r="AD205" s="2"/>
      <c r="AE205" s="2"/>
      <c r="AF205" s="2"/>
      <c r="AG205" s="1"/>
      <c r="AH205" s="1"/>
      <c r="AI205" s="1"/>
      <c r="AJ205" s="1"/>
      <c r="AK205" s="1"/>
      <c r="AL205" s="1"/>
      <c r="AM205" s="1"/>
      <c r="AN205" s="1"/>
      <c r="AO205" s="1"/>
      <c r="AP205" s="1"/>
      <c r="AQ205" s="1"/>
    </row>
    <row r="206" spans="1:43" ht="17.25" thickBot="1" x14ac:dyDescent="0.35">
      <c r="A206" s="147"/>
      <c r="B206" s="97"/>
      <c r="C206" s="107"/>
      <c r="D206" s="150"/>
      <c r="E206" s="150"/>
      <c r="F206" s="100"/>
      <c r="G206" s="7">
        <f t="shared" si="190"/>
        <v>0</v>
      </c>
      <c r="H206" s="100"/>
      <c r="I206" s="7">
        <f t="shared" si="191"/>
        <v>0</v>
      </c>
      <c r="J206" s="100"/>
      <c r="K206" s="7">
        <f t="shared" si="183"/>
        <v>0</v>
      </c>
      <c r="L206" s="100"/>
      <c r="M206" s="7">
        <f t="shared" si="184"/>
        <v>0</v>
      </c>
      <c r="N206" s="100"/>
      <c r="O206" s="7">
        <f t="shared" si="185"/>
        <v>0</v>
      </c>
      <c r="P206" s="100"/>
      <c r="Q206" s="7">
        <f t="shared" si="186"/>
        <v>0</v>
      </c>
      <c r="R206" s="8">
        <f t="shared" si="192"/>
        <v>0</v>
      </c>
      <c r="S206" s="4" t="str">
        <f t="shared" si="180"/>
        <v/>
      </c>
      <c r="T206" s="152"/>
      <c r="U206" s="180"/>
      <c r="V206" s="152"/>
      <c r="W206" s="152"/>
      <c r="X206" s="100"/>
      <c r="Y206" s="7">
        <f t="shared" si="193"/>
        <v>0</v>
      </c>
      <c r="Z206" s="100"/>
      <c r="AA206" s="7">
        <f t="shared" si="151"/>
        <v>0</v>
      </c>
      <c r="AB206" s="2"/>
      <c r="AC206" s="2"/>
      <c r="AD206" s="2"/>
      <c r="AE206" s="2"/>
      <c r="AF206" s="2"/>
      <c r="AG206" s="1"/>
      <c r="AH206" s="1"/>
      <c r="AI206" s="1"/>
      <c r="AJ206" s="1"/>
      <c r="AK206" s="1"/>
      <c r="AL206" s="1"/>
      <c r="AM206" s="1"/>
      <c r="AN206" s="1"/>
      <c r="AO206" s="1"/>
      <c r="AP206" s="1"/>
      <c r="AQ206" s="1"/>
    </row>
    <row r="207" spans="1:43" ht="17.25" thickBot="1" x14ac:dyDescent="0.35">
      <c r="A207" s="148"/>
      <c r="B207" s="98"/>
      <c r="C207" s="108"/>
      <c r="D207" s="151"/>
      <c r="E207" s="151"/>
      <c r="F207" s="101"/>
      <c r="G207" s="39">
        <f t="shared" si="190"/>
        <v>0</v>
      </c>
      <c r="H207" s="101"/>
      <c r="I207" s="39">
        <f t="shared" si="191"/>
        <v>0</v>
      </c>
      <c r="J207" s="101"/>
      <c r="K207" s="39">
        <f t="shared" si="183"/>
        <v>0</v>
      </c>
      <c r="L207" s="101"/>
      <c r="M207" s="39">
        <f t="shared" si="184"/>
        <v>0</v>
      </c>
      <c r="N207" s="101"/>
      <c r="O207" s="39">
        <f t="shared" si="185"/>
        <v>0</v>
      </c>
      <c r="P207" s="101"/>
      <c r="Q207" s="39">
        <f t="shared" si="186"/>
        <v>0</v>
      </c>
      <c r="R207" s="36">
        <f t="shared" si="192"/>
        <v>0</v>
      </c>
      <c r="S207" s="74" t="str">
        <f t="shared" si="180"/>
        <v/>
      </c>
      <c r="T207" s="152"/>
      <c r="U207" s="181"/>
      <c r="V207" s="152"/>
      <c r="W207" s="152"/>
      <c r="X207" s="101"/>
      <c r="Y207" s="39">
        <f t="shared" si="193"/>
        <v>0</v>
      </c>
      <c r="Z207" s="101"/>
      <c r="AA207" s="39">
        <f t="shared" si="151"/>
        <v>0</v>
      </c>
      <c r="AB207" s="2"/>
      <c r="AC207" s="2"/>
      <c r="AD207" s="2"/>
      <c r="AE207" s="2"/>
      <c r="AF207" s="2"/>
      <c r="AG207" s="1"/>
      <c r="AH207" s="1"/>
      <c r="AI207" s="1"/>
      <c r="AJ207" s="1"/>
      <c r="AK207" s="1"/>
      <c r="AL207" s="1"/>
      <c r="AM207" s="1"/>
      <c r="AN207" s="1"/>
      <c r="AO207" s="1"/>
      <c r="AP207" s="1"/>
      <c r="AQ207" s="1"/>
    </row>
    <row r="208" spans="1:43" ht="17.25" thickBot="1" x14ac:dyDescent="0.35">
      <c r="A208" s="147">
        <v>47</v>
      </c>
      <c r="B208" s="105"/>
      <c r="C208" s="106"/>
      <c r="D208" s="149">
        <f t="shared" ref="D208" si="194">SUM(G208:G213,I208:I213,K208:K213)</f>
        <v>0</v>
      </c>
      <c r="E208" s="149">
        <f t="shared" ref="E208" si="195">SUM(G208:G213,I208:I213,M208:M213,O208:O213,Q208:Q213,K208:K213)</f>
        <v>0</v>
      </c>
      <c r="F208" s="99"/>
      <c r="G208" s="7">
        <f t="shared" si="190"/>
        <v>0</v>
      </c>
      <c r="H208" s="99"/>
      <c r="I208" s="7">
        <f t="shared" si="191"/>
        <v>0</v>
      </c>
      <c r="J208" s="99"/>
      <c r="K208" s="7">
        <f t="shared" si="183"/>
        <v>0</v>
      </c>
      <c r="L208" s="99"/>
      <c r="M208" s="7">
        <f t="shared" si="184"/>
        <v>0</v>
      </c>
      <c r="N208" s="99"/>
      <c r="O208" s="7">
        <f t="shared" si="185"/>
        <v>0</v>
      </c>
      <c r="P208" s="99"/>
      <c r="Q208" s="7">
        <f t="shared" si="186"/>
        <v>0</v>
      </c>
      <c r="R208" s="8">
        <f t="shared" si="192"/>
        <v>0</v>
      </c>
      <c r="S208" s="75" t="str">
        <f t="shared" si="180"/>
        <v/>
      </c>
      <c r="T208" s="152" t="e">
        <f>AVERAGE(S208:S213)</f>
        <v>#DIV/0!</v>
      </c>
      <c r="U208" s="179">
        <f t="shared" ref="U208" si="196">(SUM(G208:G213)+SUM(I208:I213))/$F$1</f>
        <v>0</v>
      </c>
      <c r="V208" s="152">
        <f t="shared" ref="V208" si="197">SUM(R208:R213)</f>
        <v>0</v>
      </c>
      <c r="W208" s="152">
        <v>0</v>
      </c>
      <c r="X208" s="99"/>
      <c r="Y208" s="7">
        <f t="shared" si="193"/>
        <v>0</v>
      </c>
      <c r="Z208" s="99"/>
      <c r="AA208" s="7">
        <f t="shared" si="151"/>
        <v>0</v>
      </c>
      <c r="AB208" s="2"/>
      <c r="AC208" s="2"/>
      <c r="AD208" s="2"/>
      <c r="AE208" s="2"/>
      <c r="AF208" s="2"/>
      <c r="AG208" s="1"/>
      <c r="AH208" s="1"/>
      <c r="AI208" s="1"/>
      <c r="AJ208" s="1"/>
      <c r="AK208" s="1"/>
      <c r="AL208" s="1"/>
      <c r="AM208" s="1"/>
      <c r="AN208" s="1"/>
      <c r="AO208" s="1"/>
      <c r="AP208" s="1"/>
      <c r="AQ208" s="1"/>
    </row>
    <row r="209" spans="1:43" ht="17.25" thickBot="1" x14ac:dyDescent="0.35">
      <c r="A209" s="147"/>
      <c r="B209" s="97"/>
      <c r="C209" s="107"/>
      <c r="D209" s="150"/>
      <c r="E209" s="150"/>
      <c r="F209" s="100"/>
      <c r="G209" s="7">
        <f t="shared" si="190"/>
        <v>0</v>
      </c>
      <c r="H209" s="100"/>
      <c r="I209" s="7">
        <f t="shared" si="191"/>
        <v>0</v>
      </c>
      <c r="J209" s="100"/>
      <c r="K209" s="7">
        <f t="shared" si="183"/>
        <v>0</v>
      </c>
      <c r="L209" s="100"/>
      <c r="M209" s="7">
        <f t="shared" si="184"/>
        <v>0</v>
      </c>
      <c r="N209" s="100"/>
      <c r="O209" s="7">
        <f t="shared" si="185"/>
        <v>0</v>
      </c>
      <c r="P209" s="100"/>
      <c r="Q209" s="7">
        <f t="shared" si="186"/>
        <v>0</v>
      </c>
      <c r="R209" s="8">
        <f t="shared" si="192"/>
        <v>0</v>
      </c>
      <c r="S209" s="4" t="str">
        <f t="shared" si="180"/>
        <v/>
      </c>
      <c r="T209" s="152"/>
      <c r="U209" s="180"/>
      <c r="V209" s="152"/>
      <c r="W209" s="152"/>
      <c r="X209" s="100"/>
      <c r="Y209" s="7">
        <f t="shared" si="193"/>
        <v>0</v>
      </c>
      <c r="Z209" s="100"/>
      <c r="AA209" s="7">
        <f t="shared" si="151"/>
        <v>0</v>
      </c>
      <c r="AB209" s="2"/>
      <c r="AC209" s="2"/>
      <c r="AD209" s="2"/>
      <c r="AE209" s="2"/>
      <c r="AF209" s="2"/>
      <c r="AG209" s="1"/>
      <c r="AH209" s="1"/>
      <c r="AI209" s="1"/>
      <c r="AJ209" s="1"/>
      <c r="AK209" s="1"/>
      <c r="AL209" s="1"/>
      <c r="AM209" s="1"/>
      <c r="AN209" s="1"/>
      <c r="AO209" s="1"/>
      <c r="AP209" s="1"/>
      <c r="AQ209" s="1"/>
    </row>
    <row r="210" spans="1:43" ht="17.25" thickBot="1" x14ac:dyDescent="0.35">
      <c r="A210" s="147"/>
      <c r="B210" s="97"/>
      <c r="C210" s="107"/>
      <c r="D210" s="150"/>
      <c r="E210" s="150"/>
      <c r="F210" s="100"/>
      <c r="G210" s="7">
        <f t="shared" si="190"/>
        <v>0</v>
      </c>
      <c r="H210" s="100"/>
      <c r="I210" s="7">
        <f t="shared" si="191"/>
        <v>0</v>
      </c>
      <c r="J210" s="100"/>
      <c r="K210" s="7">
        <f t="shared" si="183"/>
        <v>0</v>
      </c>
      <c r="L210" s="100"/>
      <c r="M210" s="7">
        <f t="shared" si="184"/>
        <v>0</v>
      </c>
      <c r="N210" s="100"/>
      <c r="O210" s="7">
        <f t="shared" si="185"/>
        <v>0</v>
      </c>
      <c r="P210" s="100"/>
      <c r="Q210" s="7">
        <f t="shared" si="186"/>
        <v>0</v>
      </c>
      <c r="R210" s="8">
        <f t="shared" si="192"/>
        <v>0</v>
      </c>
      <c r="S210" s="4" t="str">
        <f t="shared" si="180"/>
        <v/>
      </c>
      <c r="T210" s="152"/>
      <c r="U210" s="180"/>
      <c r="V210" s="152"/>
      <c r="W210" s="152"/>
      <c r="X210" s="100"/>
      <c r="Y210" s="7">
        <f t="shared" si="193"/>
        <v>0</v>
      </c>
      <c r="Z210" s="100"/>
      <c r="AA210" s="7">
        <f t="shared" si="151"/>
        <v>0</v>
      </c>
      <c r="AB210" s="2"/>
      <c r="AC210" s="2"/>
      <c r="AD210" s="2"/>
      <c r="AE210" s="2"/>
      <c r="AF210" s="2"/>
      <c r="AG210" s="1"/>
      <c r="AH210" s="1"/>
      <c r="AI210" s="1"/>
      <c r="AJ210" s="1"/>
      <c r="AK210" s="1"/>
      <c r="AL210" s="1"/>
      <c r="AM210" s="1"/>
      <c r="AN210" s="1"/>
      <c r="AO210" s="1"/>
      <c r="AP210" s="1"/>
      <c r="AQ210" s="1"/>
    </row>
    <row r="211" spans="1:43" ht="17.25" thickBot="1" x14ac:dyDescent="0.35">
      <c r="A211" s="147"/>
      <c r="B211" s="97"/>
      <c r="C211" s="107"/>
      <c r="D211" s="150"/>
      <c r="E211" s="150"/>
      <c r="F211" s="100"/>
      <c r="G211" s="7">
        <f t="shared" si="190"/>
        <v>0</v>
      </c>
      <c r="H211" s="100"/>
      <c r="I211" s="7">
        <f t="shared" si="191"/>
        <v>0</v>
      </c>
      <c r="J211" s="100"/>
      <c r="K211" s="7">
        <f t="shared" si="183"/>
        <v>0</v>
      </c>
      <c r="L211" s="100"/>
      <c r="M211" s="7">
        <f t="shared" si="184"/>
        <v>0</v>
      </c>
      <c r="N211" s="100"/>
      <c r="O211" s="7">
        <f t="shared" si="185"/>
        <v>0</v>
      </c>
      <c r="P211" s="100"/>
      <c r="Q211" s="7">
        <f t="shared" si="186"/>
        <v>0</v>
      </c>
      <c r="R211" s="8">
        <f t="shared" si="192"/>
        <v>0</v>
      </c>
      <c r="S211" s="4" t="str">
        <f t="shared" si="180"/>
        <v/>
      </c>
      <c r="T211" s="152"/>
      <c r="U211" s="180"/>
      <c r="V211" s="152"/>
      <c r="W211" s="152"/>
      <c r="X211" s="100"/>
      <c r="Y211" s="7">
        <f t="shared" si="193"/>
        <v>0</v>
      </c>
      <c r="Z211" s="100"/>
      <c r="AA211" s="7">
        <f t="shared" si="151"/>
        <v>0</v>
      </c>
      <c r="AB211" s="2"/>
      <c r="AC211" s="2"/>
      <c r="AD211" s="2"/>
      <c r="AE211" s="2"/>
      <c r="AF211" s="2"/>
      <c r="AG211" s="1"/>
      <c r="AH211" s="1"/>
      <c r="AI211" s="1"/>
      <c r="AJ211" s="1"/>
      <c r="AK211" s="1"/>
      <c r="AL211" s="1"/>
      <c r="AM211" s="1"/>
      <c r="AN211" s="1"/>
      <c r="AO211" s="1"/>
      <c r="AP211" s="1"/>
      <c r="AQ211" s="1"/>
    </row>
    <row r="212" spans="1:43" ht="17.25" thickBot="1" x14ac:dyDescent="0.35">
      <c r="A212" s="147"/>
      <c r="B212" s="97"/>
      <c r="C212" s="107"/>
      <c r="D212" s="150"/>
      <c r="E212" s="150"/>
      <c r="F212" s="100"/>
      <c r="G212" s="7">
        <f t="shared" si="190"/>
        <v>0</v>
      </c>
      <c r="H212" s="100"/>
      <c r="I212" s="7">
        <f t="shared" si="191"/>
        <v>0</v>
      </c>
      <c r="J212" s="100"/>
      <c r="K212" s="7">
        <f t="shared" si="183"/>
        <v>0</v>
      </c>
      <c r="L212" s="100"/>
      <c r="M212" s="7">
        <f t="shared" si="184"/>
        <v>0</v>
      </c>
      <c r="N212" s="100"/>
      <c r="O212" s="7">
        <f t="shared" si="185"/>
        <v>0</v>
      </c>
      <c r="P212" s="100"/>
      <c r="Q212" s="7">
        <f t="shared" si="186"/>
        <v>0</v>
      </c>
      <c r="R212" s="8">
        <f t="shared" si="192"/>
        <v>0</v>
      </c>
      <c r="S212" s="4" t="str">
        <f t="shared" si="180"/>
        <v/>
      </c>
      <c r="T212" s="152"/>
      <c r="U212" s="180"/>
      <c r="V212" s="152"/>
      <c r="W212" s="152"/>
      <c r="X212" s="100"/>
      <c r="Y212" s="7">
        <f t="shared" si="193"/>
        <v>0</v>
      </c>
      <c r="Z212" s="100"/>
      <c r="AA212" s="7">
        <f t="shared" si="151"/>
        <v>0</v>
      </c>
      <c r="AB212" s="2"/>
      <c r="AC212" s="2"/>
      <c r="AD212" s="2"/>
      <c r="AE212" s="2"/>
      <c r="AF212" s="2"/>
      <c r="AG212" s="1"/>
      <c r="AH212" s="1"/>
      <c r="AI212" s="1"/>
      <c r="AJ212" s="1"/>
      <c r="AK212" s="1"/>
      <c r="AL212" s="1"/>
      <c r="AM212" s="1"/>
      <c r="AN212" s="1"/>
      <c r="AO212" s="1"/>
      <c r="AP212" s="1"/>
      <c r="AQ212" s="1"/>
    </row>
    <row r="213" spans="1:43" ht="17.25" thickBot="1" x14ac:dyDescent="0.35">
      <c r="A213" s="147"/>
      <c r="B213" s="98"/>
      <c r="C213" s="108"/>
      <c r="D213" s="151"/>
      <c r="E213" s="151"/>
      <c r="F213" s="101"/>
      <c r="G213" s="7">
        <f t="shared" si="190"/>
        <v>0</v>
      </c>
      <c r="H213" s="101"/>
      <c r="I213" s="7">
        <f t="shared" si="191"/>
        <v>0</v>
      </c>
      <c r="J213" s="101"/>
      <c r="K213" s="7">
        <f t="shared" si="183"/>
        <v>0</v>
      </c>
      <c r="L213" s="101"/>
      <c r="M213" s="7">
        <f t="shared" si="184"/>
        <v>0</v>
      </c>
      <c r="N213" s="101"/>
      <c r="O213" s="7">
        <f t="shared" si="185"/>
        <v>0</v>
      </c>
      <c r="P213" s="101"/>
      <c r="Q213" s="7">
        <f t="shared" si="186"/>
        <v>0</v>
      </c>
      <c r="R213" s="8">
        <f t="shared" si="192"/>
        <v>0</v>
      </c>
      <c r="S213" s="74" t="str">
        <f t="shared" si="180"/>
        <v/>
      </c>
      <c r="T213" s="152"/>
      <c r="U213" s="181"/>
      <c r="V213" s="152"/>
      <c r="W213" s="152"/>
      <c r="X213" s="101"/>
      <c r="Y213" s="7">
        <f t="shared" si="193"/>
        <v>0</v>
      </c>
      <c r="Z213" s="101"/>
      <c r="AA213" s="7">
        <f t="shared" si="151"/>
        <v>0</v>
      </c>
      <c r="AB213" s="2"/>
      <c r="AC213" s="2"/>
      <c r="AD213" s="2"/>
      <c r="AE213" s="2"/>
      <c r="AF213" s="2"/>
      <c r="AG213" s="1"/>
      <c r="AH213" s="1"/>
      <c r="AI213" s="1"/>
      <c r="AJ213" s="1"/>
      <c r="AK213" s="1"/>
      <c r="AL213" s="1"/>
      <c r="AM213" s="1"/>
      <c r="AN213" s="1"/>
      <c r="AO213" s="1"/>
      <c r="AP213" s="1"/>
      <c r="AQ213" s="1"/>
    </row>
    <row r="214" spans="1:43" ht="17.25" thickBot="1" x14ac:dyDescent="0.35">
      <c r="A214" s="146">
        <v>48</v>
      </c>
      <c r="B214" s="95"/>
      <c r="C214" s="106"/>
      <c r="D214" s="149">
        <f t="shared" ref="D214" si="198">SUM(G214:G219,I214:I219,K214:K219)</f>
        <v>0</v>
      </c>
      <c r="E214" s="149">
        <f t="shared" ref="E214" si="199">SUM(G214:G219,I214:I219,M214:M219,O214:O219,Q214:Q219,K214:K219)</f>
        <v>0</v>
      </c>
      <c r="F214" s="99"/>
      <c r="G214" s="40">
        <f t="shared" si="190"/>
        <v>0</v>
      </c>
      <c r="H214" s="99"/>
      <c r="I214" s="40">
        <f t="shared" si="191"/>
        <v>0</v>
      </c>
      <c r="J214" s="99"/>
      <c r="K214" s="40">
        <f t="shared" si="183"/>
        <v>0</v>
      </c>
      <c r="L214" s="99"/>
      <c r="M214" s="40">
        <f t="shared" si="184"/>
        <v>0</v>
      </c>
      <c r="N214" s="99"/>
      <c r="O214" s="40">
        <f t="shared" si="185"/>
        <v>0</v>
      </c>
      <c r="P214" s="99"/>
      <c r="Q214" s="40">
        <f t="shared" si="186"/>
        <v>0</v>
      </c>
      <c r="R214" s="34">
        <f t="shared" si="192"/>
        <v>0</v>
      </c>
      <c r="S214" s="75" t="str">
        <f t="shared" si="180"/>
        <v/>
      </c>
      <c r="T214" s="152" t="e">
        <f t="shared" ref="T214" si="200">AVERAGE(S214:S219)</f>
        <v>#DIV/0!</v>
      </c>
      <c r="U214" s="179">
        <f t="shared" ref="U214" si="201">(SUM(G214:G219)+SUM(I214:I219))/$F$1</f>
        <v>0</v>
      </c>
      <c r="V214" s="152">
        <f t="shared" ref="V214" si="202">SUM(R214:R219)</f>
        <v>0</v>
      </c>
      <c r="W214" s="152">
        <v>0</v>
      </c>
      <c r="X214" s="99"/>
      <c r="Y214" s="40">
        <f t="shared" si="193"/>
        <v>0</v>
      </c>
      <c r="Z214" s="99"/>
      <c r="AA214" s="40">
        <f t="shared" si="151"/>
        <v>0</v>
      </c>
      <c r="AB214" s="2"/>
      <c r="AC214" s="2"/>
      <c r="AD214" s="2"/>
      <c r="AE214" s="2"/>
      <c r="AF214" s="2"/>
      <c r="AG214" s="1"/>
      <c r="AH214" s="1"/>
      <c r="AI214" s="1"/>
      <c r="AJ214" s="1"/>
      <c r="AK214" s="1"/>
      <c r="AL214" s="1"/>
      <c r="AM214" s="1"/>
      <c r="AN214" s="1"/>
      <c r="AO214" s="1"/>
      <c r="AP214" s="1"/>
      <c r="AQ214" s="1"/>
    </row>
    <row r="215" spans="1:43" ht="17.25" thickBot="1" x14ac:dyDescent="0.35">
      <c r="A215" s="147"/>
      <c r="B215" s="96"/>
      <c r="C215" s="107"/>
      <c r="D215" s="150"/>
      <c r="E215" s="150"/>
      <c r="F215" s="100"/>
      <c r="G215" s="7">
        <f t="shared" si="190"/>
        <v>0</v>
      </c>
      <c r="H215" s="100"/>
      <c r="I215" s="7">
        <f t="shared" si="191"/>
        <v>0</v>
      </c>
      <c r="J215" s="100"/>
      <c r="K215" s="7">
        <f t="shared" si="183"/>
        <v>0</v>
      </c>
      <c r="L215" s="100"/>
      <c r="M215" s="7">
        <f t="shared" si="184"/>
        <v>0</v>
      </c>
      <c r="N215" s="100"/>
      <c r="O215" s="7">
        <f t="shared" si="185"/>
        <v>0</v>
      </c>
      <c r="P215" s="100"/>
      <c r="Q215" s="7">
        <f t="shared" si="186"/>
        <v>0</v>
      </c>
      <c r="R215" s="8">
        <f t="shared" si="192"/>
        <v>0</v>
      </c>
      <c r="S215" s="4" t="str">
        <f t="shared" si="180"/>
        <v/>
      </c>
      <c r="T215" s="152"/>
      <c r="U215" s="180"/>
      <c r="V215" s="152"/>
      <c r="W215" s="152"/>
      <c r="X215" s="100"/>
      <c r="Y215" s="7">
        <f t="shared" si="193"/>
        <v>0</v>
      </c>
      <c r="Z215" s="100"/>
      <c r="AA215" s="7">
        <f t="shared" si="151"/>
        <v>0</v>
      </c>
      <c r="AB215" s="2"/>
      <c r="AC215" s="2"/>
      <c r="AD215" s="2"/>
      <c r="AE215" s="2"/>
      <c r="AF215" s="2"/>
      <c r="AG215" s="1"/>
      <c r="AH215" s="1"/>
      <c r="AI215" s="1"/>
      <c r="AJ215" s="1"/>
      <c r="AK215" s="1"/>
      <c r="AL215" s="1"/>
      <c r="AM215" s="1"/>
      <c r="AN215" s="1"/>
      <c r="AO215" s="1"/>
      <c r="AP215" s="1"/>
      <c r="AQ215" s="1"/>
    </row>
    <row r="216" spans="1:43" ht="17.25" thickBot="1" x14ac:dyDescent="0.35">
      <c r="A216" s="147"/>
      <c r="B216" s="97"/>
      <c r="C216" s="107"/>
      <c r="D216" s="150"/>
      <c r="E216" s="150"/>
      <c r="F216" s="100"/>
      <c r="G216" s="7">
        <f t="shared" si="190"/>
        <v>0</v>
      </c>
      <c r="H216" s="100"/>
      <c r="I216" s="7">
        <f t="shared" si="191"/>
        <v>0</v>
      </c>
      <c r="J216" s="100"/>
      <c r="K216" s="7">
        <f t="shared" si="183"/>
        <v>0</v>
      </c>
      <c r="L216" s="100"/>
      <c r="M216" s="7">
        <f t="shared" si="184"/>
        <v>0</v>
      </c>
      <c r="N216" s="100"/>
      <c r="O216" s="7">
        <f t="shared" si="185"/>
        <v>0</v>
      </c>
      <c r="P216" s="100"/>
      <c r="Q216" s="7">
        <f t="shared" si="186"/>
        <v>0</v>
      </c>
      <c r="R216" s="8">
        <f t="shared" si="192"/>
        <v>0</v>
      </c>
      <c r="S216" s="4" t="str">
        <f t="shared" si="180"/>
        <v/>
      </c>
      <c r="T216" s="152"/>
      <c r="U216" s="180"/>
      <c r="V216" s="152"/>
      <c r="W216" s="152"/>
      <c r="X216" s="100"/>
      <c r="Y216" s="7">
        <f t="shared" si="193"/>
        <v>0</v>
      </c>
      <c r="Z216" s="100"/>
      <c r="AA216" s="7">
        <f t="shared" si="151"/>
        <v>0</v>
      </c>
      <c r="AB216" s="2"/>
      <c r="AC216" s="2"/>
      <c r="AD216" s="2"/>
      <c r="AE216" s="2"/>
      <c r="AF216" s="2"/>
      <c r="AG216" s="1"/>
      <c r="AH216" s="1"/>
      <c r="AI216" s="1"/>
      <c r="AJ216" s="1"/>
      <c r="AK216" s="1"/>
      <c r="AL216" s="1"/>
      <c r="AM216" s="1"/>
      <c r="AN216" s="1"/>
      <c r="AO216" s="1"/>
      <c r="AP216" s="1"/>
      <c r="AQ216" s="1"/>
    </row>
    <row r="217" spans="1:43" ht="17.25" thickBot="1" x14ac:dyDescent="0.35">
      <c r="A217" s="147"/>
      <c r="B217" s="97"/>
      <c r="C217" s="107"/>
      <c r="D217" s="150"/>
      <c r="E217" s="150"/>
      <c r="F217" s="100"/>
      <c r="G217" s="7">
        <f t="shared" si="190"/>
        <v>0</v>
      </c>
      <c r="H217" s="100"/>
      <c r="I217" s="7">
        <f t="shared" si="191"/>
        <v>0</v>
      </c>
      <c r="J217" s="100"/>
      <c r="K217" s="7">
        <f t="shared" si="183"/>
        <v>0</v>
      </c>
      <c r="L217" s="100"/>
      <c r="M217" s="7">
        <f t="shared" si="184"/>
        <v>0</v>
      </c>
      <c r="N217" s="100"/>
      <c r="O217" s="7">
        <f t="shared" si="185"/>
        <v>0</v>
      </c>
      <c r="P217" s="100"/>
      <c r="Q217" s="7">
        <f t="shared" si="186"/>
        <v>0</v>
      </c>
      <c r="R217" s="8">
        <f t="shared" si="192"/>
        <v>0</v>
      </c>
      <c r="S217" s="4" t="str">
        <f t="shared" si="180"/>
        <v/>
      </c>
      <c r="T217" s="152"/>
      <c r="U217" s="180"/>
      <c r="V217" s="152"/>
      <c r="W217" s="152"/>
      <c r="X217" s="100"/>
      <c r="Y217" s="7">
        <f t="shared" si="193"/>
        <v>0</v>
      </c>
      <c r="Z217" s="100"/>
      <c r="AA217" s="7">
        <f t="shared" si="151"/>
        <v>0</v>
      </c>
      <c r="AB217" s="2"/>
      <c r="AC217" s="2"/>
      <c r="AD217" s="2"/>
      <c r="AE217" s="2"/>
      <c r="AF217" s="2"/>
      <c r="AG217" s="1"/>
      <c r="AH217" s="1"/>
      <c r="AI217" s="1"/>
      <c r="AJ217" s="1"/>
      <c r="AK217" s="1"/>
      <c r="AL217" s="1"/>
      <c r="AM217" s="1"/>
      <c r="AN217" s="1"/>
      <c r="AO217" s="1"/>
      <c r="AP217" s="1"/>
      <c r="AQ217" s="1"/>
    </row>
    <row r="218" spans="1:43" ht="17.25" thickBot="1" x14ac:dyDescent="0.35">
      <c r="A218" s="147"/>
      <c r="B218" s="97"/>
      <c r="C218" s="107"/>
      <c r="D218" s="150"/>
      <c r="E218" s="150"/>
      <c r="F218" s="100"/>
      <c r="G218" s="7">
        <f t="shared" si="190"/>
        <v>0</v>
      </c>
      <c r="H218" s="100"/>
      <c r="I218" s="7">
        <f t="shared" si="191"/>
        <v>0</v>
      </c>
      <c r="J218" s="100"/>
      <c r="K218" s="7">
        <f t="shared" si="183"/>
        <v>0</v>
      </c>
      <c r="L218" s="100"/>
      <c r="M218" s="7">
        <f t="shared" si="184"/>
        <v>0</v>
      </c>
      <c r="N218" s="100"/>
      <c r="O218" s="7">
        <f t="shared" si="185"/>
        <v>0</v>
      </c>
      <c r="P218" s="100"/>
      <c r="Q218" s="7">
        <f t="shared" si="186"/>
        <v>0</v>
      </c>
      <c r="R218" s="8">
        <f t="shared" si="192"/>
        <v>0</v>
      </c>
      <c r="S218" s="4" t="str">
        <f t="shared" si="180"/>
        <v/>
      </c>
      <c r="T218" s="152"/>
      <c r="U218" s="180"/>
      <c r="V218" s="152"/>
      <c r="W218" s="152"/>
      <c r="X218" s="100"/>
      <c r="Y218" s="7">
        <f t="shared" si="193"/>
        <v>0</v>
      </c>
      <c r="Z218" s="100"/>
      <c r="AA218" s="7">
        <f t="shared" si="151"/>
        <v>0</v>
      </c>
      <c r="AB218" s="2"/>
      <c r="AC218" s="2"/>
      <c r="AD218" s="2"/>
      <c r="AE218" s="2"/>
      <c r="AF218" s="2"/>
      <c r="AG218" s="1"/>
      <c r="AH218" s="1"/>
      <c r="AI218" s="1"/>
      <c r="AJ218" s="1"/>
      <c r="AK218" s="1"/>
      <c r="AL218" s="1"/>
      <c r="AM218" s="1"/>
      <c r="AN218" s="1"/>
      <c r="AO218" s="1"/>
      <c r="AP218" s="1"/>
      <c r="AQ218" s="1"/>
    </row>
    <row r="219" spans="1:43" ht="17.25" thickBot="1" x14ac:dyDescent="0.35">
      <c r="A219" s="148"/>
      <c r="B219" s="98"/>
      <c r="C219" s="108"/>
      <c r="D219" s="151"/>
      <c r="E219" s="151"/>
      <c r="F219" s="101"/>
      <c r="G219" s="39">
        <f t="shared" si="190"/>
        <v>0</v>
      </c>
      <c r="H219" s="101"/>
      <c r="I219" s="39">
        <f t="shared" si="191"/>
        <v>0</v>
      </c>
      <c r="J219" s="101"/>
      <c r="K219" s="39">
        <f t="shared" si="183"/>
        <v>0</v>
      </c>
      <c r="L219" s="101"/>
      <c r="M219" s="39">
        <f t="shared" si="184"/>
        <v>0</v>
      </c>
      <c r="N219" s="101"/>
      <c r="O219" s="39">
        <f t="shared" si="185"/>
        <v>0</v>
      </c>
      <c r="P219" s="101"/>
      <c r="Q219" s="39">
        <f t="shared" si="186"/>
        <v>0</v>
      </c>
      <c r="R219" s="36">
        <f t="shared" si="192"/>
        <v>0</v>
      </c>
      <c r="S219" s="74" t="str">
        <f t="shared" si="180"/>
        <v/>
      </c>
      <c r="T219" s="152"/>
      <c r="U219" s="181"/>
      <c r="V219" s="152"/>
      <c r="W219" s="152"/>
      <c r="X219" s="101"/>
      <c r="Y219" s="39">
        <f t="shared" si="193"/>
        <v>0</v>
      </c>
      <c r="Z219" s="101"/>
      <c r="AA219" s="39">
        <f t="shared" si="151"/>
        <v>0</v>
      </c>
      <c r="AB219" s="2"/>
      <c r="AC219" s="2"/>
      <c r="AD219" s="2"/>
      <c r="AE219" s="2"/>
      <c r="AF219" s="2"/>
      <c r="AG219" s="1"/>
      <c r="AH219" s="1"/>
      <c r="AI219" s="1"/>
      <c r="AJ219" s="1"/>
      <c r="AK219" s="1"/>
      <c r="AL219" s="1"/>
      <c r="AM219" s="1"/>
      <c r="AN219" s="1"/>
      <c r="AO219" s="1"/>
      <c r="AP219" s="1"/>
      <c r="AQ219" s="1"/>
    </row>
    <row r="220" spans="1:43" ht="17.25" thickBot="1" x14ac:dyDescent="0.35">
      <c r="A220" s="146">
        <v>49</v>
      </c>
      <c r="B220" s="95"/>
      <c r="C220" s="106"/>
      <c r="D220" s="149">
        <f t="shared" ref="D220" si="203">SUM(G220:G225,I220:I225,K220:K225)</f>
        <v>0</v>
      </c>
      <c r="E220" s="149">
        <f t="shared" ref="E220" si="204">SUM(G220:G225,I220:I225,M220:M225,O220:O225,Q220:Q225,K220:K225)</f>
        <v>0</v>
      </c>
      <c r="F220" s="99"/>
      <c r="G220" s="40">
        <f t="shared" si="190"/>
        <v>0</v>
      </c>
      <c r="H220" s="99"/>
      <c r="I220" s="40">
        <f t="shared" si="191"/>
        <v>0</v>
      </c>
      <c r="J220" s="99"/>
      <c r="K220" s="40">
        <f t="shared" si="183"/>
        <v>0</v>
      </c>
      <c r="L220" s="99"/>
      <c r="M220" s="40">
        <f t="shared" si="184"/>
        <v>0</v>
      </c>
      <c r="N220" s="99"/>
      <c r="O220" s="40">
        <f t="shared" si="185"/>
        <v>0</v>
      </c>
      <c r="P220" s="99"/>
      <c r="Q220" s="40">
        <f t="shared" si="186"/>
        <v>0</v>
      </c>
      <c r="R220" s="34">
        <f t="shared" si="192"/>
        <v>0</v>
      </c>
      <c r="S220" s="75" t="str">
        <f t="shared" si="180"/>
        <v/>
      </c>
      <c r="T220" s="152" t="e">
        <f t="shared" ref="T220" si="205">AVERAGE(S220:S225)</f>
        <v>#DIV/0!</v>
      </c>
      <c r="U220" s="179">
        <f t="shared" ref="U220" si="206">(SUM(G220:G225)+SUM(I220:I225))/$F$1</f>
        <v>0</v>
      </c>
      <c r="V220" s="152">
        <f t="shared" ref="V220" si="207">SUM(R220:R225)</f>
        <v>0</v>
      </c>
      <c r="W220" s="152">
        <v>0</v>
      </c>
      <c r="X220" s="99"/>
      <c r="Y220" s="40">
        <f t="shared" si="193"/>
        <v>0</v>
      </c>
      <c r="Z220" s="99"/>
      <c r="AA220" s="40">
        <f t="shared" si="151"/>
        <v>0</v>
      </c>
      <c r="AB220" s="2"/>
      <c r="AC220" s="2"/>
      <c r="AD220" s="2"/>
      <c r="AE220" s="2"/>
      <c r="AF220" s="2"/>
      <c r="AG220" s="1"/>
      <c r="AH220" s="1"/>
      <c r="AI220" s="1"/>
      <c r="AJ220" s="1"/>
      <c r="AK220" s="1"/>
      <c r="AL220" s="1"/>
      <c r="AM220" s="1"/>
      <c r="AN220" s="1"/>
      <c r="AO220" s="1"/>
      <c r="AP220" s="1"/>
      <c r="AQ220" s="1"/>
    </row>
    <row r="221" spans="1:43" ht="17.25" thickBot="1" x14ac:dyDescent="0.35">
      <c r="A221" s="147"/>
      <c r="B221" s="96"/>
      <c r="C221" s="107"/>
      <c r="D221" s="150"/>
      <c r="E221" s="150"/>
      <c r="F221" s="100"/>
      <c r="G221" s="7">
        <f t="shared" si="190"/>
        <v>0</v>
      </c>
      <c r="H221" s="100"/>
      <c r="I221" s="7">
        <f t="shared" si="191"/>
        <v>0</v>
      </c>
      <c r="J221" s="100"/>
      <c r="K221" s="7">
        <f t="shared" si="183"/>
        <v>0</v>
      </c>
      <c r="L221" s="100"/>
      <c r="M221" s="7">
        <f t="shared" si="184"/>
        <v>0</v>
      </c>
      <c r="N221" s="100"/>
      <c r="O221" s="7">
        <f t="shared" si="185"/>
        <v>0</v>
      </c>
      <c r="P221" s="100"/>
      <c r="Q221" s="7">
        <f t="shared" si="186"/>
        <v>0</v>
      </c>
      <c r="R221" s="8">
        <f t="shared" si="192"/>
        <v>0</v>
      </c>
      <c r="S221" s="4" t="str">
        <f t="shared" si="180"/>
        <v/>
      </c>
      <c r="T221" s="152"/>
      <c r="U221" s="180"/>
      <c r="V221" s="152"/>
      <c r="W221" s="152"/>
      <c r="X221" s="100"/>
      <c r="Y221" s="7">
        <f t="shared" si="193"/>
        <v>0</v>
      </c>
      <c r="Z221" s="100"/>
      <c r="AA221" s="7">
        <f t="shared" si="151"/>
        <v>0</v>
      </c>
      <c r="AB221" s="2"/>
      <c r="AC221" s="2"/>
      <c r="AD221" s="2"/>
      <c r="AE221" s="2"/>
      <c r="AF221" s="2"/>
      <c r="AG221" s="1"/>
      <c r="AH221" s="1"/>
      <c r="AI221" s="1"/>
      <c r="AJ221" s="1"/>
      <c r="AK221" s="1"/>
      <c r="AL221" s="1"/>
      <c r="AM221" s="1"/>
      <c r="AN221" s="1"/>
      <c r="AO221" s="1"/>
      <c r="AP221" s="1"/>
      <c r="AQ221" s="1"/>
    </row>
    <row r="222" spans="1:43" ht="17.25" thickBot="1" x14ac:dyDescent="0.35">
      <c r="A222" s="147"/>
      <c r="B222" s="97"/>
      <c r="C222" s="107"/>
      <c r="D222" s="150"/>
      <c r="E222" s="150"/>
      <c r="F222" s="100"/>
      <c r="G222" s="7">
        <f t="shared" si="190"/>
        <v>0</v>
      </c>
      <c r="H222" s="100"/>
      <c r="I222" s="7">
        <f t="shared" si="191"/>
        <v>0</v>
      </c>
      <c r="J222" s="100"/>
      <c r="K222" s="7">
        <f t="shared" si="183"/>
        <v>0</v>
      </c>
      <c r="L222" s="100"/>
      <c r="M222" s="7">
        <f t="shared" si="184"/>
        <v>0</v>
      </c>
      <c r="N222" s="100"/>
      <c r="O222" s="7">
        <f t="shared" si="185"/>
        <v>0</v>
      </c>
      <c r="P222" s="100"/>
      <c r="Q222" s="7">
        <f t="shared" si="186"/>
        <v>0</v>
      </c>
      <c r="R222" s="8">
        <f t="shared" si="192"/>
        <v>0</v>
      </c>
      <c r="S222" s="4" t="str">
        <f t="shared" si="180"/>
        <v/>
      </c>
      <c r="T222" s="152"/>
      <c r="U222" s="180"/>
      <c r="V222" s="152"/>
      <c r="W222" s="152"/>
      <c r="X222" s="100"/>
      <c r="Y222" s="7">
        <f t="shared" si="193"/>
        <v>0</v>
      </c>
      <c r="Z222" s="100"/>
      <c r="AA222" s="7">
        <f t="shared" si="151"/>
        <v>0</v>
      </c>
      <c r="AB222" s="2"/>
      <c r="AC222" s="2"/>
      <c r="AD222" s="2"/>
      <c r="AE222" s="2"/>
      <c r="AF222" s="2"/>
      <c r="AG222" s="1"/>
      <c r="AH222" s="1"/>
      <c r="AI222" s="1"/>
      <c r="AJ222" s="1"/>
      <c r="AK222" s="1"/>
      <c r="AL222" s="1"/>
      <c r="AM222" s="1"/>
      <c r="AN222" s="1"/>
      <c r="AO222" s="1"/>
      <c r="AP222" s="1"/>
      <c r="AQ222" s="1"/>
    </row>
    <row r="223" spans="1:43" ht="17.25" thickBot="1" x14ac:dyDescent="0.35">
      <c r="A223" s="147"/>
      <c r="B223" s="97"/>
      <c r="C223" s="107"/>
      <c r="D223" s="150"/>
      <c r="E223" s="150"/>
      <c r="F223" s="100"/>
      <c r="G223" s="7">
        <f t="shared" si="190"/>
        <v>0</v>
      </c>
      <c r="H223" s="100"/>
      <c r="I223" s="7">
        <f t="shared" si="191"/>
        <v>0</v>
      </c>
      <c r="J223" s="100"/>
      <c r="K223" s="7">
        <f t="shared" si="183"/>
        <v>0</v>
      </c>
      <c r="L223" s="100"/>
      <c r="M223" s="7">
        <f t="shared" si="184"/>
        <v>0</v>
      </c>
      <c r="N223" s="100"/>
      <c r="O223" s="7">
        <f t="shared" si="185"/>
        <v>0</v>
      </c>
      <c r="P223" s="100"/>
      <c r="Q223" s="7">
        <f t="shared" si="186"/>
        <v>0</v>
      </c>
      <c r="R223" s="8">
        <f t="shared" si="192"/>
        <v>0</v>
      </c>
      <c r="S223" s="4" t="str">
        <f t="shared" si="180"/>
        <v/>
      </c>
      <c r="T223" s="152"/>
      <c r="U223" s="180"/>
      <c r="V223" s="152"/>
      <c r="W223" s="152"/>
      <c r="X223" s="100"/>
      <c r="Y223" s="7">
        <f t="shared" si="193"/>
        <v>0</v>
      </c>
      <c r="Z223" s="100"/>
      <c r="AA223" s="7">
        <f t="shared" si="151"/>
        <v>0</v>
      </c>
      <c r="AB223" s="2"/>
      <c r="AC223" s="2"/>
      <c r="AD223" s="2"/>
      <c r="AE223" s="2"/>
      <c r="AF223" s="2"/>
      <c r="AG223" s="1"/>
      <c r="AH223" s="1"/>
      <c r="AI223" s="1"/>
      <c r="AJ223" s="1"/>
      <c r="AK223" s="1"/>
      <c r="AL223" s="1"/>
      <c r="AM223" s="1"/>
      <c r="AN223" s="1"/>
      <c r="AO223" s="1"/>
      <c r="AP223" s="1"/>
      <c r="AQ223" s="1"/>
    </row>
    <row r="224" spans="1:43" ht="17.25" thickBot="1" x14ac:dyDescent="0.35">
      <c r="A224" s="147"/>
      <c r="B224" s="97"/>
      <c r="C224" s="107"/>
      <c r="D224" s="150"/>
      <c r="E224" s="150"/>
      <c r="F224" s="100"/>
      <c r="G224" s="7">
        <f t="shared" si="190"/>
        <v>0</v>
      </c>
      <c r="H224" s="100"/>
      <c r="I224" s="7">
        <f t="shared" si="191"/>
        <v>0</v>
      </c>
      <c r="J224" s="100"/>
      <c r="K224" s="7">
        <f t="shared" si="183"/>
        <v>0</v>
      </c>
      <c r="L224" s="100"/>
      <c r="M224" s="7">
        <f t="shared" si="184"/>
        <v>0</v>
      </c>
      <c r="N224" s="100"/>
      <c r="O224" s="7">
        <f t="shared" si="185"/>
        <v>0</v>
      </c>
      <c r="P224" s="100"/>
      <c r="Q224" s="7">
        <f t="shared" si="186"/>
        <v>0</v>
      </c>
      <c r="R224" s="8">
        <f t="shared" si="192"/>
        <v>0</v>
      </c>
      <c r="S224" s="4" t="str">
        <f t="shared" si="180"/>
        <v/>
      </c>
      <c r="T224" s="152"/>
      <c r="U224" s="180"/>
      <c r="V224" s="152"/>
      <c r="W224" s="152"/>
      <c r="X224" s="100"/>
      <c r="Y224" s="7">
        <f t="shared" si="193"/>
        <v>0</v>
      </c>
      <c r="Z224" s="100"/>
      <c r="AA224" s="7">
        <f t="shared" si="151"/>
        <v>0</v>
      </c>
      <c r="AB224" s="2"/>
      <c r="AC224" s="2"/>
      <c r="AD224" s="2"/>
      <c r="AE224" s="2"/>
      <c r="AF224" s="2"/>
      <c r="AG224" s="1"/>
      <c r="AH224" s="1"/>
      <c r="AI224" s="1"/>
      <c r="AJ224" s="1"/>
      <c r="AK224" s="1"/>
      <c r="AL224" s="1"/>
      <c r="AM224" s="1"/>
      <c r="AN224" s="1"/>
      <c r="AO224" s="1"/>
      <c r="AP224" s="1"/>
      <c r="AQ224" s="1"/>
    </row>
    <row r="225" spans="1:43" ht="17.25" thickBot="1" x14ac:dyDescent="0.35">
      <c r="A225" s="148"/>
      <c r="B225" s="98"/>
      <c r="C225" s="108"/>
      <c r="D225" s="151"/>
      <c r="E225" s="151"/>
      <c r="F225" s="101"/>
      <c r="G225" s="39">
        <f t="shared" si="190"/>
        <v>0</v>
      </c>
      <c r="H225" s="101"/>
      <c r="I225" s="39">
        <f t="shared" si="191"/>
        <v>0</v>
      </c>
      <c r="J225" s="101"/>
      <c r="K225" s="39">
        <f t="shared" si="183"/>
        <v>0</v>
      </c>
      <c r="L225" s="101"/>
      <c r="M225" s="39">
        <f t="shared" si="184"/>
        <v>0</v>
      </c>
      <c r="N225" s="101"/>
      <c r="O225" s="39">
        <f t="shared" si="185"/>
        <v>0</v>
      </c>
      <c r="P225" s="101"/>
      <c r="Q225" s="39">
        <f t="shared" si="186"/>
        <v>0</v>
      </c>
      <c r="R225" s="36">
        <f t="shared" si="192"/>
        <v>0</v>
      </c>
      <c r="S225" s="74" t="str">
        <f t="shared" si="180"/>
        <v/>
      </c>
      <c r="T225" s="152"/>
      <c r="U225" s="181"/>
      <c r="V225" s="152"/>
      <c r="W225" s="152"/>
      <c r="X225" s="101"/>
      <c r="Y225" s="39">
        <f t="shared" si="193"/>
        <v>0</v>
      </c>
      <c r="Z225" s="101"/>
      <c r="AA225" s="39">
        <f t="shared" si="151"/>
        <v>0</v>
      </c>
      <c r="AB225" s="2"/>
      <c r="AC225" s="2"/>
      <c r="AD225" s="2"/>
      <c r="AE225" s="2"/>
      <c r="AF225" s="2"/>
      <c r="AG225" s="1"/>
      <c r="AH225" s="1"/>
      <c r="AI225" s="1"/>
      <c r="AJ225" s="1"/>
      <c r="AK225" s="1"/>
      <c r="AL225" s="1"/>
      <c r="AM225" s="1"/>
      <c r="AN225" s="1"/>
      <c r="AO225" s="1"/>
      <c r="AP225" s="1"/>
      <c r="AQ225" s="1"/>
    </row>
    <row r="226" spans="1:43" ht="17.25" thickBot="1" x14ac:dyDescent="0.35">
      <c r="A226" s="146">
        <v>50</v>
      </c>
      <c r="B226" s="95"/>
      <c r="C226" s="106"/>
      <c r="D226" s="149">
        <f t="shared" ref="D226" si="208">SUM(G226:G231,I226:I231,K226:K231)</f>
        <v>0</v>
      </c>
      <c r="E226" s="149">
        <f t="shared" ref="E226" si="209">SUM(G226:G231,I226:I231,M226:M231,O226:O231,Q226:Q231,K226:K231)</f>
        <v>0</v>
      </c>
      <c r="F226" s="99"/>
      <c r="G226" s="40">
        <f t="shared" si="190"/>
        <v>0</v>
      </c>
      <c r="H226" s="99"/>
      <c r="I226" s="40">
        <f t="shared" si="191"/>
        <v>0</v>
      </c>
      <c r="J226" s="99"/>
      <c r="K226" s="40">
        <f t="shared" si="183"/>
        <v>0</v>
      </c>
      <c r="L226" s="99"/>
      <c r="M226" s="40">
        <f t="shared" si="184"/>
        <v>0</v>
      </c>
      <c r="N226" s="99"/>
      <c r="O226" s="40">
        <f t="shared" si="185"/>
        <v>0</v>
      </c>
      <c r="P226" s="99"/>
      <c r="Q226" s="40">
        <f t="shared" si="186"/>
        <v>0</v>
      </c>
      <c r="R226" s="8">
        <f t="shared" si="192"/>
        <v>0</v>
      </c>
      <c r="S226" s="31" t="str">
        <f t="shared" si="180"/>
        <v/>
      </c>
      <c r="T226" s="152" t="e">
        <f>AVERAGE(S226:S231)</f>
        <v>#DIV/0!</v>
      </c>
      <c r="U226" s="179">
        <f t="shared" ref="U226" si="210">(SUM(G226:G231)+SUM(I226:I231))/$F$1</f>
        <v>0</v>
      </c>
      <c r="V226" s="152">
        <f t="shared" ref="V226" si="211">SUM(R226:R231)</f>
        <v>0</v>
      </c>
      <c r="W226" s="152">
        <v>0</v>
      </c>
      <c r="X226" s="99"/>
      <c r="Y226" s="40">
        <f t="shared" si="193"/>
        <v>0</v>
      </c>
      <c r="Z226" s="99"/>
      <c r="AA226" s="40">
        <f t="shared" ref="AA226:AA231" si="212">Z226*Z$3</f>
        <v>0</v>
      </c>
      <c r="AB226" s="2"/>
      <c r="AC226" s="2"/>
      <c r="AD226" s="2"/>
      <c r="AE226" s="2"/>
      <c r="AF226" s="2"/>
      <c r="AG226" s="1"/>
      <c r="AH226" s="1"/>
      <c r="AI226" s="1"/>
      <c r="AJ226" s="1"/>
      <c r="AK226" s="1"/>
      <c r="AL226" s="1"/>
      <c r="AM226" s="1"/>
      <c r="AN226" s="1"/>
      <c r="AO226" s="1"/>
      <c r="AP226" s="1"/>
      <c r="AQ226" s="1"/>
    </row>
    <row r="227" spans="1:43" ht="17.25" thickBot="1" x14ac:dyDescent="0.35">
      <c r="A227" s="147"/>
      <c r="B227" s="96"/>
      <c r="C227" s="107"/>
      <c r="D227" s="150"/>
      <c r="E227" s="150"/>
      <c r="F227" s="100"/>
      <c r="G227" s="7">
        <f t="shared" si="190"/>
        <v>0</v>
      </c>
      <c r="H227" s="100"/>
      <c r="I227" s="7">
        <f t="shared" si="191"/>
        <v>0</v>
      </c>
      <c r="J227" s="100"/>
      <c r="K227" s="7">
        <f t="shared" si="183"/>
        <v>0</v>
      </c>
      <c r="L227" s="100"/>
      <c r="M227" s="7">
        <f t="shared" si="184"/>
        <v>0</v>
      </c>
      <c r="N227" s="100"/>
      <c r="O227" s="7">
        <f t="shared" si="185"/>
        <v>0</v>
      </c>
      <c r="P227" s="100"/>
      <c r="Q227" s="7">
        <f t="shared" si="186"/>
        <v>0</v>
      </c>
      <c r="R227" s="8">
        <f t="shared" si="192"/>
        <v>0</v>
      </c>
      <c r="S227" s="4" t="str">
        <f t="shared" si="180"/>
        <v/>
      </c>
      <c r="T227" s="152"/>
      <c r="U227" s="180"/>
      <c r="V227" s="152"/>
      <c r="W227" s="152"/>
      <c r="X227" s="100"/>
      <c r="Y227" s="7">
        <f t="shared" si="193"/>
        <v>0</v>
      </c>
      <c r="Z227" s="100"/>
      <c r="AA227" s="7">
        <f t="shared" si="212"/>
        <v>0</v>
      </c>
      <c r="AB227" s="2"/>
      <c r="AC227" s="2"/>
      <c r="AD227" s="2"/>
      <c r="AE227" s="2"/>
      <c r="AF227" s="2"/>
      <c r="AG227" s="1"/>
      <c r="AH227" s="1"/>
      <c r="AI227" s="1"/>
      <c r="AJ227" s="1"/>
      <c r="AK227" s="1"/>
      <c r="AL227" s="1"/>
      <c r="AM227" s="1"/>
      <c r="AN227" s="1"/>
      <c r="AO227" s="1"/>
      <c r="AP227" s="1"/>
      <c r="AQ227" s="1"/>
    </row>
    <row r="228" spans="1:43" ht="17.25" thickBot="1" x14ac:dyDescent="0.35">
      <c r="A228" s="147"/>
      <c r="B228" s="97"/>
      <c r="C228" s="107"/>
      <c r="D228" s="150"/>
      <c r="E228" s="150"/>
      <c r="F228" s="100"/>
      <c r="G228" s="7">
        <f t="shared" si="190"/>
        <v>0</v>
      </c>
      <c r="H228" s="100"/>
      <c r="I228" s="7">
        <f t="shared" si="191"/>
        <v>0</v>
      </c>
      <c r="J228" s="100"/>
      <c r="K228" s="7">
        <f t="shared" si="183"/>
        <v>0</v>
      </c>
      <c r="L228" s="100"/>
      <c r="M228" s="7">
        <f t="shared" si="184"/>
        <v>0</v>
      </c>
      <c r="N228" s="100"/>
      <c r="O228" s="7">
        <f t="shared" si="185"/>
        <v>0</v>
      </c>
      <c r="P228" s="100"/>
      <c r="Q228" s="7">
        <f t="shared" si="186"/>
        <v>0</v>
      </c>
      <c r="R228" s="8">
        <f t="shared" si="192"/>
        <v>0</v>
      </c>
      <c r="S228" s="4" t="str">
        <f t="shared" si="180"/>
        <v/>
      </c>
      <c r="T228" s="152"/>
      <c r="U228" s="180"/>
      <c r="V228" s="152"/>
      <c r="W228" s="152"/>
      <c r="X228" s="100"/>
      <c r="Y228" s="7">
        <f t="shared" si="193"/>
        <v>0</v>
      </c>
      <c r="Z228" s="100"/>
      <c r="AA228" s="7">
        <f t="shared" si="212"/>
        <v>0</v>
      </c>
      <c r="AB228" s="2"/>
      <c r="AC228" s="2"/>
      <c r="AD228" s="2"/>
      <c r="AE228" s="2"/>
      <c r="AF228" s="2"/>
      <c r="AG228" s="1"/>
      <c r="AH228" s="1"/>
      <c r="AI228" s="1"/>
      <c r="AJ228" s="1"/>
      <c r="AK228" s="1"/>
      <c r="AL228" s="1"/>
      <c r="AM228" s="1"/>
      <c r="AN228" s="1"/>
      <c r="AO228" s="1"/>
      <c r="AP228" s="1"/>
      <c r="AQ228" s="1"/>
    </row>
    <row r="229" spans="1:43" ht="17.25" thickBot="1" x14ac:dyDescent="0.35">
      <c r="A229" s="147"/>
      <c r="B229" s="97"/>
      <c r="C229" s="107"/>
      <c r="D229" s="150"/>
      <c r="E229" s="150"/>
      <c r="F229" s="100"/>
      <c r="G229" s="7">
        <f t="shared" si="190"/>
        <v>0</v>
      </c>
      <c r="H229" s="100"/>
      <c r="I229" s="7">
        <f t="shared" si="191"/>
        <v>0</v>
      </c>
      <c r="J229" s="100"/>
      <c r="K229" s="7">
        <f t="shared" si="183"/>
        <v>0</v>
      </c>
      <c r="L229" s="100"/>
      <c r="M229" s="7">
        <f t="shared" si="184"/>
        <v>0</v>
      </c>
      <c r="N229" s="100"/>
      <c r="O229" s="7">
        <f t="shared" si="185"/>
        <v>0</v>
      </c>
      <c r="P229" s="100"/>
      <c r="Q229" s="7">
        <f t="shared" si="186"/>
        <v>0</v>
      </c>
      <c r="R229" s="8">
        <f t="shared" si="192"/>
        <v>0</v>
      </c>
      <c r="S229" s="4" t="str">
        <f t="shared" si="180"/>
        <v/>
      </c>
      <c r="T229" s="152"/>
      <c r="U229" s="180"/>
      <c r="V229" s="152"/>
      <c r="W229" s="152"/>
      <c r="X229" s="100"/>
      <c r="Y229" s="7">
        <f t="shared" si="193"/>
        <v>0</v>
      </c>
      <c r="Z229" s="100"/>
      <c r="AA229" s="7">
        <f t="shared" si="212"/>
        <v>0</v>
      </c>
      <c r="AB229" s="2"/>
      <c r="AC229" s="2"/>
      <c r="AD229" s="2"/>
      <c r="AE229" s="2"/>
      <c r="AF229" s="2"/>
      <c r="AG229" s="1"/>
      <c r="AH229" s="1"/>
      <c r="AI229" s="1"/>
      <c r="AJ229" s="1"/>
      <c r="AK229" s="1"/>
      <c r="AL229" s="1"/>
      <c r="AM229" s="1"/>
      <c r="AN229" s="1"/>
      <c r="AO229" s="1"/>
      <c r="AP229" s="1"/>
      <c r="AQ229" s="1"/>
    </row>
    <row r="230" spans="1:43" ht="17.25" thickBot="1" x14ac:dyDescent="0.35">
      <c r="A230" s="147"/>
      <c r="B230" s="97"/>
      <c r="C230" s="107"/>
      <c r="D230" s="150"/>
      <c r="E230" s="150"/>
      <c r="F230" s="100"/>
      <c r="G230" s="7">
        <f t="shared" si="190"/>
        <v>0</v>
      </c>
      <c r="H230" s="100"/>
      <c r="I230" s="7">
        <f t="shared" si="191"/>
        <v>0</v>
      </c>
      <c r="J230" s="100"/>
      <c r="K230" s="7">
        <f t="shared" si="183"/>
        <v>0</v>
      </c>
      <c r="L230" s="100"/>
      <c r="M230" s="7">
        <f t="shared" si="184"/>
        <v>0</v>
      </c>
      <c r="N230" s="100"/>
      <c r="O230" s="7">
        <f t="shared" si="185"/>
        <v>0</v>
      </c>
      <c r="P230" s="100"/>
      <c r="Q230" s="7">
        <f t="shared" si="186"/>
        <v>0</v>
      </c>
      <c r="R230" s="8">
        <f t="shared" si="192"/>
        <v>0</v>
      </c>
      <c r="S230" s="4" t="str">
        <f t="shared" si="180"/>
        <v/>
      </c>
      <c r="T230" s="152"/>
      <c r="U230" s="180"/>
      <c r="V230" s="152"/>
      <c r="W230" s="152"/>
      <c r="X230" s="100"/>
      <c r="Y230" s="7">
        <f t="shared" si="193"/>
        <v>0</v>
      </c>
      <c r="Z230" s="100"/>
      <c r="AA230" s="7">
        <f t="shared" si="212"/>
        <v>0</v>
      </c>
      <c r="AB230" s="2"/>
      <c r="AC230" s="2"/>
      <c r="AD230" s="2"/>
      <c r="AE230" s="2"/>
      <c r="AF230" s="2"/>
      <c r="AG230" s="1"/>
      <c r="AH230" s="1"/>
      <c r="AI230" s="1"/>
      <c r="AJ230" s="1"/>
      <c r="AK230" s="1"/>
      <c r="AL230" s="1"/>
      <c r="AM230" s="1"/>
      <c r="AN230" s="1"/>
      <c r="AO230" s="1"/>
      <c r="AP230" s="1"/>
      <c r="AQ230" s="1"/>
    </row>
    <row r="231" spans="1:43" ht="17.25" thickBot="1" x14ac:dyDescent="0.35">
      <c r="A231" s="148"/>
      <c r="B231" s="98"/>
      <c r="C231" s="108"/>
      <c r="D231" s="151"/>
      <c r="E231" s="151"/>
      <c r="F231" s="101"/>
      <c r="G231" s="39">
        <f t="shared" si="190"/>
        <v>0</v>
      </c>
      <c r="H231" s="101"/>
      <c r="I231" s="39">
        <f t="shared" si="191"/>
        <v>0</v>
      </c>
      <c r="J231" s="101"/>
      <c r="K231" s="39">
        <f t="shared" si="183"/>
        <v>0</v>
      </c>
      <c r="L231" s="101"/>
      <c r="M231" s="39">
        <f t="shared" si="184"/>
        <v>0</v>
      </c>
      <c r="N231" s="101"/>
      <c r="O231" s="39">
        <f t="shared" si="185"/>
        <v>0</v>
      </c>
      <c r="P231" s="101"/>
      <c r="Q231" s="39">
        <f t="shared" si="186"/>
        <v>0</v>
      </c>
      <c r="R231" s="36">
        <f t="shared" si="192"/>
        <v>0</v>
      </c>
      <c r="S231" s="35" t="str">
        <f t="shared" si="180"/>
        <v/>
      </c>
      <c r="T231" s="152"/>
      <c r="U231" s="181"/>
      <c r="V231" s="152"/>
      <c r="W231" s="152"/>
      <c r="X231" s="101"/>
      <c r="Y231" s="39">
        <f t="shared" si="193"/>
        <v>0</v>
      </c>
      <c r="Z231" s="101"/>
      <c r="AA231" s="39">
        <f t="shared" si="212"/>
        <v>0</v>
      </c>
      <c r="AB231" s="1"/>
      <c r="AC231" s="1"/>
      <c r="AD231" s="1"/>
      <c r="AE231" s="1"/>
      <c r="AF231" s="1"/>
      <c r="AG231" s="1"/>
      <c r="AH231" s="1"/>
      <c r="AI231" s="1"/>
      <c r="AJ231" s="1"/>
      <c r="AK231" s="1"/>
      <c r="AL231" s="1"/>
      <c r="AM231" s="1"/>
      <c r="AN231" s="1"/>
      <c r="AO231" s="1"/>
      <c r="AP231" s="1"/>
      <c r="AQ231" s="1"/>
    </row>
    <row r="232" spans="1:43" ht="16.5" x14ac:dyDescent="0.3">
      <c r="A232" s="41"/>
      <c r="B232" s="42"/>
      <c r="C232" s="42"/>
      <c r="D232" s="42"/>
      <c r="E232" s="42"/>
      <c r="F232" s="42"/>
      <c r="G232" s="42"/>
      <c r="H232" s="42"/>
      <c r="I232" s="42"/>
      <c r="J232" s="42"/>
      <c r="K232" s="42"/>
      <c r="L232" s="42"/>
      <c r="M232" s="42"/>
      <c r="N232" s="42"/>
      <c r="O232" s="42"/>
      <c r="P232" s="42"/>
      <c r="Q232" s="42" t="s">
        <v>39</v>
      </c>
      <c r="R232" s="42">
        <f>AVERAGEIF(R10:R231,"&gt;0",R10:R231)</f>
        <v>0.34290202020202037</v>
      </c>
      <c r="S232" s="42" t="s">
        <v>40</v>
      </c>
      <c r="T232" s="2"/>
      <c r="U232" s="2"/>
      <c r="V232" s="2"/>
      <c r="W232" s="2"/>
      <c r="X232" s="42"/>
      <c r="Y232" s="42"/>
      <c r="Z232" s="42"/>
      <c r="AA232" s="42"/>
      <c r="AB232" s="1"/>
      <c r="AC232" s="1"/>
      <c r="AD232" s="1"/>
      <c r="AE232" s="1"/>
      <c r="AF232" s="1"/>
      <c r="AG232" s="1"/>
      <c r="AH232" s="1"/>
      <c r="AI232" s="1"/>
      <c r="AJ232" s="1"/>
      <c r="AK232" s="1"/>
      <c r="AL232" s="1"/>
      <c r="AM232" s="1"/>
      <c r="AN232" s="1"/>
      <c r="AO232" s="1"/>
      <c r="AP232" s="1"/>
      <c r="AQ232" s="1"/>
    </row>
    <row r="233" spans="1:43" ht="16.5" x14ac:dyDescent="0.3">
      <c r="A233" s="43"/>
      <c r="B233" s="44"/>
      <c r="C233" s="44"/>
      <c r="D233" s="44"/>
      <c r="E233" s="44"/>
      <c r="F233" s="44"/>
      <c r="G233" s="44"/>
      <c r="H233" s="44"/>
      <c r="I233" s="44"/>
      <c r="J233" s="44"/>
      <c r="K233" s="44"/>
      <c r="L233" s="44"/>
      <c r="M233" s="44"/>
      <c r="N233" s="44"/>
      <c r="O233" s="44"/>
      <c r="P233" s="44"/>
      <c r="Q233" s="44"/>
      <c r="R233" s="44"/>
      <c r="S233" s="44"/>
      <c r="T233" s="2"/>
      <c r="U233" s="2"/>
      <c r="V233" s="2"/>
      <c r="W233" s="2"/>
      <c r="X233" s="44"/>
      <c r="Y233" s="44"/>
      <c r="Z233" s="44"/>
      <c r="AA233" s="44"/>
      <c r="AB233" s="1"/>
      <c r="AC233" s="1"/>
      <c r="AD233" s="1"/>
      <c r="AE233" s="1"/>
      <c r="AF233" s="1"/>
      <c r="AG233" s="1"/>
      <c r="AH233" s="1"/>
      <c r="AI233" s="1"/>
      <c r="AJ233" s="1"/>
      <c r="AK233" s="1"/>
      <c r="AL233" s="1"/>
      <c r="AM233" s="1"/>
      <c r="AN233" s="1"/>
      <c r="AO233" s="1"/>
      <c r="AP233" s="1"/>
      <c r="AQ233" s="1"/>
    </row>
    <row r="234" spans="1:43" ht="16.5" x14ac:dyDescent="0.3">
      <c r="A234" s="43"/>
      <c r="B234" s="44"/>
      <c r="C234" s="44"/>
      <c r="D234" s="44"/>
      <c r="E234" s="44"/>
      <c r="F234" s="44"/>
      <c r="G234" s="44"/>
      <c r="H234" s="44"/>
      <c r="I234" s="44"/>
      <c r="J234" s="44"/>
      <c r="K234" s="44"/>
      <c r="L234" s="44"/>
      <c r="M234" s="44"/>
      <c r="N234" s="44"/>
      <c r="O234" s="44"/>
      <c r="P234" s="44"/>
      <c r="Q234" s="44"/>
      <c r="R234" s="44"/>
      <c r="S234" s="44"/>
      <c r="T234" s="2"/>
      <c r="U234" s="2"/>
      <c r="V234" s="2"/>
      <c r="W234" s="2"/>
      <c r="X234" s="44"/>
      <c r="Y234" s="44"/>
      <c r="Z234" s="44"/>
      <c r="AA234" s="44"/>
      <c r="AB234" s="1"/>
      <c r="AC234" s="1"/>
      <c r="AD234" s="1"/>
      <c r="AE234" s="1"/>
      <c r="AF234" s="1"/>
      <c r="AG234" s="1"/>
      <c r="AH234" s="1"/>
      <c r="AI234" s="1"/>
      <c r="AJ234" s="1"/>
      <c r="AK234" s="1"/>
      <c r="AL234" s="1"/>
      <c r="AM234" s="1"/>
      <c r="AN234" s="1"/>
      <c r="AO234" s="1"/>
      <c r="AP234" s="1"/>
      <c r="AQ234" s="1"/>
    </row>
    <row r="235" spans="1:43" ht="16.5" x14ac:dyDescent="0.3">
      <c r="A235" s="43"/>
      <c r="B235" s="44"/>
      <c r="C235" s="44"/>
      <c r="D235" s="44"/>
      <c r="E235" s="44"/>
      <c r="F235" s="44"/>
      <c r="G235" s="44"/>
      <c r="H235" s="44"/>
      <c r="I235" s="44"/>
      <c r="J235" s="44"/>
      <c r="K235" s="44"/>
      <c r="L235" s="44"/>
      <c r="M235" s="44"/>
      <c r="N235" s="44"/>
      <c r="O235" s="44"/>
      <c r="P235" s="44"/>
      <c r="Q235" s="44"/>
      <c r="R235" s="44"/>
      <c r="S235" s="44"/>
      <c r="T235" s="2"/>
      <c r="U235" s="2"/>
      <c r="V235" s="2"/>
      <c r="W235" s="2"/>
      <c r="X235" s="44"/>
      <c r="Y235" s="44"/>
      <c r="Z235" s="44"/>
      <c r="AA235" s="44"/>
      <c r="AB235" s="1"/>
      <c r="AC235" s="1"/>
      <c r="AD235" s="1"/>
      <c r="AE235" s="1"/>
      <c r="AF235" s="1"/>
      <c r="AG235" s="1"/>
      <c r="AH235" s="1"/>
      <c r="AI235" s="1"/>
      <c r="AJ235" s="1"/>
      <c r="AK235" s="1"/>
      <c r="AL235" s="1"/>
      <c r="AM235" s="1"/>
      <c r="AN235" s="1"/>
      <c r="AO235" s="1"/>
      <c r="AP235" s="1"/>
      <c r="AQ235" s="1"/>
    </row>
    <row r="236" spans="1:43" ht="16.5" x14ac:dyDescent="0.3">
      <c r="A236" s="43"/>
      <c r="B236" s="44"/>
      <c r="C236" s="44"/>
      <c r="D236" s="44"/>
      <c r="E236" s="44"/>
      <c r="F236" s="44"/>
      <c r="G236" s="44"/>
      <c r="H236" s="44"/>
      <c r="I236" s="44"/>
      <c r="J236" s="44"/>
      <c r="K236" s="44"/>
      <c r="L236" s="44"/>
      <c r="M236" s="44"/>
      <c r="N236" s="44"/>
      <c r="O236" s="44"/>
      <c r="P236" s="44"/>
      <c r="Q236" s="44"/>
      <c r="R236" s="44"/>
      <c r="S236" s="44"/>
      <c r="T236" s="2"/>
      <c r="U236" s="2"/>
      <c r="V236" s="2"/>
      <c r="W236" s="2"/>
      <c r="X236" s="44"/>
      <c r="Y236" s="44"/>
      <c r="Z236" s="44"/>
      <c r="AA236" s="44"/>
      <c r="AB236" s="1"/>
      <c r="AC236" s="1"/>
      <c r="AD236" s="1"/>
      <c r="AE236" s="1"/>
      <c r="AF236" s="1"/>
      <c r="AG236" s="1"/>
      <c r="AH236" s="1"/>
      <c r="AI236" s="1"/>
      <c r="AJ236" s="1"/>
      <c r="AK236" s="1"/>
      <c r="AL236" s="1"/>
      <c r="AM236" s="1"/>
      <c r="AN236" s="1"/>
      <c r="AO236" s="1"/>
      <c r="AP236" s="1"/>
      <c r="AQ236" s="1"/>
    </row>
    <row r="237" spans="1:43" ht="16.5" x14ac:dyDescent="0.3">
      <c r="A237" s="43"/>
      <c r="B237" s="44"/>
      <c r="C237" s="44"/>
      <c r="D237" s="44"/>
      <c r="E237" s="44"/>
      <c r="F237" s="44"/>
      <c r="G237" s="44"/>
      <c r="H237" s="44"/>
      <c r="I237" s="44"/>
      <c r="J237" s="44"/>
      <c r="K237" s="44"/>
      <c r="L237" s="44"/>
      <c r="M237" s="44"/>
      <c r="N237" s="44"/>
      <c r="O237" s="44"/>
      <c r="P237" s="44"/>
      <c r="Q237" s="44"/>
      <c r="R237" s="44"/>
      <c r="S237" s="44"/>
      <c r="T237" s="2"/>
      <c r="U237" s="2"/>
      <c r="V237" s="2"/>
      <c r="W237" s="2"/>
      <c r="X237" s="44"/>
      <c r="Y237" s="44"/>
      <c r="Z237" s="44"/>
      <c r="AA237" s="44"/>
      <c r="AB237" s="1"/>
      <c r="AC237" s="1"/>
      <c r="AD237" s="1"/>
      <c r="AE237" s="1"/>
      <c r="AF237" s="1"/>
      <c r="AG237" s="1"/>
      <c r="AH237" s="1"/>
      <c r="AI237" s="1"/>
      <c r="AJ237" s="1"/>
      <c r="AK237" s="1"/>
      <c r="AL237" s="1"/>
      <c r="AM237" s="1"/>
      <c r="AN237" s="1"/>
      <c r="AO237" s="1"/>
      <c r="AP237" s="1"/>
      <c r="AQ237" s="1"/>
    </row>
    <row r="238" spans="1:43" ht="16.5" x14ac:dyDescent="0.3">
      <c r="A238" s="43"/>
      <c r="B238" s="44"/>
      <c r="C238" s="44"/>
      <c r="D238" s="44"/>
      <c r="E238" s="44"/>
      <c r="F238" s="44"/>
      <c r="G238" s="44"/>
      <c r="H238" s="44"/>
      <c r="I238" s="44"/>
      <c r="J238" s="44"/>
      <c r="K238" s="44"/>
      <c r="L238" s="44"/>
      <c r="M238" s="44"/>
      <c r="N238" s="44"/>
      <c r="O238" s="44"/>
      <c r="P238" s="44"/>
      <c r="Q238" s="44"/>
      <c r="R238" s="44"/>
      <c r="S238" s="44"/>
      <c r="T238" s="2"/>
      <c r="U238" s="2"/>
      <c r="V238" s="2"/>
      <c r="W238" s="2"/>
      <c r="X238" s="44"/>
      <c r="Y238" s="44"/>
      <c r="Z238" s="44"/>
      <c r="AA238" s="44"/>
      <c r="AB238" s="1"/>
      <c r="AC238" s="1"/>
      <c r="AD238" s="1"/>
      <c r="AE238" s="1"/>
      <c r="AF238" s="1"/>
      <c r="AG238" s="1"/>
      <c r="AH238" s="1"/>
      <c r="AI238" s="1"/>
      <c r="AJ238" s="1"/>
      <c r="AK238" s="1"/>
      <c r="AL238" s="1"/>
      <c r="AM238" s="1"/>
      <c r="AN238" s="1"/>
      <c r="AO238" s="1"/>
      <c r="AP238" s="1"/>
      <c r="AQ238" s="1"/>
    </row>
    <row r="239" spans="1:43" ht="16.5" x14ac:dyDescent="0.3">
      <c r="A239" s="43"/>
      <c r="B239" s="44"/>
      <c r="C239" s="44"/>
      <c r="D239" s="44"/>
      <c r="E239" s="44"/>
      <c r="F239" s="44"/>
      <c r="G239" s="44"/>
      <c r="H239" s="44"/>
      <c r="I239" s="44"/>
      <c r="J239" s="44"/>
      <c r="K239" s="44"/>
      <c r="L239" s="44"/>
      <c r="M239" s="44"/>
      <c r="N239" s="44"/>
      <c r="O239" s="44"/>
      <c r="P239" s="44"/>
      <c r="Q239" s="44"/>
      <c r="R239" s="44"/>
      <c r="S239" s="44"/>
      <c r="T239" s="2"/>
      <c r="U239" s="2"/>
      <c r="V239" s="2"/>
      <c r="W239" s="2"/>
      <c r="X239" s="44"/>
      <c r="Y239" s="44"/>
      <c r="Z239" s="44"/>
      <c r="AA239" s="44"/>
      <c r="AB239" s="1"/>
      <c r="AC239" s="1"/>
      <c r="AD239" s="1"/>
      <c r="AE239" s="1"/>
      <c r="AF239" s="1"/>
      <c r="AG239" s="1"/>
      <c r="AH239" s="1"/>
      <c r="AI239" s="1"/>
      <c r="AJ239" s="1"/>
      <c r="AK239" s="1"/>
      <c r="AL239" s="1"/>
      <c r="AM239" s="1"/>
      <c r="AN239" s="1"/>
      <c r="AO239" s="1"/>
      <c r="AP239" s="1"/>
      <c r="AQ239" s="1"/>
    </row>
    <row r="240" spans="1:43" ht="16.5" x14ac:dyDescent="0.3">
      <c r="A240" s="43"/>
      <c r="B240" s="44"/>
      <c r="C240" s="44"/>
      <c r="D240" s="44"/>
      <c r="E240" s="44"/>
      <c r="F240" s="44"/>
      <c r="G240" s="44"/>
      <c r="H240" s="44"/>
      <c r="I240" s="44"/>
      <c r="J240" s="44"/>
      <c r="K240" s="44"/>
      <c r="L240" s="44"/>
      <c r="M240" s="44"/>
      <c r="N240" s="44"/>
      <c r="O240" s="44"/>
      <c r="P240" s="44"/>
      <c r="Q240" s="44"/>
      <c r="R240" s="44"/>
      <c r="S240" s="44"/>
      <c r="T240" s="2"/>
      <c r="U240" s="2"/>
      <c r="V240" s="2"/>
      <c r="W240" s="2"/>
      <c r="X240" s="44"/>
      <c r="Y240" s="44"/>
      <c r="Z240" s="44"/>
      <c r="AA240" s="44"/>
      <c r="AB240" s="1"/>
      <c r="AC240" s="1"/>
      <c r="AD240" s="1"/>
      <c r="AE240" s="1"/>
      <c r="AF240" s="1"/>
      <c r="AG240" s="1"/>
      <c r="AH240" s="1"/>
      <c r="AI240" s="1"/>
      <c r="AJ240" s="1"/>
      <c r="AK240" s="1"/>
      <c r="AL240" s="1"/>
      <c r="AM240" s="1"/>
      <c r="AN240" s="1"/>
      <c r="AO240" s="1"/>
      <c r="AP240" s="1"/>
      <c r="AQ240" s="1"/>
    </row>
    <row r="241" spans="1:43" ht="16.5" x14ac:dyDescent="0.3">
      <c r="A241" s="43"/>
      <c r="B241" s="44"/>
      <c r="C241" s="44"/>
      <c r="D241" s="44"/>
      <c r="E241" s="44"/>
      <c r="F241" s="44"/>
      <c r="G241" s="44"/>
      <c r="H241" s="44"/>
      <c r="I241" s="44"/>
      <c r="J241" s="44"/>
      <c r="K241" s="44"/>
      <c r="L241" s="44"/>
      <c r="M241" s="44"/>
      <c r="N241" s="44"/>
      <c r="O241" s="44"/>
      <c r="P241" s="44"/>
      <c r="Q241" s="44"/>
      <c r="R241" s="44"/>
      <c r="S241" s="44"/>
      <c r="T241" s="2"/>
      <c r="U241" s="2"/>
      <c r="V241" s="2"/>
      <c r="W241" s="2"/>
      <c r="X241" s="44"/>
      <c r="Y241" s="44"/>
      <c r="Z241" s="44"/>
      <c r="AA241" s="44"/>
      <c r="AB241" s="1"/>
      <c r="AC241" s="1"/>
      <c r="AD241" s="1"/>
      <c r="AE241" s="1"/>
      <c r="AF241" s="1"/>
      <c r="AG241" s="1"/>
      <c r="AH241" s="1"/>
      <c r="AI241" s="1"/>
      <c r="AJ241" s="1"/>
      <c r="AK241" s="1"/>
      <c r="AL241" s="1"/>
      <c r="AM241" s="1"/>
      <c r="AN241" s="1"/>
      <c r="AO241" s="1"/>
      <c r="AP241" s="1"/>
      <c r="AQ241" s="1"/>
    </row>
    <row r="242" spans="1:43" ht="16.5" x14ac:dyDescent="0.3">
      <c r="A242" s="43"/>
      <c r="B242" s="44"/>
      <c r="C242" s="44"/>
      <c r="D242" s="44"/>
      <c r="E242" s="44"/>
      <c r="F242" s="44"/>
      <c r="G242" s="44"/>
      <c r="H242" s="44"/>
      <c r="I242" s="44"/>
      <c r="J242" s="44"/>
      <c r="K242" s="44"/>
      <c r="L242" s="44"/>
      <c r="M242" s="44"/>
      <c r="N242" s="44"/>
      <c r="O242" s="44"/>
      <c r="P242" s="44"/>
      <c r="Q242" s="44"/>
      <c r="R242" s="44"/>
      <c r="S242" s="44"/>
      <c r="T242" s="2"/>
      <c r="U242" s="2"/>
      <c r="V242" s="2"/>
      <c r="W242" s="2"/>
      <c r="X242" s="44"/>
      <c r="Y242" s="44"/>
      <c r="Z242" s="44"/>
      <c r="AA242" s="44"/>
      <c r="AB242" s="1"/>
      <c r="AC242" s="1"/>
      <c r="AD242" s="1"/>
      <c r="AE242" s="1"/>
      <c r="AF242" s="1"/>
      <c r="AG242" s="1"/>
      <c r="AH242" s="1"/>
      <c r="AI242" s="1"/>
      <c r="AJ242" s="1"/>
      <c r="AK242" s="1"/>
      <c r="AL242" s="1"/>
      <c r="AM242" s="1"/>
      <c r="AN242" s="1"/>
      <c r="AO242" s="1"/>
      <c r="AP242" s="1"/>
      <c r="AQ242" s="1"/>
    </row>
    <row r="243" spans="1:43" ht="16.5" x14ac:dyDescent="0.3">
      <c r="A243" s="43"/>
      <c r="B243" s="44"/>
      <c r="C243" s="44"/>
      <c r="D243" s="44"/>
      <c r="E243" s="44"/>
      <c r="F243" s="44"/>
      <c r="G243" s="44"/>
      <c r="H243" s="44"/>
      <c r="I243" s="44"/>
      <c r="J243" s="44"/>
      <c r="K243" s="44"/>
      <c r="L243" s="44"/>
      <c r="M243" s="44"/>
      <c r="N243" s="44"/>
      <c r="O243" s="44"/>
      <c r="P243" s="44"/>
      <c r="Q243" s="44"/>
      <c r="R243" s="44"/>
      <c r="S243" s="44"/>
      <c r="T243" s="2"/>
      <c r="U243" s="2"/>
      <c r="V243" s="2"/>
      <c r="W243" s="2"/>
      <c r="X243" s="44"/>
      <c r="Y243" s="44"/>
      <c r="Z243" s="44"/>
      <c r="AA243" s="44"/>
      <c r="AB243" s="1"/>
      <c r="AC243" s="1"/>
      <c r="AD243" s="1"/>
      <c r="AE243" s="1"/>
      <c r="AF243" s="1"/>
      <c r="AG243" s="1"/>
      <c r="AH243" s="1"/>
      <c r="AI243" s="1"/>
      <c r="AJ243" s="1"/>
      <c r="AK243" s="1"/>
      <c r="AL243" s="1"/>
      <c r="AM243" s="1"/>
      <c r="AN243" s="1"/>
      <c r="AO243" s="1"/>
      <c r="AP243" s="1"/>
      <c r="AQ243" s="1"/>
    </row>
    <row r="244" spans="1:43" ht="16.5" x14ac:dyDescent="0.3">
      <c r="A244" s="43"/>
      <c r="B244" s="44"/>
      <c r="C244" s="44"/>
      <c r="D244" s="44"/>
      <c r="E244" s="44"/>
      <c r="F244" s="44"/>
      <c r="G244" s="44"/>
      <c r="H244" s="44"/>
      <c r="I244" s="44"/>
      <c r="J244" s="44"/>
      <c r="K244" s="44"/>
      <c r="L244" s="44"/>
      <c r="M244" s="44"/>
      <c r="N244" s="44"/>
      <c r="O244" s="44"/>
      <c r="P244" s="44"/>
      <c r="Q244" s="44"/>
      <c r="R244" s="44"/>
      <c r="S244" s="44"/>
      <c r="T244" s="2"/>
      <c r="U244" s="2"/>
      <c r="V244" s="2"/>
      <c r="W244" s="2"/>
      <c r="X244" s="44"/>
      <c r="Y244" s="44"/>
      <c r="Z244" s="44"/>
      <c r="AA244" s="44"/>
      <c r="AB244" s="1"/>
      <c r="AC244" s="1"/>
      <c r="AD244" s="1"/>
      <c r="AE244" s="1"/>
      <c r="AF244" s="1"/>
      <c r="AG244" s="1"/>
      <c r="AH244" s="1"/>
      <c r="AI244" s="1"/>
      <c r="AJ244" s="1"/>
      <c r="AK244" s="1"/>
      <c r="AL244" s="1"/>
      <c r="AM244" s="1"/>
      <c r="AN244" s="1"/>
      <c r="AO244" s="1"/>
      <c r="AP244" s="1"/>
      <c r="AQ244" s="1"/>
    </row>
    <row r="245" spans="1:43" ht="16.5" x14ac:dyDescent="0.3">
      <c r="A245" s="43"/>
      <c r="B245" s="44"/>
      <c r="C245" s="44"/>
      <c r="D245" s="44"/>
      <c r="E245" s="44"/>
      <c r="F245" s="44"/>
      <c r="G245" s="44"/>
      <c r="H245" s="44"/>
      <c r="I245" s="44"/>
      <c r="J245" s="44"/>
      <c r="K245" s="44"/>
      <c r="L245" s="44"/>
      <c r="M245" s="44"/>
      <c r="N245" s="44"/>
      <c r="O245" s="44"/>
      <c r="P245" s="44"/>
      <c r="Q245" s="44"/>
      <c r="R245" s="44"/>
      <c r="S245" s="44"/>
      <c r="T245" s="2"/>
      <c r="U245" s="2"/>
      <c r="V245" s="2"/>
      <c r="W245" s="2"/>
      <c r="X245" s="44"/>
      <c r="Y245" s="44"/>
      <c r="Z245" s="44"/>
      <c r="AA245" s="44"/>
      <c r="AB245" s="1"/>
      <c r="AC245" s="1"/>
      <c r="AD245" s="1"/>
      <c r="AE245" s="1"/>
      <c r="AF245" s="1"/>
      <c r="AG245" s="1"/>
      <c r="AH245" s="1"/>
      <c r="AI245" s="1"/>
      <c r="AJ245" s="1"/>
      <c r="AK245" s="1"/>
      <c r="AL245" s="1"/>
      <c r="AM245" s="1"/>
      <c r="AN245" s="1"/>
      <c r="AO245" s="1"/>
      <c r="AP245" s="1"/>
      <c r="AQ245" s="1"/>
    </row>
    <row r="246" spans="1:43" ht="16.5" x14ac:dyDescent="0.3">
      <c r="A246" s="43"/>
      <c r="B246" s="44"/>
      <c r="C246" s="44"/>
      <c r="D246" s="44"/>
      <c r="E246" s="44"/>
      <c r="F246" s="44"/>
      <c r="G246" s="44"/>
      <c r="H246" s="44"/>
      <c r="I246" s="44"/>
      <c r="J246" s="44"/>
      <c r="K246" s="44"/>
      <c r="L246" s="44"/>
      <c r="M246" s="44"/>
      <c r="N246" s="44"/>
      <c r="O246" s="44"/>
      <c r="P246" s="44"/>
      <c r="Q246" s="44"/>
      <c r="R246" s="44"/>
      <c r="S246" s="44"/>
      <c r="T246" s="2"/>
      <c r="U246" s="2"/>
      <c r="V246" s="2"/>
      <c r="W246" s="2"/>
      <c r="X246" s="44"/>
      <c r="Y246" s="44"/>
      <c r="Z246" s="44"/>
      <c r="AA246" s="44"/>
      <c r="AB246" s="1"/>
      <c r="AC246" s="1"/>
      <c r="AD246" s="1"/>
      <c r="AE246" s="1"/>
      <c r="AF246" s="1"/>
      <c r="AG246" s="1"/>
      <c r="AH246" s="1"/>
      <c r="AI246" s="1"/>
      <c r="AJ246" s="1"/>
      <c r="AK246" s="1"/>
      <c r="AL246" s="1"/>
      <c r="AM246" s="1"/>
      <c r="AN246" s="1"/>
      <c r="AO246" s="1"/>
      <c r="AP246" s="1"/>
      <c r="AQ246" s="1"/>
    </row>
    <row r="247" spans="1:43" ht="16.5" x14ac:dyDescent="0.3">
      <c r="A247" s="43"/>
      <c r="B247" s="44"/>
      <c r="C247" s="44"/>
      <c r="D247" s="44"/>
      <c r="E247" s="44"/>
      <c r="F247" s="44"/>
      <c r="G247" s="44"/>
      <c r="H247" s="44"/>
      <c r="I247" s="44"/>
      <c r="J247" s="44"/>
      <c r="K247" s="44"/>
      <c r="L247" s="44"/>
      <c r="M247" s="44"/>
      <c r="N247" s="44"/>
      <c r="O247" s="44"/>
      <c r="P247" s="44"/>
      <c r="Q247" s="44"/>
      <c r="R247" s="44"/>
      <c r="S247" s="44"/>
      <c r="T247" s="2"/>
      <c r="U247" s="2"/>
      <c r="V247" s="2"/>
      <c r="W247" s="2"/>
      <c r="X247" s="44"/>
      <c r="Y247" s="44"/>
      <c r="Z247" s="44"/>
      <c r="AA247" s="44"/>
      <c r="AB247" s="1"/>
      <c r="AC247" s="1"/>
      <c r="AD247" s="1"/>
      <c r="AE247" s="1"/>
      <c r="AF247" s="1"/>
      <c r="AG247" s="1"/>
      <c r="AH247" s="1"/>
      <c r="AI247" s="1"/>
      <c r="AJ247" s="1"/>
      <c r="AK247" s="1"/>
      <c r="AL247" s="1"/>
      <c r="AM247" s="1"/>
      <c r="AN247" s="1"/>
      <c r="AO247" s="1"/>
      <c r="AP247" s="1"/>
      <c r="AQ247" s="1"/>
    </row>
    <row r="248" spans="1:43" ht="16.5" x14ac:dyDescent="0.3">
      <c r="A248" s="43"/>
      <c r="B248" s="44"/>
      <c r="C248" s="44"/>
      <c r="D248" s="44"/>
      <c r="E248" s="44"/>
      <c r="F248" s="44"/>
      <c r="G248" s="44"/>
      <c r="H248" s="44"/>
      <c r="I248" s="44"/>
      <c r="J248" s="44"/>
      <c r="K248" s="44"/>
      <c r="L248" s="44"/>
      <c r="M248" s="44"/>
      <c r="N248" s="44"/>
      <c r="O248" s="44"/>
      <c r="P248" s="44"/>
      <c r="Q248" s="44"/>
      <c r="R248" s="44"/>
      <c r="S248" s="44"/>
      <c r="T248" s="2"/>
      <c r="U248" s="2"/>
      <c r="V248" s="2"/>
      <c r="W248" s="2"/>
      <c r="X248" s="44"/>
      <c r="Y248" s="44"/>
      <c r="Z248" s="44"/>
      <c r="AA248" s="44"/>
      <c r="AB248" s="1"/>
      <c r="AC248" s="1"/>
      <c r="AD248" s="1"/>
      <c r="AE248" s="1"/>
      <c r="AF248" s="1"/>
      <c r="AG248" s="1"/>
      <c r="AH248" s="1"/>
      <c r="AI248" s="1"/>
      <c r="AJ248" s="1"/>
      <c r="AK248" s="1"/>
      <c r="AL248" s="1"/>
      <c r="AM248" s="1"/>
      <c r="AN248" s="1"/>
      <c r="AO248" s="1"/>
      <c r="AP248" s="1"/>
      <c r="AQ248" s="1"/>
    </row>
    <row r="249" spans="1:43" ht="16.5" x14ac:dyDescent="0.3">
      <c r="A249" s="43"/>
      <c r="B249" s="44"/>
      <c r="C249" s="44"/>
      <c r="D249" s="44"/>
      <c r="E249" s="44"/>
      <c r="F249" s="44"/>
      <c r="G249" s="44"/>
      <c r="H249" s="44"/>
      <c r="I249" s="44"/>
      <c r="J249" s="44"/>
      <c r="K249" s="44"/>
      <c r="L249" s="44"/>
      <c r="M249" s="44"/>
      <c r="N249" s="44"/>
      <c r="O249" s="44"/>
      <c r="P249" s="44"/>
      <c r="Q249" s="44"/>
      <c r="R249" s="44"/>
      <c r="S249" s="44"/>
      <c r="T249" s="2"/>
      <c r="U249" s="2"/>
      <c r="V249" s="2"/>
      <c r="W249" s="2"/>
      <c r="X249" s="44"/>
      <c r="Y249" s="44"/>
      <c r="Z249" s="44"/>
      <c r="AA249" s="44"/>
      <c r="AB249" s="1"/>
      <c r="AC249" s="1"/>
      <c r="AD249" s="1"/>
      <c r="AE249" s="1"/>
      <c r="AF249" s="1"/>
      <c r="AG249" s="1"/>
      <c r="AH249" s="1"/>
      <c r="AI249" s="1"/>
      <c r="AJ249" s="1"/>
      <c r="AK249" s="1"/>
      <c r="AL249" s="1"/>
      <c r="AM249" s="1"/>
      <c r="AN249" s="1"/>
      <c r="AO249" s="1"/>
      <c r="AP249" s="1"/>
      <c r="AQ249" s="1"/>
    </row>
    <row r="250" spans="1:43" ht="16.5" x14ac:dyDescent="0.3">
      <c r="A250" s="43"/>
      <c r="B250" s="44"/>
      <c r="C250" s="44"/>
      <c r="D250" s="44"/>
      <c r="E250" s="44"/>
      <c r="F250" s="44"/>
      <c r="G250" s="44"/>
      <c r="H250" s="44"/>
      <c r="I250" s="44"/>
      <c r="J250" s="44"/>
      <c r="K250" s="44"/>
      <c r="L250" s="44"/>
      <c r="M250" s="44"/>
      <c r="N250" s="44"/>
      <c r="O250" s="44"/>
      <c r="P250" s="44"/>
      <c r="Q250" s="44"/>
      <c r="R250" s="44"/>
      <c r="S250" s="44"/>
      <c r="T250" s="2"/>
      <c r="U250" s="2"/>
      <c r="V250" s="2"/>
      <c r="W250" s="2"/>
      <c r="X250" s="44"/>
      <c r="Y250" s="44"/>
      <c r="Z250" s="44"/>
      <c r="AA250" s="44"/>
      <c r="AB250" s="1"/>
      <c r="AC250" s="1"/>
      <c r="AD250" s="1"/>
      <c r="AE250" s="1"/>
      <c r="AF250" s="1"/>
      <c r="AG250" s="1"/>
      <c r="AH250" s="1"/>
      <c r="AI250" s="1"/>
      <c r="AJ250" s="1"/>
      <c r="AK250" s="1"/>
      <c r="AL250" s="1"/>
      <c r="AM250" s="1"/>
      <c r="AN250" s="1"/>
      <c r="AO250" s="1"/>
      <c r="AP250" s="1"/>
      <c r="AQ250" s="1"/>
    </row>
    <row r="251" spans="1:43" ht="16.5" x14ac:dyDescent="0.3">
      <c r="A251" s="43"/>
      <c r="B251" s="44"/>
      <c r="C251" s="44"/>
      <c r="D251" s="44"/>
      <c r="E251" s="44"/>
      <c r="F251" s="44"/>
      <c r="G251" s="44"/>
      <c r="H251" s="44"/>
      <c r="I251" s="44"/>
      <c r="J251" s="44"/>
      <c r="K251" s="44"/>
      <c r="L251" s="44"/>
      <c r="M251" s="44"/>
      <c r="N251" s="44"/>
      <c r="O251" s="44"/>
      <c r="P251" s="44"/>
      <c r="Q251" s="44"/>
      <c r="R251" s="44"/>
      <c r="S251" s="44"/>
      <c r="T251" s="2"/>
      <c r="U251" s="2"/>
      <c r="V251" s="2"/>
      <c r="W251" s="2"/>
      <c r="X251" s="44"/>
      <c r="Y251" s="44"/>
      <c r="Z251" s="44"/>
      <c r="AA251" s="44"/>
      <c r="AB251" s="1"/>
      <c r="AC251" s="1"/>
      <c r="AD251" s="1"/>
      <c r="AE251" s="1"/>
      <c r="AF251" s="1"/>
      <c r="AG251" s="1"/>
      <c r="AH251" s="1"/>
      <c r="AI251" s="1"/>
      <c r="AJ251" s="1"/>
      <c r="AK251" s="1"/>
      <c r="AL251" s="1"/>
      <c r="AM251" s="1"/>
      <c r="AN251" s="1"/>
      <c r="AO251" s="1"/>
      <c r="AP251" s="1"/>
      <c r="AQ251" s="1"/>
    </row>
    <row r="252" spans="1:43" ht="16.5" x14ac:dyDescent="0.3">
      <c r="A252" s="43"/>
      <c r="B252" s="44"/>
      <c r="C252" s="44"/>
      <c r="D252" s="44"/>
      <c r="E252" s="44"/>
      <c r="F252" s="44"/>
      <c r="G252" s="44"/>
      <c r="H252" s="44"/>
      <c r="I252" s="44"/>
      <c r="J252" s="44"/>
      <c r="K252" s="44"/>
      <c r="L252" s="44"/>
      <c r="M252" s="44"/>
      <c r="N252" s="44"/>
      <c r="O252" s="44"/>
      <c r="P252" s="44"/>
      <c r="Q252" s="44"/>
      <c r="R252" s="44"/>
      <c r="S252" s="44"/>
      <c r="T252" s="2"/>
      <c r="U252" s="2"/>
      <c r="V252" s="2"/>
      <c r="W252" s="2"/>
      <c r="X252" s="44"/>
      <c r="Y252" s="44"/>
      <c r="Z252" s="44"/>
      <c r="AA252" s="44"/>
      <c r="AB252" s="1"/>
      <c r="AC252" s="1"/>
      <c r="AD252" s="1"/>
      <c r="AE252" s="1"/>
      <c r="AF252" s="1"/>
      <c r="AG252" s="1"/>
      <c r="AH252" s="1"/>
      <c r="AI252" s="1"/>
      <c r="AJ252" s="1"/>
      <c r="AK252" s="1"/>
      <c r="AL252" s="1"/>
      <c r="AM252" s="1"/>
      <c r="AN252" s="1"/>
      <c r="AO252" s="1"/>
      <c r="AP252" s="1"/>
      <c r="AQ252" s="1"/>
    </row>
    <row r="253" spans="1:43" ht="16.5" x14ac:dyDescent="0.3">
      <c r="A253" s="43"/>
      <c r="B253" s="44"/>
      <c r="C253" s="44"/>
      <c r="D253" s="44"/>
      <c r="E253" s="44"/>
      <c r="F253" s="44"/>
      <c r="G253" s="44"/>
      <c r="H253" s="44"/>
      <c r="I253" s="44"/>
      <c r="J253" s="44"/>
      <c r="K253" s="44"/>
      <c r="L253" s="44"/>
      <c r="M253" s="44"/>
      <c r="N253" s="44"/>
      <c r="O253" s="44"/>
      <c r="P253" s="44"/>
      <c r="Q253" s="44"/>
      <c r="R253" s="44"/>
      <c r="S253" s="44"/>
      <c r="T253" s="2"/>
      <c r="U253" s="2"/>
      <c r="V253" s="2"/>
      <c r="W253" s="2"/>
      <c r="X253" s="44"/>
      <c r="Y253" s="44"/>
      <c r="Z253" s="44"/>
      <c r="AA253" s="44"/>
      <c r="AB253" s="1"/>
      <c r="AC253" s="1"/>
      <c r="AD253" s="1"/>
      <c r="AE253" s="1"/>
      <c r="AF253" s="1"/>
      <c r="AG253" s="1"/>
      <c r="AH253" s="1"/>
      <c r="AI253" s="1"/>
      <c r="AJ253" s="1"/>
      <c r="AK253" s="1"/>
      <c r="AL253" s="1"/>
      <c r="AM253" s="1"/>
      <c r="AN253" s="1"/>
      <c r="AO253" s="1"/>
      <c r="AP253" s="1"/>
      <c r="AQ253" s="1"/>
    </row>
    <row r="254" spans="1:43" ht="16.5" x14ac:dyDescent="0.3">
      <c r="A254" s="43"/>
      <c r="B254" s="44"/>
      <c r="C254" s="44"/>
      <c r="D254" s="44"/>
      <c r="E254" s="44"/>
      <c r="F254" s="44"/>
      <c r="G254" s="45"/>
      <c r="H254" s="45"/>
      <c r="I254" s="45"/>
      <c r="J254" s="45"/>
      <c r="K254" s="45"/>
      <c r="L254" s="45"/>
      <c r="M254" s="45"/>
      <c r="N254" s="45"/>
      <c r="O254" s="45"/>
      <c r="P254" s="45"/>
      <c r="Q254" s="45"/>
      <c r="R254" s="45"/>
      <c r="S254" s="44"/>
      <c r="T254" s="2"/>
      <c r="U254" s="2"/>
      <c r="V254" s="2"/>
      <c r="W254" s="2"/>
      <c r="X254" s="44"/>
      <c r="Y254" s="45"/>
      <c r="Z254" s="44"/>
      <c r="AA254" s="45"/>
      <c r="AB254" s="1"/>
      <c r="AC254" s="1"/>
      <c r="AD254" s="1"/>
      <c r="AE254" s="1"/>
      <c r="AF254" s="1"/>
      <c r="AG254" s="1"/>
      <c r="AH254" s="1"/>
      <c r="AI254" s="1"/>
      <c r="AJ254" s="1"/>
      <c r="AK254" s="1"/>
      <c r="AL254" s="1"/>
      <c r="AM254" s="1"/>
      <c r="AN254" s="1"/>
      <c r="AO254" s="1"/>
      <c r="AP254" s="1"/>
      <c r="AQ254" s="1"/>
    </row>
    <row r="255" spans="1:43" ht="16.5" x14ac:dyDescent="0.3">
      <c r="A255" s="43"/>
      <c r="B255" s="45"/>
      <c r="C255" s="45"/>
      <c r="D255" s="45"/>
      <c r="E255" s="45"/>
      <c r="F255" s="45"/>
      <c r="G255" s="45"/>
      <c r="H255" s="45"/>
      <c r="I255" s="45"/>
      <c r="J255" s="45"/>
      <c r="K255" s="45"/>
      <c r="L255" s="45"/>
      <c r="M255" s="45"/>
      <c r="N255" s="45"/>
      <c r="O255" s="45"/>
      <c r="P255" s="45"/>
      <c r="Q255" s="45"/>
      <c r="R255" s="45"/>
      <c r="S255" s="45"/>
      <c r="T255" s="1"/>
      <c r="U255" s="1"/>
      <c r="V255" s="1"/>
      <c r="W255" s="1"/>
      <c r="X255" s="45"/>
      <c r="Y255" s="45"/>
      <c r="Z255" s="45"/>
      <c r="AA255" s="45"/>
      <c r="AB255" s="1"/>
      <c r="AC255" s="1"/>
      <c r="AD255" s="1"/>
      <c r="AE255" s="1"/>
      <c r="AF255" s="1"/>
      <c r="AG255" s="1"/>
      <c r="AH255" s="1"/>
      <c r="AI255" s="1"/>
      <c r="AJ255" s="1"/>
      <c r="AK255" s="1"/>
      <c r="AL255" s="1"/>
      <c r="AM255" s="1"/>
      <c r="AN255" s="1"/>
      <c r="AO255" s="1"/>
      <c r="AP255" s="1"/>
      <c r="AQ255" s="1"/>
    </row>
    <row r="256" spans="1:43" ht="16.5" x14ac:dyDescent="0.3">
      <c r="A256" s="43"/>
      <c r="B256" s="45"/>
      <c r="C256" s="45"/>
      <c r="D256" s="45"/>
      <c r="E256" s="45"/>
      <c r="F256" s="45"/>
      <c r="G256" s="45"/>
      <c r="H256" s="45"/>
      <c r="I256" s="45"/>
      <c r="J256" s="45"/>
      <c r="K256" s="45"/>
      <c r="L256" s="45"/>
      <c r="M256" s="45"/>
      <c r="N256" s="45"/>
      <c r="O256" s="45"/>
      <c r="P256" s="45"/>
      <c r="Q256" s="45"/>
      <c r="R256" s="45"/>
      <c r="S256" s="45"/>
      <c r="T256" s="1"/>
      <c r="U256" s="1"/>
      <c r="V256" s="1"/>
      <c r="W256" s="1"/>
      <c r="X256" s="45"/>
      <c r="Y256" s="45"/>
      <c r="Z256" s="45"/>
      <c r="AA256" s="45"/>
      <c r="AB256" s="1"/>
      <c r="AC256" s="1"/>
      <c r="AD256" s="1"/>
      <c r="AE256" s="1"/>
      <c r="AF256" s="1"/>
      <c r="AG256" s="1"/>
      <c r="AH256" s="1"/>
      <c r="AI256" s="1"/>
      <c r="AJ256" s="1"/>
      <c r="AK256" s="1"/>
      <c r="AL256" s="1"/>
      <c r="AM256" s="1"/>
      <c r="AN256" s="1"/>
      <c r="AO256" s="1"/>
      <c r="AP256" s="1"/>
      <c r="AQ256" s="1"/>
    </row>
    <row r="257" spans="1:43" ht="16.5" x14ac:dyDescent="0.3">
      <c r="A257" s="43"/>
      <c r="B257" s="45"/>
      <c r="C257" s="45"/>
      <c r="D257" s="45"/>
      <c r="E257" s="45"/>
      <c r="F257" s="45"/>
      <c r="G257" s="45"/>
      <c r="H257" s="45"/>
      <c r="I257" s="45"/>
      <c r="J257" s="45"/>
      <c r="K257" s="45"/>
      <c r="L257" s="45"/>
      <c r="M257" s="45"/>
      <c r="N257" s="45"/>
      <c r="O257" s="45"/>
      <c r="P257" s="45"/>
      <c r="Q257" s="45"/>
      <c r="R257" s="45"/>
      <c r="S257" s="45"/>
      <c r="T257" s="1"/>
      <c r="U257" s="1"/>
      <c r="V257" s="1"/>
      <c r="W257" s="1"/>
      <c r="X257" s="45"/>
      <c r="Y257" s="45"/>
      <c r="Z257" s="45"/>
      <c r="AA257" s="45"/>
      <c r="AB257" s="1"/>
      <c r="AC257" s="1"/>
      <c r="AD257" s="1"/>
      <c r="AE257" s="1"/>
      <c r="AF257" s="1"/>
      <c r="AG257" s="1"/>
      <c r="AH257" s="1"/>
      <c r="AI257" s="1"/>
      <c r="AJ257" s="1"/>
      <c r="AK257" s="1"/>
      <c r="AL257" s="1"/>
      <c r="AM257" s="1"/>
      <c r="AN257" s="1"/>
      <c r="AO257" s="1"/>
      <c r="AP257" s="1"/>
      <c r="AQ257" s="1"/>
    </row>
    <row r="258" spans="1:43" ht="16.5" x14ac:dyDescent="0.3">
      <c r="A258" s="43"/>
      <c r="B258" s="45"/>
      <c r="C258" s="45"/>
      <c r="D258" s="45"/>
      <c r="E258" s="45"/>
      <c r="F258" s="45"/>
      <c r="G258" s="45"/>
      <c r="H258" s="45"/>
      <c r="I258" s="45"/>
      <c r="J258" s="45"/>
      <c r="K258" s="45"/>
      <c r="L258" s="45"/>
      <c r="M258" s="45"/>
      <c r="N258" s="45"/>
      <c r="O258" s="45"/>
      <c r="P258" s="45"/>
      <c r="Q258" s="45"/>
      <c r="R258" s="45"/>
      <c r="S258" s="45"/>
      <c r="T258" s="1"/>
      <c r="U258" s="1"/>
      <c r="V258" s="1"/>
      <c r="W258" s="1"/>
      <c r="X258" s="45"/>
      <c r="Y258" s="45"/>
      <c r="Z258" s="45"/>
      <c r="AA258" s="45"/>
      <c r="AB258" s="1"/>
      <c r="AC258" s="1"/>
      <c r="AD258" s="1"/>
      <c r="AE258" s="1"/>
      <c r="AF258" s="1"/>
      <c r="AG258" s="1"/>
      <c r="AH258" s="1"/>
      <c r="AI258" s="1"/>
      <c r="AJ258" s="1"/>
      <c r="AK258" s="1"/>
      <c r="AL258" s="1"/>
      <c r="AM258" s="1"/>
      <c r="AN258" s="1"/>
      <c r="AO258" s="1"/>
      <c r="AP258" s="1"/>
      <c r="AQ258" s="1"/>
    </row>
    <row r="259" spans="1:43" ht="16.5" x14ac:dyDescent="0.3">
      <c r="A259" s="43"/>
      <c r="B259" s="45"/>
      <c r="C259" s="45"/>
      <c r="D259" s="45"/>
      <c r="E259" s="45"/>
      <c r="F259" s="45"/>
      <c r="G259" s="45"/>
      <c r="H259" s="45"/>
      <c r="I259" s="45"/>
      <c r="J259" s="45"/>
      <c r="K259" s="45"/>
      <c r="L259" s="45"/>
      <c r="M259" s="45"/>
      <c r="N259" s="45"/>
      <c r="O259" s="45"/>
      <c r="P259" s="45"/>
      <c r="Q259" s="45"/>
      <c r="R259" s="45"/>
      <c r="S259" s="45"/>
      <c r="T259" s="1"/>
      <c r="U259" s="1"/>
      <c r="V259" s="1"/>
      <c r="W259" s="1"/>
      <c r="X259" s="45"/>
      <c r="Y259" s="45"/>
      <c r="Z259" s="45"/>
      <c r="AA259" s="45"/>
      <c r="AB259" s="1"/>
      <c r="AC259" s="1"/>
      <c r="AD259" s="1"/>
      <c r="AE259" s="1"/>
      <c r="AF259" s="1"/>
      <c r="AG259" s="1"/>
      <c r="AH259" s="1"/>
      <c r="AI259" s="1"/>
      <c r="AJ259" s="1"/>
      <c r="AK259" s="1"/>
      <c r="AL259" s="1"/>
      <c r="AM259" s="1"/>
      <c r="AN259" s="1"/>
      <c r="AO259" s="1"/>
      <c r="AP259" s="1"/>
      <c r="AQ259" s="1"/>
    </row>
    <row r="260" spans="1:43" ht="16.5" x14ac:dyDescent="0.3">
      <c r="A260" s="43"/>
      <c r="B260" s="45"/>
      <c r="C260" s="45"/>
      <c r="D260" s="45"/>
      <c r="E260" s="45"/>
      <c r="F260" s="45"/>
      <c r="G260" s="45"/>
      <c r="H260" s="45"/>
      <c r="I260" s="45"/>
      <c r="J260" s="45"/>
      <c r="K260" s="45"/>
      <c r="L260" s="45"/>
      <c r="M260" s="45"/>
      <c r="N260" s="45"/>
      <c r="O260" s="45"/>
      <c r="P260" s="45"/>
      <c r="Q260" s="45"/>
      <c r="R260" s="45"/>
      <c r="S260" s="45"/>
      <c r="T260" s="1"/>
      <c r="U260" s="1"/>
      <c r="V260" s="1"/>
      <c r="W260" s="1"/>
      <c r="X260" s="45"/>
      <c r="Y260" s="45"/>
      <c r="Z260" s="45"/>
      <c r="AA260" s="45"/>
      <c r="AB260" s="1"/>
      <c r="AC260" s="1"/>
      <c r="AD260" s="1"/>
      <c r="AE260" s="1"/>
      <c r="AF260" s="1"/>
      <c r="AG260" s="1"/>
      <c r="AH260" s="1"/>
      <c r="AI260" s="1"/>
      <c r="AJ260" s="1"/>
      <c r="AK260" s="1"/>
      <c r="AL260" s="1"/>
      <c r="AM260" s="1"/>
      <c r="AN260" s="1"/>
      <c r="AO260" s="1"/>
      <c r="AP260" s="1"/>
      <c r="AQ260" s="1"/>
    </row>
    <row r="261" spans="1:43" ht="16.5" x14ac:dyDescent="0.3">
      <c r="A261" s="43"/>
      <c r="B261" s="45"/>
      <c r="C261" s="45"/>
      <c r="D261" s="45"/>
      <c r="E261" s="45"/>
      <c r="F261" s="45"/>
      <c r="G261" s="45"/>
      <c r="H261" s="45"/>
      <c r="I261" s="45"/>
      <c r="J261" s="45"/>
      <c r="K261" s="45"/>
      <c r="L261" s="45"/>
      <c r="M261" s="45"/>
      <c r="N261" s="45"/>
      <c r="O261" s="45"/>
      <c r="P261" s="45"/>
      <c r="Q261" s="45"/>
      <c r="R261" s="45"/>
      <c r="S261" s="45"/>
      <c r="T261" s="1"/>
      <c r="U261" s="1"/>
      <c r="V261" s="1"/>
      <c r="W261" s="1"/>
      <c r="X261" s="45"/>
      <c r="Y261" s="45"/>
      <c r="Z261" s="45"/>
      <c r="AA261" s="45"/>
      <c r="AB261" s="1"/>
      <c r="AC261" s="1"/>
      <c r="AD261" s="1"/>
      <c r="AE261" s="1"/>
      <c r="AF261" s="1"/>
      <c r="AG261" s="1"/>
      <c r="AH261" s="1"/>
      <c r="AI261" s="1"/>
      <c r="AJ261" s="1"/>
      <c r="AK261" s="1"/>
      <c r="AL261" s="1"/>
      <c r="AM261" s="1"/>
      <c r="AN261" s="1"/>
      <c r="AO261" s="1"/>
      <c r="AP261" s="1"/>
      <c r="AQ261" s="1"/>
    </row>
    <row r="262" spans="1:43" ht="16.5" x14ac:dyDescent="0.3">
      <c r="A262" s="43"/>
      <c r="B262" s="45"/>
      <c r="C262" s="45"/>
      <c r="D262" s="45"/>
      <c r="E262" s="45"/>
      <c r="F262" s="45"/>
      <c r="G262" s="45"/>
      <c r="H262" s="45"/>
      <c r="I262" s="45"/>
      <c r="J262" s="45"/>
      <c r="K262" s="45"/>
      <c r="L262" s="45"/>
      <c r="M262" s="45"/>
      <c r="N262" s="45"/>
      <c r="O262" s="45"/>
      <c r="P262" s="45"/>
      <c r="Q262" s="45"/>
      <c r="R262" s="45"/>
      <c r="S262" s="45"/>
      <c r="T262" s="1"/>
      <c r="U262" s="1"/>
      <c r="V262" s="1"/>
      <c r="W262" s="1"/>
      <c r="X262" s="45"/>
      <c r="Y262" s="45"/>
      <c r="Z262" s="45"/>
      <c r="AA262" s="45"/>
      <c r="AB262" s="1"/>
      <c r="AC262" s="1"/>
      <c r="AD262" s="1"/>
      <c r="AE262" s="1"/>
      <c r="AF262" s="1"/>
      <c r="AG262" s="1"/>
      <c r="AH262" s="1"/>
      <c r="AI262" s="1"/>
      <c r="AJ262" s="1"/>
      <c r="AK262" s="1"/>
      <c r="AL262" s="1"/>
      <c r="AM262" s="1"/>
      <c r="AN262" s="1"/>
      <c r="AO262" s="1"/>
      <c r="AP262" s="1"/>
      <c r="AQ262" s="1"/>
    </row>
    <row r="263" spans="1:43" ht="16.5" x14ac:dyDescent="0.3">
      <c r="A263" s="43"/>
      <c r="B263" s="45"/>
      <c r="C263" s="45"/>
      <c r="D263" s="45"/>
      <c r="E263" s="45"/>
      <c r="F263" s="45"/>
      <c r="G263" s="45"/>
      <c r="H263" s="45"/>
      <c r="I263" s="45"/>
      <c r="J263" s="45"/>
      <c r="K263" s="45"/>
      <c r="L263" s="45"/>
      <c r="M263" s="45"/>
      <c r="N263" s="45"/>
      <c r="O263" s="45"/>
      <c r="P263" s="45"/>
      <c r="Q263" s="45"/>
      <c r="R263" s="45"/>
      <c r="S263" s="45"/>
      <c r="T263" s="1"/>
      <c r="U263" s="1"/>
      <c r="V263" s="1"/>
      <c r="W263" s="1"/>
      <c r="X263" s="45"/>
      <c r="Y263" s="45"/>
      <c r="Z263" s="45"/>
      <c r="AA263" s="45"/>
      <c r="AB263" s="1"/>
      <c r="AC263" s="1"/>
      <c r="AD263" s="1"/>
      <c r="AE263" s="1"/>
      <c r="AF263" s="1"/>
      <c r="AG263" s="1"/>
      <c r="AH263" s="1"/>
      <c r="AI263" s="1"/>
      <c r="AJ263" s="1"/>
      <c r="AK263" s="1"/>
      <c r="AL263" s="1"/>
      <c r="AM263" s="1"/>
      <c r="AN263" s="1"/>
      <c r="AO263" s="1"/>
      <c r="AP263" s="1"/>
      <c r="AQ263" s="1"/>
    </row>
    <row r="264" spans="1:43" ht="16.5" x14ac:dyDescent="0.3">
      <c r="A264" s="43"/>
      <c r="B264" s="45"/>
      <c r="C264" s="45"/>
      <c r="D264" s="45"/>
      <c r="E264" s="45"/>
      <c r="F264" s="45"/>
      <c r="G264" s="45"/>
      <c r="H264" s="45"/>
      <c r="I264" s="45"/>
      <c r="J264" s="45"/>
      <c r="K264" s="45"/>
      <c r="L264" s="45"/>
      <c r="M264" s="45"/>
      <c r="N264" s="45"/>
      <c r="O264" s="45"/>
      <c r="P264" s="45"/>
      <c r="Q264" s="45"/>
      <c r="R264" s="45"/>
      <c r="S264" s="45"/>
      <c r="T264" s="1"/>
      <c r="U264" s="1"/>
      <c r="V264" s="1"/>
      <c r="W264" s="1"/>
      <c r="X264" s="45"/>
      <c r="Y264" s="45"/>
      <c r="Z264" s="45"/>
      <c r="AA264" s="45"/>
      <c r="AB264" s="1"/>
      <c r="AC264" s="1"/>
      <c r="AD264" s="1"/>
      <c r="AE264" s="1"/>
      <c r="AF264" s="1"/>
      <c r="AG264" s="1"/>
      <c r="AH264" s="1"/>
      <c r="AI264" s="1"/>
      <c r="AJ264" s="1"/>
      <c r="AK264" s="1"/>
      <c r="AL264" s="1"/>
      <c r="AM264" s="1"/>
      <c r="AN264" s="1"/>
      <c r="AO264" s="1"/>
      <c r="AP264" s="1"/>
      <c r="AQ264" s="1"/>
    </row>
    <row r="265" spans="1:43" ht="16.5" x14ac:dyDescent="0.3">
      <c r="A265" s="43"/>
      <c r="B265" s="45"/>
      <c r="C265" s="45"/>
      <c r="D265" s="45"/>
      <c r="E265" s="45"/>
      <c r="F265" s="45"/>
      <c r="G265" s="45"/>
      <c r="H265" s="45"/>
      <c r="I265" s="45"/>
      <c r="J265" s="45"/>
      <c r="K265" s="45"/>
      <c r="L265" s="45"/>
      <c r="M265" s="45"/>
      <c r="N265" s="45"/>
      <c r="O265" s="45"/>
      <c r="P265" s="45"/>
      <c r="Q265" s="45"/>
      <c r="R265" s="45"/>
      <c r="S265" s="45"/>
      <c r="T265" s="1"/>
      <c r="U265" s="1"/>
      <c r="V265" s="1"/>
      <c r="W265" s="1"/>
      <c r="X265" s="45"/>
      <c r="Y265" s="45"/>
      <c r="Z265" s="45"/>
      <c r="AA265" s="45"/>
      <c r="AB265" s="1"/>
      <c r="AC265" s="1"/>
      <c r="AD265" s="1"/>
      <c r="AE265" s="1"/>
      <c r="AF265" s="1"/>
      <c r="AG265" s="1"/>
      <c r="AH265" s="1"/>
      <c r="AI265" s="1"/>
      <c r="AJ265" s="1"/>
      <c r="AK265" s="1"/>
      <c r="AL265" s="1"/>
      <c r="AM265" s="1"/>
      <c r="AN265" s="1"/>
      <c r="AO265" s="1"/>
      <c r="AP265" s="1"/>
      <c r="AQ265" s="1"/>
    </row>
    <row r="266" spans="1:43" ht="16.5" x14ac:dyDescent="0.3">
      <c r="A266" s="43"/>
      <c r="B266" s="45"/>
      <c r="C266" s="45"/>
      <c r="D266" s="45"/>
      <c r="E266" s="45"/>
      <c r="F266" s="45"/>
      <c r="G266" s="45"/>
      <c r="H266" s="45"/>
      <c r="I266" s="45"/>
      <c r="J266" s="45"/>
      <c r="K266" s="45"/>
      <c r="L266" s="45"/>
      <c r="M266" s="45"/>
      <c r="N266" s="45"/>
      <c r="O266" s="45"/>
      <c r="P266" s="45"/>
      <c r="Q266" s="45"/>
      <c r="R266" s="45"/>
      <c r="S266" s="45"/>
      <c r="T266" s="1"/>
      <c r="U266" s="1"/>
      <c r="V266" s="1"/>
      <c r="W266" s="1"/>
      <c r="X266" s="45"/>
      <c r="Y266" s="45"/>
      <c r="Z266" s="45"/>
      <c r="AA266" s="45"/>
      <c r="AB266" s="1"/>
      <c r="AC266" s="1"/>
      <c r="AD266" s="1"/>
      <c r="AE266" s="1"/>
      <c r="AF266" s="1"/>
      <c r="AG266" s="1"/>
      <c r="AH266" s="1"/>
      <c r="AI266" s="1"/>
      <c r="AJ266" s="1"/>
      <c r="AK266" s="1"/>
      <c r="AL266" s="1"/>
      <c r="AM266" s="1"/>
      <c r="AN266" s="1"/>
      <c r="AO266" s="1"/>
      <c r="AP266" s="1"/>
      <c r="AQ266" s="1"/>
    </row>
    <row r="267" spans="1:43" ht="16.5" x14ac:dyDescent="0.3">
      <c r="A267" s="43"/>
      <c r="B267" s="45"/>
      <c r="C267" s="45"/>
      <c r="D267" s="45"/>
      <c r="E267" s="45"/>
      <c r="F267" s="45"/>
      <c r="G267" s="45"/>
      <c r="H267" s="45"/>
      <c r="I267" s="45"/>
      <c r="J267" s="45"/>
      <c r="K267" s="45"/>
      <c r="L267" s="45"/>
      <c r="M267" s="45"/>
      <c r="N267" s="45"/>
      <c r="O267" s="45"/>
      <c r="P267" s="45"/>
      <c r="Q267" s="45"/>
      <c r="R267" s="45"/>
      <c r="S267" s="45"/>
      <c r="T267" s="1"/>
      <c r="U267" s="1"/>
      <c r="V267" s="1"/>
      <c r="W267" s="1"/>
      <c r="X267" s="45"/>
      <c r="Y267" s="45"/>
      <c r="Z267" s="45"/>
      <c r="AA267" s="45"/>
      <c r="AB267" s="1"/>
      <c r="AC267" s="1"/>
      <c r="AD267" s="1"/>
      <c r="AE267" s="1"/>
      <c r="AF267" s="1"/>
      <c r="AG267" s="1"/>
      <c r="AH267" s="1"/>
      <c r="AI267" s="1"/>
      <c r="AJ267" s="1"/>
      <c r="AK267" s="1"/>
      <c r="AL267" s="1"/>
      <c r="AM267" s="1"/>
      <c r="AN267" s="1"/>
      <c r="AO267" s="1"/>
      <c r="AP267" s="1"/>
      <c r="AQ267" s="1"/>
    </row>
    <row r="268" spans="1:43" ht="16.5" x14ac:dyDescent="0.3">
      <c r="A268" s="43"/>
      <c r="B268" s="45"/>
      <c r="C268" s="45"/>
      <c r="D268" s="45"/>
      <c r="E268" s="45"/>
      <c r="F268" s="45"/>
      <c r="G268" s="45"/>
      <c r="H268" s="45"/>
      <c r="I268" s="45"/>
      <c r="J268" s="45"/>
      <c r="K268" s="45"/>
      <c r="L268" s="45"/>
      <c r="M268" s="45"/>
      <c r="N268" s="45"/>
      <c r="O268" s="45"/>
      <c r="P268" s="45"/>
      <c r="Q268" s="45"/>
      <c r="R268" s="45"/>
      <c r="S268" s="45"/>
      <c r="T268" s="1"/>
      <c r="U268" s="1"/>
      <c r="V268" s="1"/>
      <c r="W268" s="1"/>
      <c r="X268" s="45"/>
      <c r="Y268" s="45"/>
      <c r="Z268" s="45"/>
      <c r="AA268" s="45"/>
      <c r="AB268" s="1"/>
      <c r="AC268" s="1"/>
      <c r="AD268" s="1"/>
      <c r="AE268" s="1"/>
      <c r="AF268" s="1"/>
      <c r="AG268" s="1"/>
      <c r="AH268" s="1"/>
      <c r="AI268" s="1"/>
      <c r="AJ268" s="1"/>
      <c r="AK268" s="1"/>
      <c r="AL268" s="1"/>
      <c r="AM268" s="1"/>
      <c r="AN268" s="1"/>
      <c r="AO268" s="1"/>
      <c r="AP268" s="1"/>
      <c r="AQ268" s="1"/>
    </row>
    <row r="269" spans="1:43" ht="16.5" x14ac:dyDescent="0.3">
      <c r="A269" s="43"/>
      <c r="B269" s="45"/>
      <c r="C269" s="45"/>
      <c r="D269" s="45"/>
      <c r="E269" s="45"/>
      <c r="F269" s="45"/>
      <c r="G269" s="45"/>
      <c r="H269" s="45"/>
      <c r="I269" s="45"/>
      <c r="J269" s="45"/>
      <c r="K269" s="45"/>
      <c r="L269" s="45"/>
      <c r="M269" s="45"/>
      <c r="N269" s="45"/>
      <c r="O269" s="45"/>
      <c r="P269" s="45"/>
      <c r="Q269" s="45"/>
      <c r="R269" s="45"/>
      <c r="S269" s="45"/>
      <c r="T269" s="1"/>
      <c r="U269" s="1"/>
      <c r="V269" s="1"/>
      <c r="W269" s="1"/>
      <c r="X269" s="45"/>
      <c r="Y269" s="45"/>
      <c r="Z269" s="45"/>
      <c r="AA269" s="45"/>
      <c r="AB269" s="1"/>
      <c r="AC269" s="1"/>
      <c r="AD269" s="1"/>
      <c r="AE269" s="1"/>
      <c r="AF269" s="1"/>
      <c r="AG269" s="1"/>
      <c r="AH269" s="1"/>
      <c r="AI269" s="1"/>
      <c r="AJ269" s="1"/>
      <c r="AK269" s="1"/>
      <c r="AL269" s="1"/>
      <c r="AM269" s="1"/>
      <c r="AN269" s="1"/>
      <c r="AO269" s="1"/>
      <c r="AP269" s="1"/>
      <c r="AQ269" s="1"/>
    </row>
    <row r="270" spans="1:43" ht="16.5" x14ac:dyDescent="0.3">
      <c r="A270" s="43"/>
      <c r="B270" s="45"/>
      <c r="C270" s="45"/>
      <c r="D270" s="45"/>
      <c r="E270" s="45"/>
      <c r="F270" s="45"/>
      <c r="G270" s="45"/>
      <c r="H270" s="45"/>
      <c r="I270" s="45"/>
      <c r="J270" s="45"/>
      <c r="K270" s="45"/>
      <c r="L270" s="45"/>
      <c r="M270" s="45"/>
      <c r="N270" s="45"/>
      <c r="O270" s="45"/>
      <c r="P270" s="45"/>
      <c r="Q270" s="45"/>
      <c r="R270" s="45"/>
      <c r="S270" s="45"/>
      <c r="T270" s="1"/>
      <c r="U270" s="1"/>
      <c r="V270" s="1"/>
      <c r="W270" s="1"/>
      <c r="X270" s="45"/>
      <c r="Y270" s="45"/>
      <c r="Z270" s="45"/>
      <c r="AA270" s="45"/>
      <c r="AB270" s="1"/>
      <c r="AC270" s="1"/>
      <c r="AD270" s="1"/>
      <c r="AE270" s="1"/>
      <c r="AF270" s="1"/>
      <c r="AG270" s="1"/>
      <c r="AH270" s="1"/>
      <c r="AI270" s="1"/>
      <c r="AJ270" s="1"/>
      <c r="AK270" s="1"/>
      <c r="AL270" s="1"/>
      <c r="AM270" s="1"/>
      <c r="AN270" s="1"/>
      <c r="AO270" s="1"/>
      <c r="AP270" s="1"/>
      <c r="AQ270" s="1"/>
    </row>
    <row r="271" spans="1:43" ht="16.5" x14ac:dyDescent="0.3">
      <c r="A271" s="43"/>
      <c r="B271" s="45"/>
      <c r="C271" s="45"/>
      <c r="D271" s="45"/>
      <c r="E271" s="45"/>
      <c r="F271" s="45"/>
      <c r="G271" s="45"/>
      <c r="H271" s="45"/>
      <c r="I271" s="45"/>
      <c r="J271" s="45"/>
      <c r="K271" s="45"/>
      <c r="L271" s="45"/>
      <c r="M271" s="45"/>
      <c r="N271" s="45"/>
      <c r="O271" s="45"/>
      <c r="P271" s="45"/>
      <c r="Q271" s="45"/>
      <c r="R271" s="45"/>
      <c r="S271" s="45"/>
      <c r="T271" s="1"/>
      <c r="U271" s="1"/>
      <c r="V271" s="1"/>
      <c r="W271" s="1"/>
      <c r="X271" s="45"/>
      <c r="Y271" s="45"/>
      <c r="Z271" s="45"/>
      <c r="AA271" s="45"/>
      <c r="AB271" s="1"/>
      <c r="AC271" s="1"/>
      <c r="AD271" s="1"/>
      <c r="AE271" s="1"/>
      <c r="AF271" s="1"/>
      <c r="AG271" s="1"/>
      <c r="AH271" s="1"/>
      <c r="AI271" s="1"/>
      <c r="AJ271" s="1"/>
      <c r="AK271" s="1"/>
      <c r="AL271" s="1"/>
      <c r="AM271" s="1"/>
      <c r="AN271" s="1"/>
      <c r="AO271" s="1"/>
      <c r="AP271" s="1"/>
      <c r="AQ271" s="1"/>
    </row>
    <row r="272" spans="1:43" ht="16.5" x14ac:dyDescent="0.3">
      <c r="A272" s="43"/>
      <c r="B272" s="45"/>
      <c r="C272" s="45"/>
      <c r="D272" s="45"/>
      <c r="E272" s="45"/>
      <c r="F272" s="45"/>
      <c r="G272" s="45"/>
      <c r="H272" s="45"/>
      <c r="I272" s="45"/>
      <c r="J272" s="45"/>
      <c r="K272" s="45"/>
      <c r="L272" s="45"/>
      <c r="M272" s="45"/>
      <c r="N272" s="45"/>
      <c r="O272" s="45"/>
      <c r="P272" s="45"/>
      <c r="Q272" s="45"/>
      <c r="R272" s="45"/>
      <c r="S272" s="45"/>
      <c r="T272" s="1"/>
      <c r="U272" s="1"/>
      <c r="V272" s="1"/>
      <c r="W272" s="1"/>
      <c r="X272" s="45"/>
      <c r="Y272" s="45"/>
      <c r="Z272" s="45"/>
      <c r="AA272" s="45"/>
      <c r="AB272" s="1"/>
      <c r="AC272" s="1"/>
      <c r="AD272" s="1"/>
      <c r="AE272" s="1"/>
      <c r="AF272" s="1"/>
      <c r="AG272" s="1"/>
      <c r="AH272" s="1"/>
      <c r="AI272" s="1"/>
      <c r="AJ272" s="1"/>
      <c r="AK272" s="1"/>
      <c r="AL272" s="1"/>
      <c r="AM272" s="1"/>
      <c r="AN272" s="1"/>
      <c r="AO272" s="1"/>
      <c r="AP272" s="1"/>
      <c r="AQ272" s="1"/>
    </row>
    <row r="273" spans="1:43" ht="16.5" x14ac:dyDescent="0.3">
      <c r="A273" s="43"/>
      <c r="B273" s="45"/>
      <c r="C273" s="45"/>
      <c r="D273" s="45"/>
      <c r="E273" s="45"/>
      <c r="F273" s="45"/>
      <c r="G273" s="45"/>
      <c r="H273" s="45"/>
      <c r="I273" s="45"/>
      <c r="J273" s="45"/>
      <c r="K273" s="45"/>
      <c r="L273" s="45"/>
      <c r="M273" s="45"/>
      <c r="N273" s="45"/>
      <c r="O273" s="45"/>
      <c r="P273" s="45"/>
      <c r="Q273" s="45"/>
      <c r="R273" s="45"/>
      <c r="S273" s="45"/>
      <c r="T273" s="1"/>
      <c r="U273" s="1"/>
      <c r="V273" s="1"/>
      <c r="W273" s="1"/>
      <c r="X273" s="45"/>
      <c r="Y273" s="45"/>
      <c r="Z273" s="45"/>
      <c r="AA273" s="45"/>
      <c r="AB273" s="1"/>
      <c r="AC273" s="1"/>
      <c r="AD273" s="1"/>
      <c r="AE273" s="1"/>
      <c r="AF273" s="1"/>
      <c r="AG273" s="1"/>
      <c r="AH273" s="1"/>
      <c r="AI273" s="1"/>
      <c r="AJ273" s="1"/>
      <c r="AK273" s="1"/>
      <c r="AL273" s="1"/>
      <c r="AM273" s="1"/>
      <c r="AN273" s="1"/>
      <c r="AO273" s="1"/>
      <c r="AP273" s="1"/>
      <c r="AQ273" s="1"/>
    </row>
    <row r="274" spans="1:43" ht="16.5" x14ac:dyDescent="0.3">
      <c r="A274" s="43"/>
      <c r="B274" s="45"/>
      <c r="C274" s="45"/>
      <c r="D274" s="45"/>
      <c r="E274" s="45"/>
      <c r="F274" s="45"/>
      <c r="G274" s="45"/>
      <c r="H274" s="45"/>
      <c r="I274" s="45"/>
      <c r="J274" s="45"/>
      <c r="K274" s="45"/>
      <c r="L274" s="45"/>
      <c r="M274" s="45"/>
      <c r="N274" s="45"/>
      <c r="O274" s="45"/>
      <c r="P274" s="45"/>
      <c r="Q274" s="45"/>
      <c r="R274" s="45"/>
      <c r="S274" s="45"/>
      <c r="T274" s="1"/>
      <c r="U274" s="1"/>
      <c r="V274" s="1"/>
      <c r="W274" s="1"/>
      <c r="X274" s="45"/>
      <c r="Y274" s="45"/>
      <c r="Z274" s="45"/>
      <c r="AA274" s="45"/>
      <c r="AB274" s="1"/>
      <c r="AC274" s="1"/>
      <c r="AD274" s="1"/>
      <c r="AE274" s="1"/>
      <c r="AF274" s="1"/>
      <c r="AG274" s="1"/>
      <c r="AH274" s="1"/>
      <c r="AI274" s="1"/>
      <c r="AJ274" s="1"/>
      <c r="AK274" s="1"/>
      <c r="AL274" s="1"/>
      <c r="AM274" s="1"/>
      <c r="AN274" s="1"/>
      <c r="AO274" s="1"/>
      <c r="AP274" s="1"/>
      <c r="AQ274" s="1"/>
    </row>
    <row r="275" spans="1:43" ht="16.5" x14ac:dyDescent="0.3">
      <c r="A275" s="43"/>
      <c r="B275" s="45"/>
      <c r="C275" s="45"/>
      <c r="D275" s="45"/>
      <c r="E275" s="45"/>
      <c r="F275" s="45"/>
      <c r="G275" s="45"/>
      <c r="H275" s="45"/>
      <c r="I275" s="45"/>
      <c r="J275" s="45"/>
      <c r="K275" s="45"/>
      <c r="L275" s="45"/>
      <c r="M275" s="45"/>
      <c r="N275" s="45"/>
      <c r="O275" s="45"/>
      <c r="P275" s="45"/>
      <c r="Q275" s="45"/>
      <c r="R275" s="45"/>
      <c r="S275" s="45"/>
      <c r="T275" s="1"/>
      <c r="U275" s="1"/>
      <c r="V275" s="1"/>
      <c r="W275" s="1"/>
      <c r="X275" s="45"/>
      <c r="Y275" s="45"/>
      <c r="Z275" s="45"/>
      <c r="AA275" s="45"/>
      <c r="AB275" s="1"/>
      <c r="AC275" s="1"/>
      <c r="AD275" s="1"/>
      <c r="AE275" s="1"/>
      <c r="AF275" s="1"/>
      <c r="AG275" s="1"/>
      <c r="AH275" s="1"/>
      <c r="AI275" s="1"/>
      <c r="AJ275" s="1"/>
      <c r="AK275" s="1"/>
      <c r="AL275" s="1"/>
      <c r="AM275" s="1"/>
      <c r="AN275" s="1"/>
      <c r="AO275" s="1"/>
      <c r="AP275" s="1"/>
      <c r="AQ275" s="1"/>
    </row>
    <row r="276" spans="1:43" ht="16.5" x14ac:dyDescent="0.3">
      <c r="A276" s="43"/>
      <c r="B276" s="45"/>
      <c r="C276" s="45"/>
      <c r="D276" s="45"/>
      <c r="E276" s="45"/>
      <c r="F276" s="45"/>
      <c r="G276" s="45"/>
      <c r="H276" s="45"/>
      <c r="I276" s="45"/>
      <c r="J276" s="45"/>
      <c r="K276" s="45"/>
      <c r="L276" s="45"/>
      <c r="M276" s="45"/>
      <c r="N276" s="45"/>
      <c r="O276" s="45"/>
      <c r="P276" s="45"/>
      <c r="Q276" s="45"/>
      <c r="R276" s="45"/>
      <c r="S276" s="45"/>
      <c r="T276" s="1"/>
      <c r="U276" s="1"/>
      <c r="V276" s="1"/>
      <c r="W276" s="1"/>
      <c r="X276" s="45"/>
      <c r="Y276" s="45"/>
      <c r="Z276" s="45"/>
      <c r="AA276" s="45"/>
      <c r="AB276" s="1"/>
      <c r="AC276" s="1"/>
      <c r="AD276" s="1"/>
      <c r="AE276" s="1"/>
      <c r="AF276" s="1"/>
      <c r="AG276" s="1"/>
      <c r="AH276" s="1"/>
      <c r="AI276" s="1"/>
      <c r="AJ276" s="1"/>
      <c r="AK276" s="1"/>
      <c r="AL276" s="1"/>
      <c r="AM276" s="1"/>
      <c r="AN276" s="1"/>
      <c r="AO276" s="1"/>
      <c r="AP276" s="1"/>
      <c r="AQ276" s="1"/>
    </row>
    <row r="277" spans="1:43" ht="16.5" x14ac:dyDescent="0.3">
      <c r="A277" s="43"/>
      <c r="B277" s="45"/>
      <c r="C277" s="45"/>
      <c r="D277" s="45"/>
      <c r="E277" s="45"/>
      <c r="F277" s="45"/>
      <c r="G277" s="45"/>
      <c r="H277" s="45"/>
      <c r="I277" s="45"/>
      <c r="J277" s="45"/>
      <c r="K277" s="45"/>
      <c r="L277" s="45"/>
      <c r="M277" s="45"/>
      <c r="N277" s="45"/>
      <c r="O277" s="45"/>
      <c r="P277" s="45"/>
      <c r="Q277" s="45"/>
      <c r="R277" s="45"/>
      <c r="S277" s="45"/>
      <c r="T277" s="1"/>
      <c r="U277" s="1"/>
      <c r="V277" s="1"/>
      <c r="W277" s="1"/>
      <c r="X277" s="45"/>
      <c r="Y277" s="45"/>
      <c r="Z277" s="45"/>
      <c r="AA277" s="45"/>
      <c r="AB277" s="1"/>
      <c r="AC277" s="1"/>
      <c r="AD277" s="1"/>
      <c r="AE277" s="1"/>
      <c r="AF277" s="1"/>
      <c r="AG277" s="1"/>
      <c r="AH277" s="1"/>
      <c r="AI277" s="1"/>
      <c r="AJ277" s="1"/>
      <c r="AK277" s="1"/>
      <c r="AL277" s="1"/>
      <c r="AM277" s="1"/>
      <c r="AN277" s="1"/>
      <c r="AO277" s="1"/>
      <c r="AP277" s="1"/>
      <c r="AQ277" s="1"/>
    </row>
    <row r="278" spans="1:43" ht="16.5" x14ac:dyDescent="0.3">
      <c r="A278" s="43"/>
      <c r="B278" s="45"/>
      <c r="C278" s="45"/>
      <c r="D278" s="45"/>
      <c r="E278" s="45"/>
      <c r="F278" s="45"/>
      <c r="G278" s="45"/>
      <c r="H278" s="45"/>
      <c r="I278" s="45"/>
      <c r="J278" s="45"/>
      <c r="K278" s="45"/>
      <c r="L278" s="45"/>
      <c r="M278" s="45"/>
      <c r="N278" s="45"/>
      <c r="O278" s="45"/>
      <c r="P278" s="45"/>
      <c r="Q278" s="45"/>
      <c r="R278" s="45"/>
      <c r="S278" s="45"/>
      <c r="T278" s="1"/>
      <c r="U278" s="1"/>
      <c r="V278" s="1"/>
      <c r="W278" s="1"/>
      <c r="X278" s="45"/>
      <c r="Y278" s="45"/>
      <c r="Z278" s="45"/>
      <c r="AA278" s="45"/>
      <c r="AB278" s="1"/>
      <c r="AC278" s="1"/>
      <c r="AD278" s="1"/>
      <c r="AE278" s="1"/>
      <c r="AF278" s="1"/>
      <c r="AG278" s="1"/>
      <c r="AH278" s="1"/>
      <c r="AI278" s="1"/>
      <c r="AJ278" s="1"/>
      <c r="AK278" s="1"/>
      <c r="AL278" s="1"/>
      <c r="AM278" s="1"/>
      <c r="AN278" s="1"/>
      <c r="AO278" s="1"/>
      <c r="AP278" s="1"/>
      <c r="AQ278" s="1"/>
    </row>
    <row r="279" spans="1:43" ht="16.5" x14ac:dyDescent="0.3">
      <c r="A279" s="43"/>
      <c r="B279" s="45"/>
      <c r="C279" s="45"/>
      <c r="D279" s="45"/>
      <c r="E279" s="45"/>
      <c r="F279" s="45"/>
      <c r="G279" s="45"/>
      <c r="H279" s="45"/>
      <c r="I279" s="45"/>
      <c r="J279" s="45"/>
      <c r="K279" s="45"/>
      <c r="L279" s="45"/>
      <c r="M279" s="45"/>
      <c r="N279" s="45"/>
      <c r="O279" s="45"/>
      <c r="P279" s="45"/>
      <c r="Q279" s="45"/>
      <c r="R279" s="45"/>
      <c r="S279" s="45"/>
      <c r="T279" s="1"/>
      <c r="U279" s="1"/>
      <c r="V279" s="1"/>
      <c r="W279" s="1"/>
      <c r="X279" s="45"/>
      <c r="Y279" s="45"/>
      <c r="Z279" s="45"/>
      <c r="AA279" s="45"/>
      <c r="AB279" s="1"/>
      <c r="AC279" s="1"/>
      <c r="AD279" s="1"/>
      <c r="AE279" s="1"/>
      <c r="AF279" s="1"/>
      <c r="AG279" s="1"/>
      <c r="AH279" s="1"/>
      <c r="AI279" s="1"/>
      <c r="AJ279" s="1"/>
      <c r="AK279" s="1"/>
      <c r="AL279" s="1"/>
      <c r="AM279" s="1"/>
      <c r="AN279" s="1"/>
      <c r="AO279" s="1"/>
      <c r="AP279" s="1"/>
      <c r="AQ279" s="1"/>
    </row>
    <row r="280" spans="1:43" ht="16.5" x14ac:dyDescent="0.3">
      <c r="A280" s="43"/>
      <c r="B280" s="45"/>
      <c r="C280" s="45"/>
      <c r="D280" s="45"/>
      <c r="E280" s="45"/>
      <c r="F280" s="45"/>
      <c r="G280" s="45"/>
      <c r="H280" s="45"/>
      <c r="I280" s="45"/>
      <c r="J280" s="45"/>
      <c r="K280" s="45"/>
      <c r="L280" s="45"/>
      <c r="M280" s="45"/>
      <c r="N280" s="45"/>
      <c r="O280" s="45"/>
      <c r="P280" s="45"/>
      <c r="Q280" s="45"/>
      <c r="R280" s="45"/>
      <c r="S280" s="45"/>
      <c r="T280" s="1"/>
      <c r="U280" s="1"/>
      <c r="V280" s="1"/>
      <c r="W280" s="1"/>
      <c r="X280" s="45"/>
      <c r="Y280" s="45"/>
      <c r="Z280" s="45"/>
      <c r="AA280" s="45"/>
      <c r="AB280" s="1"/>
      <c r="AC280" s="1"/>
      <c r="AD280" s="1"/>
      <c r="AE280" s="1"/>
      <c r="AF280" s="1"/>
      <c r="AG280" s="1"/>
      <c r="AH280" s="1"/>
      <c r="AI280" s="1"/>
      <c r="AJ280" s="1"/>
      <c r="AK280" s="1"/>
      <c r="AL280" s="1"/>
      <c r="AM280" s="1"/>
      <c r="AN280" s="1"/>
      <c r="AO280" s="1"/>
      <c r="AP280" s="1"/>
      <c r="AQ280" s="1"/>
    </row>
    <row r="281" spans="1:43" ht="16.5" x14ac:dyDescent="0.3">
      <c r="A281" s="43"/>
      <c r="B281" s="45"/>
      <c r="C281" s="45"/>
      <c r="D281" s="45"/>
      <c r="E281" s="45"/>
      <c r="F281" s="45"/>
      <c r="G281" s="45"/>
      <c r="H281" s="45"/>
      <c r="I281" s="45"/>
      <c r="J281" s="45"/>
      <c r="K281" s="45"/>
      <c r="L281" s="45"/>
      <c r="M281" s="45"/>
      <c r="N281" s="45"/>
      <c r="O281" s="45"/>
      <c r="P281" s="45"/>
      <c r="Q281" s="45"/>
      <c r="R281" s="45"/>
      <c r="S281" s="45"/>
      <c r="T281" s="1"/>
      <c r="U281" s="1"/>
      <c r="V281" s="1"/>
      <c r="W281" s="1"/>
      <c r="X281" s="45"/>
      <c r="Y281" s="45"/>
      <c r="Z281" s="45"/>
      <c r="AA281" s="45"/>
      <c r="AB281" s="1"/>
      <c r="AC281" s="1"/>
      <c r="AD281" s="1"/>
      <c r="AE281" s="1"/>
      <c r="AF281" s="1"/>
      <c r="AG281" s="1"/>
      <c r="AH281" s="1"/>
      <c r="AI281" s="1"/>
      <c r="AJ281" s="1"/>
      <c r="AK281" s="1"/>
      <c r="AL281" s="1"/>
      <c r="AM281" s="1"/>
      <c r="AN281" s="1"/>
      <c r="AO281" s="1"/>
      <c r="AP281" s="1"/>
      <c r="AQ281" s="1"/>
    </row>
    <row r="282" spans="1:43" ht="16.5" x14ac:dyDescent="0.3">
      <c r="A282" s="43"/>
      <c r="B282" s="45"/>
      <c r="C282" s="45"/>
      <c r="D282" s="45"/>
      <c r="E282" s="45"/>
      <c r="F282" s="45"/>
      <c r="G282" s="45"/>
      <c r="H282" s="45"/>
      <c r="I282" s="45"/>
      <c r="J282" s="45"/>
      <c r="K282" s="45"/>
      <c r="L282" s="45"/>
      <c r="M282" s="45"/>
      <c r="N282" s="45"/>
      <c r="O282" s="45"/>
      <c r="P282" s="45"/>
      <c r="Q282" s="45"/>
      <c r="R282" s="45"/>
      <c r="S282" s="45"/>
      <c r="T282" s="1"/>
      <c r="U282" s="1"/>
      <c r="V282" s="1"/>
      <c r="W282" s="1"/>
      <c r="X282" s="45"/>
      <c r="Y282" s="45"/>
      <c r="Z282" s="45"/>
      <c r="AA282" s="45"/>
      <c r="AB282" s="1"/>
      <c r="AC282" s="1"/>
      <c r="AD282" s="1"/>
      <c r="AE282" s="1"/>
      <c r="AF282" s="1"/>
      <c r="AG282" s="1"/>
      <c r="AH282" s="1"/>
      <c r="AI282" s="1"/>
      <c r="AJ282" s="1"/>
      <c r="AK282" s="1"/>
      <c r="AL282" s="1"/>
      <c r="AM282" s="1"/>
      <c r="AN282" s="1"/>
      <c r="AO282" s="1"/>
      <c r="AP282" s="1"/>
      <c r="AQ282" s="1"/>
    </row>
    <row r="283" spans="1:43" ht="16.5" x14ac:dyDescent="0.3">
      <c r="A283" s="43"/>
      <c r="B283" s="45"/>
      <c r="C283" s="45"/>
      <c r="D283" s="45"/>
      <c r="E283" s="45"/>
      <c r="F283" s="45"/>
      <c r="G283" s="45"/>
      <c r="H283" s="45"/>
      <c r="I283" s="45"/>
      <c r="J283" s="45"/>
      <c r="K283" s="45"/>
      <c r="L283" s="45"/>
      <c r="M283" s="45"/>
      <c r="N283" s="45"/>
      <c r="O283" s="45"/>
      <c r="P283" s="45"/>
      <c r="Q283" s="45"/>
      <c r="R283" s="45"/>
      <c r="S283" s="45"/>
      <c r="T283" s="1"/>
      <c r="U283" s="1"/>
      <c r="V283" s="1"/>
      <c r="W283" s="1"/>
      <c r="X283" s="45"/>
      <c r="Y283" s="45"/>
      <c r="Z283" s="45"/>
      <c r="AA283" s="45"/>
      <c r="AB283" s="1"/>
      <c r="AC283" s="1"/>
      <c r="AD283" s="1"/>
      <c r="AE283" s="1"/>
      <c r="AF283" s="1"/>
      <c r="AG283" s="1"/>
      <c r="AH283" s="1"/>
      <c r="AI283" s="1"/>
      <c r="AJ283" s="1"/>
      <c r="AK283" s="1"/>
      <c r="AL283" s="1"/>
      <c r="AM283" s="1"/>
      <c r="AN283" s="1"/>
      <c r="AO283" s="1"/>
      <c r="AP283" s="1"/>
      <c r="AQ283" s="1"/>
    </row>
    <row r="284" spans="1:43" ht="16.5" x14ac:dyDescent="0.3">
      <c r="A284" s="43"/>
      <c r="B284" s="45"/>
      <c r="C284" s="45"/>
      <c r="D284" s="45"/>
      <c r="E284" s="45"/>
      <c r="F284" s="45"/>
      <c r="G284" s="45"/>
      <c r="H284" s="45"/>
      <c r="I284" s="45"/>
      <c r="J284" s="45"/>
      <c r="K284" s="45"/>
      <c r="L284" s="45"/>
      <c r="M284" s="45"/>
      <c r="N284" s="45"/>
      <c r="O284" s="45"/>
      <c r="P284" s="45"/>
      <c r="Q284" s="45"/>
      <c r="R284" s="45"/>
      <c r="S284" s="45"/>
      <c r="T284" s="1"/>
      <c r="U284" s="1"/>
      <c r="V284" s="1"/>
      <c r="W284" s="1"/>
      <c r="X284" s="45"/>
      <c r="Y284" s="45"/>
      <c r="Z284" s="45"/>
      <c r="AA284" s="45"/>
      <c r="AB284" s="1"/>
      <c r="AC284" s="1"/>
      <c r="AD284" s="1"/>
      <c r="AE284" s="1"/>
      <c r="AF284" s="1"/>
      <c r="AG284" s="1"/>
      <c r="AH284" s="1"/>
      <c r="AI284" s="1"/>
      <c r="AJ284" s="1"/>
      <c r="AK284" s="1"/>
      <c r="AL284" s="1"/>
      <c r="AM284" s="1"/>
      <c r="AN284" s="1"/>
      <c r="AO284" s="1"/>
      <c r="AP284" s="1"/>
      <c r="AQ284" s="1"/>
    </row>
    <row r="285" spans="1:43" ht="16.5" x14ac:dyDescent="0.3">
      <c r="A285" s="43"/>
      <c r="B285" s="45"/>
      <c r="C285" s="45"/>
      <c r="D285" s="45"/>
      <c r="E285" s="45"/>
      <c r="F285" s="45"/>
      <c r="G285" s="45"/>
      <c r="H285" s="45"/>
      <c r="I285" s="45"/>
      <c r="J285" s="45"/>
      <c r="K285" s="45"/>
      <c r="L285" s="45"/>
      <c r="M285" s="45"/>
      <c r="N285" s="45"/>
      <c r="O285" s="45"/>
      <c r="P285" s="45"/>
      <c r="Q285" s="45"/>
      <c r="R285" s="45"/>
      <c r="S285" s="45"/>
      <c r="T285" s="1"/>
      <c r="U285" s="1"/>
      <c r="V285" s="1"/>
      <c r="W285" s="1"/>
      <c r="X285" s="45"/>
      <c r="Y285" s="45"/>
      <c r="Z285" s="45"/>
      <c r="AA285" s="45"/>
      <c r="AB285" s="1"/>
      <c r="AC285" s="1"/>
      <c r="AD285" s="1"/>
      <c r="AE285" s="1"/>
      <c r="AF285" s="1"/>
      <c r="AG285" s="1"/>
      <c r="AH285" s="1"/>
      <c r="AI285" s="1"/>
      <c r="AJ285" s="1"/>
      <c r="AK285" s="1"/>
      <c r="AL285" s="1"/>
      <c r="AM285" s="1"/>
      <c r="AN285" s="1"/>
      <c r="AO285" s="1"/>
      <c r="AP285" s="1"/>
      <c r="AQ285" s="1"/>
    </row>
    <row r="286" spans="1:43" ht="16.5" x14ac:dyDescent="0.3">
      <c r="A286" s="43"/>
      <c r="B286" s="45"/>
      <c r="C286" s="45"/>
      <c r="D286" s="45"/>
      <c r="E286" s="45"/>
      <c r="F286" s="45"/>
      <c r="G286" s="45"/>
      <c r="H286" s="45"/>
      <c r="I286" s="45"/>
      <c r="J286" s="45"/>
      <c r="K286" s="45"/>
      <c r="L286" s="45"/>
      <c r="M286" s="45"/>
      <c r="N286" s="45"/>
      <c r="O286" s="45"/>
      <c r="P286" s="45"/>
      <c r="Q286" s="45"/>
      <c r="R286" s="45"/>
      <c r="S286" s="45"/>
      <c r="T286" s="1"/>
      <c r="U286" s="1"/>
      <c r="V286" s="1"/>
      <c r="W286" s="1"/>
      <c r="X286" s="45"/>
      <c r="Y286" s="45"/>
      <c r="Z286" s="45"/>
      <c r="AA286" s="45"/>
      <c r="AB286" s="1"/>
      <c r="AC286" s="1"/>
      <c r="AD286" s="1"/>
      <c r="AE286" s="1"/>
      <c r="AF286" s="1"/>
      <c r="AG286" s="1"/>
      <c r="AH286" s="1"/>
      <c r="AI286" s="1"/>
      <c r="AJ286" s="1"/>
      <c r="AK286" s="1"/>
      <c r="AL286" s="1"/>
      <c r="AM286" s="1"/>
      <c r="AN286" s="1"/>
      <c r="AO286" s="1"/>
      <c r="AP286" s="1"/>
      <c r="AQ286" s="1"/>
    </row>
    <row r="287" spans="1:43" ht="16.5" x14ac:dyDescent="0.3">
      <c r="A287" s="43"/>
      <c r="B287" s="45"/>
      <c r="C287" s="45"/>
      <c r="D287" s="45"/>
      <c r="E287" s="45"/>
      <c r="F287" s="45"/>
      <c r="G287" s="45"/>
      <c r="H287" s="45"/>
      <c r="I287" s="45"/>
      <c r="J287" s="45"/>
      <c r="K287" s="45"/>
      <c r="L287" s="45"/>
      <c r="M287" s="45"/>
      <c r="N287" s="45"/>
      <c r="O287" s="45"/>
      <c r="P287" s="45"/>
      <c r="Q287" s="45"/>
      <c r="R287" s="45"/>
      <c r="S287" s="45"/>
      <c r="T287" s="1"/>
      <c r="U287" s="1"/>
      <c r="V287" s="1"/>
      <c r="W287" s="1"/>
      <c r="X287" s="45"/>
      <c r="Y287" s="45"/>
      <c r="Z287" s="45"/>
      <c r="AA287" s="45"/>
      <c r="AB287" s="1"/>
      <c r="AC287" s="1"/>
      <c r="AD287" s="1"/>
      <c r="AE287" s="1"/>
      <c r="AF287" s="1"/>
      <c r="AG287" s="1"/>
      <c r="AH287" s="1"/>
      <c r="AI287" s="1"/>
      <c r="AJ287" s="1"/>
      <c r="AK287" s="1"/>
      <c r="AL287" s="1"/>
      <c r="AM287" s="1"/>
      <c r="AN287" s="1"/>
      <c r="AO287" s="1"/>
      <c r="AP287" s="1"/>
      <c r="AQ287" s="1"/>
    </row>
    <row r="288" spans="1:43" ht="16.5" x14ac:dyDescent="0.3">
      <c r="A288" s="43"/>
      <c r="B288" s="45"/>
      <c r="C288" s="45"/>
      <c r="D288" s="45"/>
      <c r="E288" s="45"/>
      <c r="F288" s="45"/>
      <c r="G288" s="45"/>
      <c r="H288" s="45"/>
      <c r="I288" s="45"/>
      <c r="J288" s="45"/>
      <c r="K288" s="45"/>
      <c r="L288" s="45"/>
      <c r="M288" s="45"/>
      <c r="N288" s="45"/>
      <c r="O288" s="45"/>
      <c r="P288" s="45"/>
      <c r="Q288" s="45"/>
      <c r="R288" s="45"/>
      <c r="S288" s="45"/>
      <c r="T288" s="1"/>
      <c r="U288" s="1"/>
      <c r="V288" s="1"/>
      <c r="W288" s="1"/>
      <c r="X288" s="45"/>
      <c r="Y288" s="45"/>
      <c r="Z288" s="45"/>
      <c r="AA288" s="45"/>
      <c r="AB288" s="1"/>
      <c r="AC288" s="1"/>
      <c r="AD288" s="1"/>
      <c r="AE288" s="1"/>
      <c r="AF288" s="1"/>
      <c r="AG288" s="1"/>
      <c r="AH288" s="1"/>
      <c r="AI288" s="1"/>
      <c r="AJ288" s="1"/>
      <c r="AK288" s="1"/>
      <c r="AL288" s="1"/>
      <c r="AM288" s="1"/>
      <c r="AN288" s="1"/>
      <c r="AO288" s="1"/>
      <c r="AP288" s="1"/>
      <c r="AQ288" s="1"/>
    </row>
    <row r="289" spans="1:43" ht="16.5" x14ac:dyDescent="0.3">
      <c r="A289" s="43"/>
      <c r="B289" s="45"/>
      <c r="C289" s="45"/>
      <c r="D289" s="45"/>
      <c r="E289" s="45"/>
      <c r="F289" s="45"/>
      <c r="G289" s="45"/>
      <c r="H289" s="45"/>
      <c r="I289" s="45"/>
      <c r="J289" s="45"/>
      <c r="K289" s="45"/>
      <c r="L289" s="45"/>
      <c r="M289" s="45"/>
      <c r="N289" s="45"/>
      <c r="O289" s="45"/>
      <c r="P289" s="45"/>
      <c r="Q289" s="45"/>
      <c r="R289" s="45"/>
      <c r="S289" s="45"/>
      <c r="T289" s="1"/>
      <c r="U289" s="1"/>
      <c r="V289" s="1"/>
      <c r="W289" s="1"/>
      <c r="X289" s="45"/>
      <c r="Y289" s="45"/>
      <c r="Z289" s="45"/>
      <c r="AA289" s="45"/>
      <c r="AB289" s="1"/>
      <c r="AC289" s="1"/>
      <c r="AD289" s="1"/>
      <c r="AE289" s="1"/>
      <c r="AF289" s="1"/>
      <c r="AG289" s="1"/>
      <c r="AH289" s="1"/>
      <c r="AI289" s="1"/>
      <c r="AJ289" s="1"/>
      <c r="AK289" s="1"/>
      <c r="AL289" s="1"/>
      <c r="AM289" s="1"/>
      <c r="AN289" s="1"/>
      <c r="AO289" s="1"/>
      <c r="AP289" s="1"/>
      <c r="AQ289" s="1"/>
    </row>
    <row r="290" spans="1:43" ht="16.5" x14ac:dyDescent="0.3">
      <c r="A290" s="43"/>
      <c r="B290" s="45"/>
      <c r="C290" s="45"/>
      <c r="D290" s="45"/>
      <c r="E290" s="45"/>
      <c r="F290" s="45"/>
      <c r="G290" s="45"/>
      <c r="H290" s="45"/>
      <c r="I290" s="45"/>
      <c r="J290" s="45"/>
      <c r="K290" s="45"/>
      <c r="L290" s="45"/>
      <c r="M290" s="45"/>
      <c r="N290" s="45"/>
      <c r="O290" s="45"/>
      <c r="P290" s="45"/>
      <c r="Q290" s="45"/>
      <c r="R290" s="45"/>
      <c r="S290" s="45"/>
      <c r="T290" s="1"/>
      <c r="U290" s="1"/>
      <c r="V290" s="1"/>
      <c r="W290" s="1"/>
      <c r="X290" s="45"/>
      <c r="Y290" s="45"/>
      <c r="Z290" s="45"/>
      <c r="AA290" s="45"/>
      <c r="AB290" s="1"/>
      <c r="AC290" s="1"/>
      <c r="AD290" s="1"/>
      <c r="AE290" s="1"/>
      <c r="AF290" s="1"/>
      <c r="AG290" s="1"/>
      <c r="AH290" s="1"/>
      <c r="AI290" s="1"/>
      <c r="AJ290" s="1"/>
      <c r="AK290" s="1"/>
      <c r="AL290" s="1"/>
      <c r="AM290" s="1"/>
      <c r="AN290" s="1"/>
      <c r="AO290" s="1"/>
      <c r="AP290" s="1"/>
      <c r="AQ290" s="1"/>
    </row>
    <row r="291" spans="1:43" ht="16.5" x14ac:dyDescent="0.3">
      <c r="A291" s="43"/>
      <c r="B291" s="45"/>
      <c r="C291" s="45"/>
      <c r="D291" s="45"/>
      <c r="E291" s="45"/>
      <c r="F291" s="45"/>
      <c r="G291" s="45"/>
      <c r="H291" s="45"/>
      <c r="I291" s="45"/>
      <c r="J291" s="45"/>
      <c r="K291" s="45"/>
      <c r="L291" s="45"/>
      <c r="M291" s="45"/>
      <c r="N291" s="45"/>
      <c r="O291" s="45"/>
      <c r="P291" s="45"/>
      <c r="Q291" s="45"/>
      <c r="R291" s="45"/>
      <c r="S291" s="45"/>
      <c r="T291" s="1"/>
      <c r="U291" s="1"/>
      <c r="V291" s="1"/>
      <c r="W291" s="1"/>
      <c r="X291" s="45"/>
      <c r="Y291" s="45"/>
      <c r="Z291" s="45"/>
      <c r="AA291" s="45"/>
    </row>
    <row r="292" spans="1:43" ht="16.5" x14ac:dyDescent="0.3">
      <c r="A292" s="43"/>
      <c r="B292" s="45"/>
      <c r="C292" s="45"/>
      <c r="D292" s="45"/>
      <c r="E292" s="45"/>
      <c r="F292" s="45"/>
      <c r="G292" s="45"/>
      <c r="H292" s="45"/>
      <c r="I292" s="45"/>
      <c r="J292" s="45"/>
      <c r="K292" s="45"/>
      <c r="L292" s="45"/>
      <c r="M292" s="45"/>
      <c r="N292" s="45"/>
      <c r="O292" s="45"/>
      <c r="P292" s="45"/>
      <c r="Q292" s="45"/>
      <c r="R292" s="45"/>
      <c r="S292" s="45"/>
      <c r="T292" s="1"/>
      <c r="U292" s="1"/>
      <c r="V292" s="1"/>
      <c r="W292" s="1"/>
      <c r="X292" s="45"/>
      <c r="Y292" s="45"/>
      <c r="Z292" s="45"/>
      <c r="AA292" s="45"/>
    </row>
    <row r="293" spans="1:43" ht="16.5" x14ac:dyDescent="0.3">
      <c r="A293" s="43"/>
      <c r="B293" s="45"/>
      <c r="C293" s="45"/>
      <c r="D293" s="45"/>
      <c r="E293" s="45"/>
      <c r="F293" s="45"/>
      <c r="G293" s="45"/>
      <c r="H293" s="45"/>
      <c r="I293" s="45"/>
      <c r="J293" s="45"/>
      <c r="K293" s="45"/>
      <c r="L293" s="45"/>
      <c r="M293" s="45"/>
      <c r="N293" s="45"/>
      <c r="O293" s="45"/>
      <c r="P293" s="45"/>
      <c r="Q293" s="45"/>
      <c r="R293" s="45"/>
      <c r="S293" s="45"/>
      <c r="T293" s="1"/>
      <c r="U293" s="1"/>
      <c r="V293" s="1"/>
      <c r="W293" s="1"/>
      <c r="X293" s="45"/>
      <c r="Y293" s="45"/>
      <c r="Z293" s="45"/>
      <c r="AA293" s="45"/>
    </row>
    <row r="294" spans="1:43" ht="16.5" x14ac:dyDescent="0.3">
      <c r="A294" s="43"/>
      <c r="B294" s="45"/>
      <c r="C294" s="45"/>
      <c r="D294" s="45"/>
      <c r="E294" s="45"/>
      <c r="F294" s="45"/>
      <c r="G294" s="45"/>
      <c r="H294" s="45"/>
      <c r="I294" s="45"/>
      <c r="J294" s="45"/>
      <c r="K294" s="45"/>
      <c r="L294" s="45"/>
      <c r="M294" s="45"/>
      <c r="N294" s="45"/>
      <c r="O294" s="45"/>
      <c r="P294" s="45"/>
      <c r="Q294" s="45"/>
      <c r="R294" s="45"/>
      <c r="S294" s="45"/>
      <c r="T294" s="1"/>
      <c r="U294" s="1"/>
      <c r="V294" s="1"/>
      <c r="W294" s="1"/>
      <c r="X294" s="45"/>
      <c r="Y294" s="45"/>
      <c r="Z294" s="45"/>
      <c r="AA294" s="45"/>
    </row>
    <row r="295" spans="1:43" ht="16.5" x14ac:dyDescent="0.3">
      <c r="A295" s="43"/>
      <c r="B295" s="45"/>
      <c r="C295" s="45"/>
      <c r="D295" s="45"/>
      <c r="E295" s="45"/>
      <c r="F295" s="45"/>
      <c r="G295" s="45"/>
      <c r="H295" s="45"/>
      <c r="I295" s="45"/>
      <c r="J295" s="45"/>
      <c r="K295" s="45"/>
      <c r="L295" s="45"/>
      <c r="M295" s="45"/>
      <c r="N295" s="45"/>
      <c r="O295" s="45"/>
      <c r="P295" s="45"/>
      <c r="Q295" s="45"/>
      <c r="R295" s="45"/>
      <c r="S295" s="45"/>
      <c r="T295" s="1"/>
      <c r="U295" s="1"/>
      <c r="V295" s="1"/>
      <c r="W295" s="1"/>
      <c r="X295" s="45"/>
      <c r="Y295" s="45"/>
      <c r="Z295" s="45"/>
      <c r="AA295" s="45"/>
    </row>
    <row r="296" spans="1:43" ht="16.5" x14ac:dyDescent="0.3">
      <c r="A296" s="43"/>
      <c r="B296" s="45"/>
      <c r="C296" s="45"/>
      <c r="D296" s="45"/>
      <c r="E296" s="45"/>
      <c r="F296" s="45"/>
      <c r="G296" s="45"/>
      <c r="H296" s="45"/>
      <c r="I296" s="45"/>
      <c r="J296" s="45"/>
      <c r="K296" s="45"/>
      <c r="L296" s="45"/>
      <c r="M296" s="45"/>
      <c r="N296" s="45"/>
      <c r="O296" s="45"/>
      <c r="P296" s="45"/>
      <c r="Q296" s="45"/>
      <c r="R296" s="45"/>
      <c r="S296" s="45"/>
      <c r="T296" s="1"/>
      <c r="U296" s="1"/>
      <c r="V296" s="1"/>
      <c r="W296" s="1"/>
      <c r="X296" s="45"/>
      <c r="Y296" s="45"/>
      <c r="Z296" s="45"/>
      <c r="AA296" s="45"/>
    </row>
    <row r="297" spans="1:43" ht="16.5" x14ac:dyDescent="0.3">
      <c r="A297" s="43"/>
      <c r="B297" s="45"/>
      <c r="C297" s="45"/>
      <c r="D297" s="45"/>
      <c r="E297" s="45"/>
      <c r="F297" s="45"/>
      <c r="G297" s="45"/>
      <c r="H297" s="45"/>
      <c r="I297" s="45"/>
      <c r="J297" s="45"/>
      <c r="K297" s="45"/>
      <c r="L297" s="45"/>
      <c r="M297" s="45"/>
      <c r="N297" s="45"/>
      <c r="O297" s="45"/>
      <c r="P297" s="45"/>
      <c r="Q297" s="45"/>
      <c r="R297" s="45"/>
      <c r="S297" s="45"/>
      <c r="T297" s="1"/>
      <c r="U297" s="1"/>
      <c r="V297" s="1"/>
      <c r="W297" s="1"/>
      <c r="X297" s="45"/>
      <c r="Y297" s="45"/>
      <c r="Z297" s="45"/>
      <c r="AA297" s="45"/>
    </row>
    <row r="298" spans="1:43" ht="16.5" x14ac:dyDescent="0.3">
      <c r="A298" s="43"/>
      <c r="B298" s="45"/>
      <c r="C298" s="45"/>
      <c r="D298" s="45"/>
      <c r="E298" s="45"/>
      <c r="F298" s="45"/>
      <c r="G298" s="45"/>
      <c r="H298" s="45"/>
      <c r="I298" s="45"/>
      <c r="J298" s="45"/>
      <c r="K298" s="45"/>
      <c r="L298" s="45"/>
      <c r="M298" s="45"/>
      <c r="N298" s="45"/>
      <c r="O298" s="45"/>
      <c r="P298" s="45"/>
      <c r="Q298" s="45"/>
      <c r="R298" s="45"/>
      <c r="S298" s="45"/>
      <c r="T298" s="1"/>
      <c r="U298" s="1"/>
      <c r="V298" s="1"/>
      <c r="W298" s="1"/>
      <c r="X298" s="45"/>
      <c r="Y298" s="45"/>
      <c r="Z298" s="45"/>
      <c r="AA298" s="45"/>
    </row>
    <row r="299" spans="1:43" ht="16.5" x14ac:dyDescent="0.3">
      <c r="A299" s="43"/>
      <c r="B299" s="45"/>
      <c r="C299" s="45"/>
      <c r="D299" s="45"/>
      <c r="E299" s="45"/>
      <c r="F299" s="45"/>
      <c r="G299" s="45"/>
      <c r="H299" s="45"/>
      <c r="I299" s="45"/>
      <c r="J299" s="45"/>
      <c r="K299" s="45"/>
      <c r="L299" s="45"/>
      <c r="M299" s="45"/>
      <c r="N299" s="45"/>
      <c r="O299" s="45"/>
      <c r="P299" s="45"/>
      <c r="Q299" s="45"/>
      <c r="R299" s="45"/>
      <c r="S299" s="45"/>
      <c r="T299" s="1"/>
      <c r="U299" s="1"/>
      <c r="V299" s="1"/>
      <c r="W299" s="1"/>
      <c r="X299" s="45"/>
      <c r="Y299" s="45"/>
      <c r="Z299" s="45"/>
      <c r="AA299" s="45"/>
    </row>
    <row r="300" spans="1:43" ht="16.5" x14ac:dyDescent="0.3">
      <c r="A300" s="43"/>
      <c r="B300" s="45"/>
      <c r="C300" s="45"/>
      <c r="D300" s="45"/>
      <c r="E300" s="45"/>
      <c r="F300" s="45"/>
      <c r="G300" s="45"/>
      <c r="H300" s="45"/>
      <c r="I300" s="45"/>
      <c r="J300" s="45"/>
      <c r="K300" s="45"/>
      <c r="L300" s="45"/>
      <c r="M300" s="45"/>
      <c r="N300" s="45"/>
      <c r="O300" s="45"/>
      <c r="P300" s="45"/>
      <c r="Q300" s="45"/>
      <c r="R300" s="45"/>
      <c r="S300" s="45"/>
      <c r="T300" s="1"/>
      <c r="U300" s="1"/>
      <c r="V300" s="1"/>
      <c r="W300" s="1"/>
      <c r="X300" s="45"/>
      <c r="Y300" s="45"/>
      <c r="Z300" s="45"/>
      <c r="AA300" s="45"/>
    </row>
    <row r="301" spans="1:43" ht="16.5" x14ac:dyDescent="0.3">
      <c r="A301" s="43"/>
      <c r="B301" s="45"/>
      <c r="C301" s="45"/>
      <c r="D301" s="45"/>
      <c r="E301" s="45"/>
      <c r="F301" s="45"/>
      <c r="G301" s="45"/>
      <c r="H301" s="45"/>
      <c r="I301" s="45"/>
      <c r="J301" s="45"/>
      <c r="K301" s="45"/>
      <c r="L301" s="45"/>
      <c r="M301" s="45"/>
      <c r="N301" s="45"/>
      <c r="O301" s="45"/>
      <c r="P301" s="45"/>
      <c r="Q301" s="45"/>
      <c r="R301" s="45"/>
      <c r="S301" s="45"/>
      <c r="T301" s="1"/>
      <c r="U301" s="1"/>
      <c r="V301" s="1"/>
      <c r="W301" s="1"/>
      <c r="X301" s="45"/>
      <c r="Y301" s="45"/>
      <c r="Z301" s="45"/>
      <c r="AA301" s="45"/>
    </row>
    <row r="302" spans="1:43" ht="16.5" x14ac:dyDescent="0.3">
      <c r="A302" s="43"/>
      <c r="B302" s="45"/>
      <c r="C302" s="45"/>
      <c r="D302" s="45"/>
      <c r="E302" s="45"/>
      <c r="F302" s="45"/>
      <c r="G302" s="45"/>
      <c r="H302" s="45"/>
      <c r="I302" s="45"/>
      <c r="J302" s="45"/>
      <c r="K302" s="45"/>
      <c r="L302" s="45"/>
      <c r="M302" s="45"/>
      <c r="N302" s="45"/>
      <c r="O302" s="45"/>
      <c r="P302" s="45"/>
      <c r="Q302" s="45"/>
      <c r="R302" s="45"/>
      <c r="S302" s="45"/>
      <c r="T302" s="1"/>
      <c r="U302" s="1"/>
      <c r="V302" s="1"/>
      <c r="W302" s="1"/>
      <c r="X302" s="45"/>
      <c r="Y302" s="45"/>
      <c r="Z302" s="45"/>
      <c r="AA302" s="45"/>
    </row>
    <row r="303" spans="1:43" ht="16.5" x14ac:dyDescent="0.3">
      <c r="A303" s="43"/>
      <c r="B303" s="45"/>
      <c r="C303" s="45"/>
      <c r="D303" s="45"/>
      <c r="E303" s="45"/>
      <c r="F303" s="45"/>
      <c r="G303" s="45"/>
      <c r="H303" s="45"/>
      <c r="I303" s="45"/>
      <c r="J303" s="45"/>
      <c r="K303" s="45"/>
      <c r="L303" s="45"/>
      <c r="M303" s="45"/>
      <c r="N303" s="45"/>
      <c r="O303" s="45"/>
      <c r="P303" s="45"/>
      <c r="Q303" s="45"/>
      <c r="R303" s="45"/>
      <c r="S303" s="45"/>
      <c r="T303" s="1"/>
      <c r="U303" s="1"/>
      <c r="V303" s="1"/>
      <c r="W303" s="1"/>
      <c r="X303" s="45"/>
      <c r="Y303" s="45"/>
      <c r="Z303" s="45"/>
      <c r="AA303" s="45"/>
    </row>
    <row r="304" spans="1:43" ht="16.5" x14ac:dyDescent="0.3">
      <c r="A304" s="43"/>
      <c r="B304" s="45"/>
      <c r="C304" s="45"/>
      <c r="D304" s="45"/>
      <c r="E304" s="45"/>
      <c r="F304" s="45"/>
      <c r="G304" s="45"/>
      <c r="H304" s="45"/>
      <c r="I304" s="45"/>
      <c r="J304" s="45"/>
      <c r="K304" s="45"/>
      <c r="L304" s="45"/>
      <c r="M304" s="45"/>
      <c r="N304" s="45"/>
      <c r="O304" s="45"/>
      <c r="P304" s="45"/>
      <c r="Q304" s="45"/>
      <c r="R304" s="45"/>
      <c r="S304" s="45"/>
      <c r="T304" s="1"/>
      <c r="U304" s="1"/>
      <c r="V304" s="1"/>
      <c r="W304" s="1"/>
      <c r="X304" s="45"/>
      <c r="Y304" s="45"/>
      <c r="Z304" s="45"/>
      <c r="AA304" s="45"/>
    </row>
    <row r="305" spans="1:27" ht="16.5" x14ac:dyDescent="0.3">
      <c r="A305" s="43"/>
      <c r="B305" s="45"/>
      <c r="C305" s="45"/>
      <c r="D305" s="45"/>
      <c r="E305" s="45"/>
      <c r="F305" s="45"/>
      <c r="G305" s="45"/>
      <c r="H305" s="45"/>
      <c r="I305" s="45"/>
      <c r="J305" s="45"/>
      <c r="K305" s="45"/>
      <c r="L305" s="45"/>
      <c r="M305" s="45"/>
      <c r="N305" s="45"/>
      <c r="O305" s="45"/>
      <c r="P305" s="45"/>
      <c r="Q305" s="45"/>
      <c r="R305" s="45"/>
      <c r="S305" s="45"/>
      <c r="T305" s="1"/>
      <c r="U305" s="1"/>
      <c r="V305" s="1"/>
      <c r="W305" s="1"/>
      <c r="X305" s="45"/>
      <c r="Y305" s="45"/>
      <c r="Z305" s="45"/>
      <c r="AA305" s="45"/>
    </row>
    <row r="306" spans="1:27" ht="16.5" x14ac:dyDescent="0.3">
      <c r="A306" s="43"/>
      <c r="B306" s="45"/>
      <c r="C306" s="45"/>
      <c r="D306" s="45"/>
      <c r="E306" s="45"/>
      <c r="F306" s="45"/>
      <c r="G306" s="45"/>
      <c r="H306" s="45"/>
      <c r="I306" s="45"/>
      <c r="J306" s="45"/>
      <c r="K306" s="45"/>
      <c r="L306" s="45"/>
      <c r="M306" s="45"/>
      <c r="N306" s="45"/>
      <c r="O306" s="45"/>
      <c r="P306" s="45"/>
      <c r="Q306" s="45"/>
      <c r="R306" s="45"/>
      <c r="S306" s="45"/>
      <c r="T306" s="1"/>
      <c r="U306" s="1"/>
      <c r="V306" s="1"/>
      <c r="W306" s="1"/>
      <c r="X306" s="45"/>
      <c r="Y306" s="45"/>
      <c r="Z306" s="45"/>
      <c r="AA306" s="45"/>
    </row>
    <row r="307" spans="1:27" ht="16.5" x14ac:dyDescent="0.3">
      <c r="A307" s="43"/>
      <c r="B307" s="45"/>
      <c r="C307" s="45"/>
      <c r="D307" s="45"/>
      <c r="E307" s="45"/>
      <c r="F307" s="45"/>
      <c r="G307" s="45"/>
      <c r="H307" s="45"/>
      <c r="I307" s="45"/>
      <c r="J307" s="45"/>
      <c r="K307" s="45"/>
      <c r="L307" s="45"/>
      <c r="M307" s="45"/>
      <c r="N307" s="45"/>
      <c r="O307" s="45"/>
      <c r="P307" s="45"/>
      <c r="Q307" s="45"/>
      <c r="R307" s="45"/>
      <c r="S307" s="45"/>
      <c r="T307" s="1"/>
      <c r="U307" s="1"/>
      <c r="V307" s="1"/>
      <c r="W307" s="1"/>
      <c r="X307" s="45"/>
      <c r="Y307" s="45"/>
      <c r="Z307" s="45"/>
      <c r="AA307" s="45"/>
    </row>
    <row r="308" spans="1:27" ht="16.5" x14ac:dyDescent="0.3">
      <c r="A308" s="43"/>
      <c r="B308" s="45"/>
      <c r="C308" s="45"/>
      <c r="D308" s="45"/>
      <c r="E308" s="45"/>
      <c r="F308" s="45"/>
      <c r="G308" s="45"/>
      <c r="H308" s="45"/>
      <c r="I308" s="45"/>
      <c r="J308" s="45"/>
      <c r="K308" s="45"/>
      <c r="L308" s="45"/>
      <c r="M308" s="45"/>
      <c r="N308" s="45"/>
      <c r="O308" s="45"/>
      <c r="P308" s="45"/>
      <c r="Q308" s="45"/>
      <c r="R308" s="45"/>
      <c r="S308" s="45"/>
      <c r="T308" s="1"/>
      <c r="U308" s="1"/>
      <c r="V308" s="1"/>
      <c r="W308" s="1"/>
      <c r="X308" s="45"/>
      <c r="Y308" s="45"/>
      <c r="Z308" s="45"/>
      <c r="AA308" s="45"/>
    </row>
    <row r="309" spans="1:27" ht="16.5" x14ac:dyDescent="0.3">
      <c r="A309" s="43"/>
      <c r="B309" s="45"/>
      <c r="C309" s="45"/>
      <c r="D309" s="45"/>
      <c r="E309" s="45"/>
      <c r="F309" s="45"/>
      <c r="G309" s="45"/>
      <c r="H309" s="45"/>
      <c r="I309" s="45"/>
      <c r="J309" s="45"/>
      <c r="K309" s="45"/>
      <c r="L309" s="45"/>
      <c r="M309" s="45"/>
      <c r="N309" s="45"/>
      <c r="O309" s="45"/>
      <c r="P309" s="45"/>
      <c r="Q309" s="45"/>
      <c r="R309" s="45"/>
      <c r="S309" s="45"/>
      <c r="T309" s="1"/>
      <c r="U309" s="1"/>
      <c r="V309" s="1"/>
      <c r="W309" s="1"/>
      <c r="X309" s="45"/>
      <c r="Y309" s="45"/>
      <c r="Z309" s="45"/>
      <c r="AA309" s="45"/>
    </row>
    <row r="310" spans="1:27" ht="16.5" x14ac:dyDescent="0.3">
      <c r="A310" s="43"/>
      <c r="B310" s="45"/>
      <c r="C310" s="45"/>
      <c r="D310" s="45"/>
      <c r="E310" s="45"/>
      <c r="F310" s="45"/>
      <c r="G310" s="45"/>
      <c r="H310" s="45"/>
      <c r="I310" s="45"/>
      <c r="J310" s="45"/>
      <c r="K310" s="45"/>
      <c r="L310" s="45"/>
      <c r="M310" s="45"/>
      <c r="N310" s="45"/>
      <c r="O310" s="45"/>
      <c r="P310" s="45"/>
      <c r="Q310" s="45"/>
      <c r="R310" s="45"/>
      <c r="S310" s="45"/>
      <c r="T310" s="1"/>
      <c r="U310" s="1"/>
      <c r="V310" s="1"/>
      <c r="W310" s="1"/>
      <c r="X310" s="45"/>
      <c r="Y310" s="45"/>
      <c r="Z310" s="45"/>
      <c r="AA310" s="45"/>
    </row>
    <row r="311" spans="1:27" ht="16.5" x14ac:dyDescent="0.3">
      <c r="A311" s="43"/>
      <c r="B311" s="45"/>
      <c r="C311" s="45"/>
      <c r="D311" s="45"/>
      <c r="E311" s="45"/>
      <c r="F311" s="45"/>
      <c r="G311" s="45"/>
      <c r="H311" s="45"/>
      <c r="I311" s="45"/>
      <c r="J311" s="45"/>
      <c r="K311" s="45"/>
      <c r="L311" s="45"/>
      <c r="M311" s="45"/>
      <c r="N311" s="45"/>
      <c r="O311" s="45"/>
      <c r="P311" s="45"/>
      <c r="Q311" s="45"/>
      <c r="R311" s="45"/>
      <c r="S311" s="45"/>
      <c r="T311" s="1"/>
      <c r="U311" s="1"/>
      <c r="V311" s="1"/>
      <c r="W311" s="1"/>
      <c r="X311" s="45"/>
      <c r="Y311" s="45"/>
      <c r="Z311" s="45"/>
      <c r="AA311" s="45"/>
    </row>
    <row r="312" spans="1:27" ht="16.5" x14ac:dyDescent="0.3">
      <c r="A312" s="43"/>
      <c r="B312" s="45"/>
      <c r="C312" s="45"/>
      <c r="D312" s="45"/>
      <c r="E312" s="45"/>
      <c r="F312" s="45"/>
      <c r="G312" s="45"/>
      <c r="H312" s="45"/>
      <c r="I312" s="45"/>
      <c r="J312" s="45"/>
      <c r="K312" s="45"/>
      <c r="L312" s="45"/>
      <c r="M312" s="45"/>
      <c r="N312" s="45"/>
      <c r="O312" s="45"/>
      <c r="P312" s="45"/>
      <c r="Q312" s="45"/>
      <c r="R312" s="45"/>
      <c r="S312" s="45"/>
      <c r="T312" s="1"/>
      <c r="U312" s="1"/>
      <c r="V312" s="1"/>
      <c r="W312" s="1"/>
      <c r="X312" s="45"/>
      <c r="Y312" s="45"/>
      <c r="Z312" s="45"/>
      <c r="AA312" s="45"/>
    </row>
    <row r="313" spans="1:27" ht="16.5" x14ac:dyDescent="0.3">
      <c r="A313" s="43"/>
      <c r="B313" s="45"/>
      <c r="C313" s="45"/>
      <c r="D313" s="45"/>
      <c r="E313" s="45"/>
      <c r="F313" s="45"/>
      <c r="G313" s="45"/>
      <c r="H313" s="45"/>
      <c r="I313" s="45"/>
      <c r="J313" s="45"/>
      <c r="K313" s="45"/>
      <c r="L313" s="45"/>
      <c r="M313" s="45"/>
      <c r="N313" s="45"/>
      <c r="O313" s="45"/>
      <c r="P313" s="45"/>
      <c r="Q313" s="45"/>
      <c r="R313" s="45"/>
      <c r="S313" s="45"/>
      <c r="T313" s="1"/>
      <c r="U313" s="1"/>
      <c r="V313" s="1"/>
      <c r="W313" s="1"/>
      <c r="X313" s="45"/>
      <c r="Y313" s="45"/>
      <c r="Z313" s="45"/>
      <c r="AA313" s="45"/>
    </row>
    <row r="314" spans="1:27" ht="16.5" x14ac:dyDescent="0.3">
      <c r="A314" s="43"/>
      <c r="B314" s="45"/>
      <c r="C314" s="45"/>
      <c r="D314" s="45"/>
      <c r="E314" s="45"/>
      <c r="F314" s="45"/>
      <c r="G314" s="43"/>
      <c r="H314" s="43"/>
      <c r="I314" s="43"/>
      <c r="J314" s="43"/>
      <c r="K314" s="43"/>
      <c r="L314" s="43"/>
      <c r="M314" s="43"/>
      <c r="N314" s="43"/>
      <c r="O314" s="43"/>
      <c r="P314" s="43"/>
      <c r="Q314" s="43"/>
      <c r="R314" s="43"/>
      <c r="S314" s="45"/>
      <c r="T314" s="1"/>
      <c r="U314" s="1"/>
      <c r="V314" s="1"/>
      <c r="W314" s="1"/>
      <c r="X314" s="45"/>
      <c r="Y314" s="43"/>
      <c r="Z314" s="45"/>
      <c r="AA314" s="43"/>
    </row>
    <row r="315" spans="1:27" x14ac:dyDescent="0.25">
      <c r="A315" s="43"/>
      <c r="B315" s="43"/>
      <c r="C315" s="43"/>
      <c r="D315" s="43"/>
      <c r="E315" s="43"/>
      <c r="F315" s="43"/>
      <c r="G315" s="43"/>
      <c r="H315" s="43"/>
      <c r="I315" s="43"/>
      <c r="J315" s="43"/>
      <c r="K315" s="43"/>
      <c r="L315" s="43"/>
      <c r="M315" s="43"/>
      <c r="N315" s="43"/>
      <c r="O315" s="43"/>
      <c r="P315" s="43"/>
      <c r="Q315" s="43"/>
      <c r="R315" s="43"/>
      <c r="S315" s="43"/>
      <c r="X315" s="43"/>
      <c r="Y315" s="43"/>
      <c r="Z315" s="43"/>
      <c r="AA315" s="43"/>
    </row>
    <row r="316" spans="1:27" x14ac:dyDescent="0.25">
      <c r="A316" s="43"/>
      <c r="B316" s="43"/>
      <c r="C316" s="43"/>
      <c r="D316" s="43"/>
      <c r="E316" s="43"/>
      <c r="F316" s="43"/>
      <c r="G316" s="43"/>
      <c r="H316" s="43"/>
      <c r="I316" s="43"/>
      <c r="J316" s="43"/>
      <c r="K316" s="43"/>
      <c r="L316" s="43"/>
      <c r="M316" s="43"/>
      <c r="N316" s="43"/>
      <c r="O316" s="43"/>
      <c r="P316" s="43"/>
      <c r="Q316" s="43"/>
      <c r="R316" s="43"/>
      <c r="S316" s="43"/>
      <c r="X316" s="43"/>
      <c r="Y316" s="43"/>
      <c r="Z316" s="43"/>
      <c r="AA316" s="43"/>
    </row>
  </sheetData>
  <mergeCells count="277">
    <mergeCell ref="T4:T9"/>
    <mergeCell ref="V4:V9"/>
    <mergeCell ref="W4:W9"/>
    <mergeCell ref="V214:V219"/>
    <mergeCell ref="W214:W219"/>
    <mergeCell ref="V220:V225"/>
    <mergeCell ref="W220:W225"/>
    <mergeCell ref="V226:V231"/>
    <mergeCell ref="W226:W231"/>
    <mergeCell ref="V184:V189"/>
    <mergeCell ref="W184:W189"/>
    <mergeCell ref="V190:V195"/>
    <mergeCell ref="W190:W195"/>
    <mergeCell ref="V196:V201"/>
    <mergeCell ref="W196:W201"/>
    <mergeCell ref="V202:V207"/>
    <mergeCell ref="W202:W207"/>
    <mergeCell ref="V208:V213"/>
    <mergeCell ref="W208:W213"/>
    <mergeCell ref="V154:V159"/>
    <mergeCell ref="W154:W159"/>
    <mergeCell ref="V160:V165"/>
    <mergeCell ref="W160:W165"/>
    <mergeCell ref="V166:V171"/>
    <mergeCell ref="W166:W171"/>
    <mergeCell ref="V172:V177"/>
    <mergeCell ref="W172:W177"/>
    <mergeCell ref="V178:V183"/>
    <mergeCell ref="W178:W183"/>
    <mergeCell ref="V124:V129"/>
    <mergeCell ref="W124:W129"/>
    <mergeCell ref="V130:V135"/>
    <mergeCell ref="W130:W135"/>
    <mergeCell ref="V136:V141"/>
    <mergeCell ref="W136:W141"/>
    <mergeCell ref="V142:V147"/>
    <mergeCell ref="W142:W147"/>
    <mergeCell ref="V148:V153"/>
    <mergeCell ref="W148:W153"/>
    <mergeCell ref="V94:V99"/>
    <mergeCell ref="W94:W99"/>
    <mergeCell ref="V100:V105"/>
    <mergeCell ref="W100:W105"/>
    <mergeCell ref="V106:V111"/>
    <mergeCell ref="W106:W111"/>
    <mergeCell ref="V112:V117"/>
    <mergeCell ref="W112:W117"/>
    <mergeCell ref="V118:V123"/>
    <mergeCell ref="W118:W123"/>
    <mergeCell ref="V64:V69"/>
    <mergeCell ref="W64:W69"/>
    <mergeCell ref="V70:V75"/>
    <mergeCell ref="W70:W75"/>
    <mergeCell ref="V76:V81"/>
    <mergeCell ref="W76:W81"/>
    <mergeCell ref="V82:V87"/>
    <mergeCell ref="W82:W87"/>
    <mergeCell ref="V88:V93"/>
    <mergeCell ref="W88:W93"/>
    <mergeCell ref="V34:V39"/>
    <mergeCell ref="W34:W39"/>
    <mergeCell ref="V40:V45"/>
    <mergeCell ref="W40:W45"/>
    <mergeCell ref="V46:V51"/>
    <mergeCell ref="W46:W51"/>
    <mergeCell ref="V52:V57"/>
    <mergeCell ref="W52:W57"/>
    <mergeCell ref="V58:V63"/>
    <mergeCell ref="W58:W63"/>
    <mergeCell ref="V1:V2"/>
    <mergeCell ref="W1:W2"/>
    <mergeCell ref="V10:V15"/>
    <mergeCell ref="W10:W15"/>
    <mergeCell ref="V16:V21"/>
    <mergeCell ref="W16:W21"/>
    <mergeCell ref="V22:V27"/>
    <mergeCell ref="W22:W27"/>
    <mergeCell ref="V28:V33"/>
    <mergeCell ref="W28:W33"/>
    <mergeCell ref="D142:D147"/>
    <mergeCell ref="D148:D153"/>
    <mergeCell ref="D154:D159"/>
    <mergeCell ref="D160:D165"/>
    <mergeCell ref="D166:D171"/>
    <mergeCell ref="D226:D231"/>
    <mergeCell ref="D172:D177"/>
    <mergeCell ref="D178:D183"/>
    <mergeCell ref="D184:D189"/>
    <mergeCell ref="D190:D195"/>
    <mergeCell ref="D196:D201"/>
    <mergeCell ref="A226:A231"/>
    <mergeCell ref="D1:D2"/>
    <mergeCell ref="D10:D15"/>
    <mergeCell ref="D16:D21"/>
    <mergeCell ref="D22:D27"/>
    <mergeCell ref="D28:D33"/>
    <mergeCell ref="D34:D39"/>
    <mergeCell ref="D40:D45"/>
    <mergeCell ref="D46:D51"/>
    <mergeCell ref="D52:D57"/>
    <mergeCell ref="D58:D63"/>
    <mergeCell ref="D64:D69"/>
    <mergeCell ref="D70:D75"/>
    <mergeCell ref="D76:D81"/>
    <mergeCell ref="D82:D87"/>
    <mergeCell ref="D88:D93"/>
    <mergeCell ref="D94:D99"/>
    <mergeCell ref="D100:D105"/>
    <mergeCell ref="D106:D111"/>
    <mergeCell ref="D112:D117"/>
    <mergeCell ref="D118:D123"/>
    <mergeCell ref="D124:D129"/>
    <mergeCell ref="D130:D135"/>
    <mergeCell ref="D136:D141"/>
    <mergeCell ref="A148:A153"/>
    <mergeCell ref="A154:A159"/>
    <mergeCell ref="A160:A165"/>
    <mergeCell ref="A166:A171"/>
    <mergeCell ref="A172:A177"/>
    <mergeCell ref="A178:A183"/>
    <mergeCell ref="A184:A189"/>
    <mergeCell ref="A190:A195"/>
    <mergeCell ref="A196:A201"/>
    <mergeCell ref="A94:A99"/>
    <mergeCell ref="A100:A105"/>
    <mergeCell ref="A106:A111"/>
    <mergeCell ref="A112:A117"/>
    <mergeCell ref="A118:A123"/>
    <mergeCell ref="A124:A129"/>
    <mergeCell ref="A130:A135"/>
    <mergeCell ref="A136:A141"/>
    <mergeCell ref="A142:A147"/>
    <mergeCell ref="A40:A45"/>
    <mergeCell ref="A46:A51"/>
    <mergeCell ref="A52:A57"/>
    <mergeCell ref="A58:A63"/>
    <mergeCell ref="A64:A69"/>
    <mergeCell ref="A70:A75"/>
    <mergeCell ref="A76:A81"/>
    <mergeCell ref="A82:A87"/>
    <mergeCell ref="A88:A93"/>
    <mergeCell ref="S1:S2"/>
    <mergeCell ref="C1:C2"/>
    <mergeCell ref="A1:A3"/>
    <mergeCell ref="A10:A15"/>
    <mergeCell ref="A16:A21"/>
    <mergeCell ref="A22:A27"/>
    <mergeCell ref="A28:A33"/>
    <mergeCell ref="B2:B3"/>
    <mergeCell ref="A34:A39"/>
    <mergeCell ref="A4:A9"/>
    <mergeCell ref="D4:D9"/>
    <mergeCell ref="E4:E9"/>
    <mergeCell ref="T142:T147"/>
    <mergeCell ref="T148:T153"/>
    <mergeCell ref="T154:T159"/>
    <mergeCell ref="T160:T165"/>
    <mergeCell ref="T166:T171"/>
    <mergeCell ref="T112:T117"/>
    <mergeCell ref="T118:T123"/>
    <mergeCell ref="T124:T129"/>
    <mergeCell ref="T130:T135"/>
    <mergeCell ref="T136:T141"/>
    <mergeCell ref="T88:T93"/>
    <mergeCell ref="T94:T99"/>
    <mergeCell ref="T100:T105"/>
    <mergeCell ref="T106:T111"/>
    <mergeCell ref="T1:T3"/>
    <mergeCell ref="T226:T231"/>
    <mergeCell ref="T10:T15"/>
    <mergeCell ref="T16:T21"/>
    <mergeCell ref="T22:T27"/>
    <mergeCell ref="T28:T33"/>
    <mergeCell ref="T34:T39"/>
    <mergeCell ref="T40:T45"/>
    <mergeCell ref="T46:T51"/>
    <mergeCell ref="T52:T57"/>
    <mergeCell ref="T58:T63"/>
    <mergeCell ref="T64:T69"/>
    <mergeCell ref="T70:T75"/>
    <mergeCell ref="T76:T81"/>
    <mergeCell ref="T82:T87"/>
    <mergeCell ref="T172:T177"/>
    <mergeCell ref="T178:T183"/>
    <mergeCell ref="T184:T189"/>
    <mergeCell ref="T190:T195"/>
    <mergeCell ref="T196:T201"/>
    <mergeCell ref="A202:A207"/>
    <mergeCell ref="D202:D207"/>
    <mergeCell ref="T202:T207"/>
    <mergeCell ref="A208:A213"/>
    <mergeCell ref="D208:D213"/>
    <mergeCell ref="T208:T213"/>
    <mergeCell ref="A214:A219"/>
    <mergeCell ref="D214:D219"/>
    <mergeCell ref="T214:T219"/>
    <mergeCell ref="A220:A225"/>
    <mergeCell ref="D220:D225"/>
    <mergeCell ref="T220:T225"/>
    <mergeCell ref="E1:E2"/>
    <mergeCell ref="E10:E15"/>
    <mergeCell ref="E16:E21"/>
    <mergeCell ref="E22:E27"/>
    <mergeCell ref="E28:E33"/>
    <mergeCell ref="E34:E39"/>
    <mergeCell ref="E40:E45"/>
    <mergeCell ref="E46:E51"/>
    <mergeCell ref="E52:E57"/>
    <mergeCell ref="E58:E63"/>
    <mergeCell ref="E64:E69"/>
    <mergeCell ref="E70:E75"/>
    <mergeCell ref="E76:E81"/>
    <mergeCell ref="E82:E87"/>
    <mergeCell ref="E88:E93"/>
    <mergeCell ref="E94:E99"/>
    <mergeCell ref="E100:E105"/>
    <mergeCell ref="E106:E111"/>
    <mergeCell ref="E112:E117"/>
    <mergeCell ref="E118:E123"/>
    <mergeCell ref="E124:E129"/>
    <mergeCell ref="E184:E189"/>
    <mergeCell ref="E190:E195"/>
    <mergeCell ref="E196:E201"/>
    <mergeCell ref="E202:E207"/>
    <mergeCell ref="E208:E213"/>
    <mergeCell ref="E214:E219"/>
    <mergeCell ref="E220:E225"/>
    <mergeCell ref="E226:E231"/>
    <mergeCell ref="F1:R1"/>
    <mergeCell ref="E130:E135"/>
    <mergeCell ref="E136:E141"/>
    <mergeCell ref="E142:E147"/>
    <mergeCell ref="E148:E153"/>
    <mergeCell ref="E154:E159"/>
    <mergeCell ref="E160:E165"/>
    <mergeCell ref="E166:E171"/>
    <mergeCell ref="E172:E177"/>
    <mergeCell ref="E178:E183"/>
    <mergeCell ref="U1:U2"/>
    <mergeCell ref="U4:U9"/>
    <mergeCell ref="U28:U33"/>
    <mergeCell ref="U34:U39"/>
    <mergeCell ref="U22:U27"/>
    <mergeCell ref="U10:U15"/>
    <mergeCell ref="U16:U21"/>
    <mergeCell ref="U40:U45"/>
    <mergeCell ref="U46:U51"/>
    <mergeCell ref="U52:U57"/>
    <mergeCell ref="U58:U63"/>
    <mergeCell ref="U64:U69"/>
    <mergeCell ref="U70:U75"/>
    <mergeCell ref="U76:U81"/>
    <mergeCell ref="U82:U87"/>
    <mergeCell ref="U88:U93"/>
    <mergeCell ref="U94:U99"/>
    <mergeCell ref="U100:U105"/>
    <mergeCell ref="U106:U111"/>
    <mergeCell ref="U112:U117"/>
    <mergeCell ref="U118:U123"/>
    <mergeCell ref="U124:U129"/>
    <mergeCell ref="U130:U135"/>
    <mergeCell ref="U136:U141"/>
    <mergeCell ref="U142:U147"/>
    <mergeCell ref="U148:U153"/>
    <mergeCell ref="U154:U159"/>
    <mergeCell ref="U214:U219"/>
    <mergeCell ref="U220:U225"/>
    <mergeCell ref="U226:U231"/>
    <mergeCell ref="U160:U165"/>
    <mergeCell ref="U166:U171"/>
    <mergeCell ref="U172:U177"/>
    <mergeCell ref="U178:U183"/>
    <mergeCell ref="U184:U189"/>
    <mergeCell ref="U190:U195"/>
    <mergeCell ref="U196:U201"/>
    <mergeCell ref="U202:U207"/>
    <mergeCell ref="U208:U213"/>
  </mergeCells>
  <conditionalFormatting sqref="D10:D231">
    <cfRule type="top10" dxfId="19" priority="22" rank="1"/>
  </conditionalFormatting>
  <conditionalFormatting sqref="E10:F231">
    <cfRule type="top10" dxfId="18" priority="20" rank="1"/>
  </conditionalFormatting>
  <conditionalFormatting sqref="P10:P231 N10:N231 L10:L231 H10:H231">
    <cfRule type="top10" dxfId="17" priority="19" rank="1"/>
  </conditionalFormatting>
  <conditionalFormatting sqref="J10:J231">
    <cfRule type="top10" dxfId="16" priority="18" rank="1"/>
  </conditionalFormatting>
  <conditionalFormatting sqref="T29:T231 U34 T28:U28 T10:T27 U22 U4 U10 U16 U40 U46 U52 U58 U64 U70 U76 U82 U88 U94 U100 U106 U112 U118 U124 U130 U136 U142 U148 U154 U160 U166 U172 U178 U184 U190 U196 U202 U208 U214 U220 U226">
    <cfRule type="colorScale" priority="17">
      <colorScale>
        <cfvo type="min"/>
        <cfvo type="percentile" val="50"/>
        <cfvo type="max"/>
        <color rgb="FFF8696B"/>
        <color rgb="FFFFEB84"/>
        <color rgb="FF63BE7B"/>
      </colorScale>
    </cfRule>
  </conditionalFormatting>
  <conditionalFormatting sqref="W226:W231 W10:W201">
    <cfRule type="colorScale" priority="16">
      <colorScale>
        <cfvo type="min"/>
        <cfvo type="percentile" val="50"/>
        <cfvo type="max"/>
        <color rgb="FFF8696B"/>
        <color rgb="FFFFEB84"/>
        <color rgb="FF63BE7B"/>
      </colorScale>
    </cfRule>
  </conditionalFormatting>
  <conditionalFormatting sqref="W202:W207">
    <cfRule type="colorScale" priority="15">
      <colorScale>
        <cfvo type="min"/>
        <cfvo type="percentile" val="50"/>
        <cfvo type="max"/>
        <color rgb="FFF8696B"/>
        <color rgb="FFFFEB84"/>
        <color rgb="FF63BE7B"/>
      </colorScale>
    </cfRule>
  </conditionalFormatting>
  <conditionalFormatting sqref="W208:W219">
    <cfRule type="colorScale" priority="14">
      <colorScale>
        <cfvo type="min"/>
        <cfvo type="percentile" val="50"/>
        <cfvo type="max"/>
        <color rgb="FFF8696B"/>
        <color rgb="FFFFEB84"/>
        <color rgb="FF63BE7B"/>
      </colorScale>
    </cfRule>
  </conditionalFormatting>
  <conditionalFormatting sqref="W220:W225">
    <cfRule type="colorScale" priority="13">
      <colorScale>
        <cfvo type="min"/>
        <cfvo type="percentile" val="50"/>
        <cfvo type="max"/>
        <color rgb="FFF8696B"/>
        <color rgb="FFFFEB84"/>
        <color rgb="FF63BE7B"/>
      </colorScale>
    </cfRule>
  </conditionalFormatting>
  <conditionalFormatting sqref="V10:V231">
    <cfRule type="colorScale" priority="12">
      <colorScale>
        <cfvo type="min"/>
        <cfvo type="percentile" val="50"/>
        <cfvo type="max"/>
        <color rgb="FFF8696B"/>
        <color rgb="FFFFEB84"/>
        <color rgb="FF63BE7B"/>
      </colorScale>
    </cfRule>
  </conditionalFormatting>
  <conditionalFormatting sqref="D4:D9">
    <cfRule type="top10" dxfId="15" priority="11" rank="1"/>
  </conditionalFormatting>
  <conditionalFormatting sqref="E4:F9">
    <cfRule type="top10" dxfId="14" priority="10" rank="1"/>
  </conditionalFormatting>
  <conditionalFormatting sqref="P4:P9 N4:N9 L4:L9 H4:H9">
    <cfRule type="top10" dxfId="13" priority="9" rank="1"/>
  </conditionalFormatting>
  <conditionalFormatting sqref="J4:J9">
    <cfRule type="top10" dxfId="12" priority="8" rank="1"/>
  </conditionalFormatting>
  <conditionalFormatting sqref="T4:T9">
    <cfRule type="colorScale" priority="7">
      <colorScale>
        <cfvo type="min"/>
        <cfvo type="percentile" val="50"/>
        <cfvo type="max"/>
        <color rgb="FFF8696B"/>
        <color rgb="FFFFEB84"/>
        <color rgb="FF63BE7B"/>
      </colorScale>
    </cfRule>
  </conditionalFormatting>
  <conditionalFormatting sqref="W4:W9">
    <cfRule type="colorScale" priority="6">
      <colorScale>
        <cfvo type="min"/>
        <cfvo type="percentile" val="50"/>
        <cfvo type="max"/>
        <color rgb="FFF8696B"/>
        <color rgb="FFFFEB84"/>
        <color rgb="FF63BE7B"/>
      </colorScale>
    </cfRule>
  </conditionalFormatting>
  <conditionalFormatting sqref="V4:V9">
    <cfRule type="colorScale" priority="5">
      <colorScale>
        <cfvo type="min"/>
        <cfvo type="percentile" val="50"/>
        <cfvo type="max"/>
        <color rgb="FFF8696B"/>
        <color rgb="FFFFEB84"/>
        <color rgb="FF63BE7B"/>
      </colorScale>
    </cfRule>
  </conditionalFormatting>
  <conditionalFormatting sqref="X10:X231">
    <cfRule type="top10" dxfId="11" priority="4" rank="1"/>
  </conditionalFormatting>
  <conditionalFormatting sqref="X4:X9">
    <cfRule type="top10" dxfId="10" priority="3" rank="1"/>
  </conditionalFormatting>
  <conditionalFormatting sqref="Z10:Z231">
    <cfRule type="top10" dxfId="9" priority="2" rank="1"/>
  </conditionalFormatting>
  <conditionalFormatting sqref="Z4:Z9">
    <cfRule type="top10" dxfId="8" priority="1" rank="1"/>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16"/>
  <sheetViews>
    <sheetView zoomScaleNormal="100" workbookViewId="0">
      <pane xSplit="2" ySplit="3" topLeftCell="G179" activePane="bottomRight" state="frozen"/>
      <selection pane="topRight" activeCell="B1" sqref="B1"/>
      <selection pane="bottomLeft" activeCell="A3" sqref="A3"/>
      <selection pane="bottomRight" activeCell="G186" sqref="G186"/>
    </sheetView>
  </sheetViews>
  <sheetFormatPr baseColWidth="10" defaultRowHeight="15" x14ac:dyDescent="0.25"/>
  <cols>
    <col min="1" max="1" width="12.7109375" customWidth="1"/>
    <col min="2" max="3" width="20.7109375" customWidth="1"/>
    <col min="4" max="6" width="12.7109375" customWidth="1"/>
    <col min="7" max="7" width="20.7109375" customWidth="1"/>
    <col min="8" max="8" width="12.7109375" customWidth="1"/>
    <col min="9" max="9" width="20.7109375" customWidth="1"/>
    <col min="10" max="10" width="12.7109375" customWidth="1"/>
    <col min="11" max="13" width="20.7109375" customWidth="1"/>
    <col min="14" max="16" width="16.7109375" customWidth="1"/>
  </cols>
  <sheetData>
    <row r="1" spans="1:38" ht="35.1" customHeight="1" thickBot="1" x14ac:dyDescent="0.35">
      <c r="A1" s="165" t="s">
        <v>9</v>
      </c>
      <c r="B1" s="5" t="s">
        <v>5</v>
      </c>
      <c r="C1" s="156" t="s">
        <v>29</v>
      </c>
      <c r="D1" s="156" t="s">
        <v>35</v>
      </c>
      <c r="E1" s="156" t="s">
        <v>33</v>
      </c>
      <c r="F1" s="183">
        <f>'RECAP RENDEMENT'!D6</f>
        <v>11816</v>
      </c>
      <c r="G1" s="184"/>
      <c r="H1" s="184"/>
      <c r="I1" s="184"/>
      <c r="J1" s="184"/>
      <c r="K1" s="184"/>
      <c r="L1" s="185"/>
      <c r="M1" s="156" t="s">
        <v>2</v>
      </c>
      <c r="N1" s="156" t="s">
        <v>10</v>
      </c>
      <c r="O1" s="156" t="s">
        <v>43</v>
      </c>
      <c r="P1" s="156" t="s">
        <v>44</v>
      </c>
      <c r="Q1" s="3"/>
      <c r="R1" s="3"/>
      <c r="S1" s="3"/>
      <c r="T1" s="3"/>
      <c r="U1" s="3"/>
      <c r="V1" s="3"/>
      <c r="W1" s="3"/>
      <c r="X1" s="3"/>
      <c r="Y1" s="3"/>
      <c r="Z1" s="3"/>
      <c r="AA1" s="2"/>
      <c r="AB1" s="1"/>
      <c r="AC1" s="1"/>
      <c r="AD1" s="1"/>
      <c r="AE1" s="1"/>
      <c r="AF1" s="1"/>
      <c r="AG1" s="1"/>
      <c r="AH1" s="1"/>
      <c r="AI1" s="1"/>
      <c r="AJ1" s="1"/>
      <c r="AK1" s="1"/>
      <c r="AL1" s="1"/>
    </row>
    <row r="2" spans="1:38" ht="36" customHeight="1" thickBot="1" x14ac:dyDescent="0.35">
      <c r="A2" s="166"/>
      <c r="B2" s="156" t="s">
        <v>6</v>
      </c>
      <c r="C2" s="157"/>
      <c r="D2" s="157"/>
      <c r="E2" s="157"/>
      <c r="F2" s="187" t="s">
        <v>30</v>
      </c>
      <c r="G2" s="188"/>
      <c r="H2" s="187" t="s">
        <v>46</v>
      </c>
      <c r="I2" s="188"/>
      <c r="J2" s="189" t="s">
        <v>20</v>
      </c>
      <c r="K2" s="188"/>
      <c r="L2" s="21" t="s">
        <v>32</v>
      </c>
      <c r="M2" s="157"/>
      <c r="N2" s="182"/>
      <c r="O2" s="157"/>
      <c r="P2" s="157"/>
      <c r="Q2" s="3"/>
      <c r="R2" s="3"/>
      <c r="S2" s="3"/>
      <c r="T2" s="3"/>
      <c r="U2" s="3"/>
      <c r="V2" s="3"/>
      <c r="W2" s="3"/>
      <c r="X2" s="3"/>
      <c r="Y2" s="3"/>
      <c r="Z2" s="3"/>
      <c r="AA2" s="2"/>
      <c r="AB2" s="1"/>
      <c r="AC2" s="1"/>
      <c r="AD2" s="1"/>
      <c r="AE2" s="1"/>
      <c r="AF2" s="1"/>
      <c r="AG2" s="1"/>
      <c r="AH2" s="1"/>
      <c r="AI2" s="1"/>
      <c r="AJ2" s="1"/>
      <c r="AK2" s="1"/>
      <c r="AL2" s="1"/>
    </row>
    <row r="3" spans="1:38" ht="17.25" thickBot="1" x14ac:dyDescent="0.35">
      <c r="A3" s="167"/>
      <c r="B3" s="157"/>
      <c r="C3" s="32">
        <f>SUM(C10:C314)</f>
        <v>4102.75</v>
      </c>
      <c r="D3" s="33">
        <f>SUM(D10:D231)</f>
        <v>387352</v>
      </c>
      <c r="E3" s="33">
        <f>SUM(E10:E231)</f>
        <v>458029</v>
      </c>
      <c r="F3" s="33">
        <v>7</v>
      </c>
      <c r="G3" s="33">
        <f>SUM(G10:G314)</f>
        <v>380506</v>
      </c>
      <c r="H3" s="33">
        <v>7</v>
      </c>
      <c r="I3" s="33">
        <f>SUM(I10:I314)</f>
        <v>6846</v>
      </c>
      <c r="J3" s="33">
        <v>13.5</v>
      </c>
      <c r="K3" s="33">
        <f>SUM(K10:K314)</f>
        <v>76545</v>
      </c>
      <c r="L3" s="22">
        <f>(G3+I3)/F$1</f>
        <v>32.781990521327018</v>
      </c>
      <c r="M3" s="75">
        <f>(G3+K3)/C3</f>
        <v>111.40113338614344</v>
      </c>
      <c r="N3" s="157"/>
      <c r="O3" s="116">
        <f>AVERAGEIF(O10:O231,"&gt;0",O10:O231)</f>
        <v>1.0574835652040968</v>
      </c>
      <c r="P3" s="116">
        <f>AVERAGEIF(P10:P231,"&gt;0",P10:P231)</f>
        <v>0.90480470665141377</v>
      </c>
      <c r="Q3" s="2"/>
      <c r="R3" s="2"/>
      <c r="S3" s="2"/>
      <c r="T3" s="2"/>
      <c r="U3" s="2"/>
      <c r="V3" s="2"/>
      <c r="W3" s="2"/>
      <c r="X3" s="2"/>
      <c r="Y3" s="2"/>
      <c r="Z3" s="2"/>
      <c r="AA3" s="2"/>
      <c r="AB3" s="1"/>
      <c r="AC3" s="1"/>
      <c r="AD3" s="1"/>
      <c r="AE3" s="1"/>
      <c r="AF3" s="1"/>
      <c r="AG3" s="1"/>
      <c r="AH3" s="1"/>
      <c r="AI3" s="1"/>
      <c r="AJ3" s="1"/>
      <c r="AK3" s="1"/>
      <c r="AL3" s="1"/>
    </row>
    <row r="4" spans="1:38" ht="17.25" thickBot="1" x14ac:dyDescent="0.35">
      <c r="A4" s="146">
        <v>13</v>
      </c>
      <c r="B4" s="95"/>
      <c r="C4" s="95"/>
      <c r="D4" s="149">
        <f>SUM(G4:G9)+SUM(I4:I9)</f>
        <v>0</v>
      </c>
      <c r="E4" s="149">
        <f>SUM(G4:G9,K4:K9,H4:H9)</f>
        <v>0</v>
      </c>
      <c r="F4" s="99"/>
      <c r="G4" s="91">
        <f>F4*F$3</f>
        <v>0</v>
      </c>
      <c r="H4" s="99"/>
      <c r="I4" s="91">
        <f>H4*H$3</f>
        <v>0</v>
      </c>
      <c r="J4" s="99"/>
      <c r="K4" s="91">
        <f>J4*J$3</f>
        <v>0</v>
      </c>
      <c r="L4" s="92">
        <f>(G4+I4)/F$1</f>
        <v>0</v>
      </c>
      <c r="M4" s="84" t="str">
        <f>IF(C4=0,"",(G4+K4+I4)/C4)</f>
        <v/>
      </c>
      <c r="N4" s="186" t="e">
        <f>AVERAGE(M4:M9)</f>
        <v>#DIV/0!</v>
      </c>
      <c r="O4" s="152">
        <f>SUM(L4:L9)</f>
        <v>0</v>
      </c>
      <c r="P4" s="152">
        <v>0</v>
      </c>
      <c r="Q4" s="2"/>
      <c r="R4" s="2"/>
      <c r="S4" s="2"/>
      <c r="T4" s="2"/>
      <c r="U4" s="2"/>
      <c r="V4" s="2"/>
      <c r="W4" s="2"/>
      <c r="X4" s="2"/>
      <c r="Y4" s="2"/>
      <c r="Z4" s="2"/>
      <c r="AA4" s="2"/>
      <c r="AB4" s="1"/>
      <c r="AC4" s="1"/>
      <c r="AD4" s="1"/>
      <c r="AE4" s="1"/>
      <c r="AF4" s="1"/>
      <c r="AG4" s="1"/>
      <c r="AH4" s="1"/>
      <c r="AI4" s="1"/>
      <c r="AJ4" s="1"/>
      <c r="AK4" s="1"/>
      <c r="AL4" s="1"/>
    </row>
    <row r="5" spans="1:38" ht="17.25" thickBot="1" x14ac:dyDescent="0.35">
      <c r="A5" s="147"/>
      <c r="B5" s="96"/>
      <c r="C5" s="103"/>
      <c r="D5" s="150"/>
      <c r="E5" s="150"/>
      <c r="F5" s="100"/>
      <c r="G5" s="89">
        <f t="shared" ref="G5:G9" si="0">F5*F$3</f>
        <v>0</v>
      </c>
      <c r="H5" s="100"/>
      <c r="I5" s="89">
        <f t="shared" ref="I5:I9" si="1">H5*H$3</f>
        <v>0</v>
      </c>
      <c r="J5" s="100"/>
      <c r="K5" s="89">
        <f t="shared" ref="K5:K9" si="2">J5*J$3</f>
        <v>0</v>
      </c>
      <c r="L5" s="93">
        <f t="shared" ref="L5:L9" si="3">(G5+I5)/F$1</f>
        <v>0</v>
      </c>
      <c r="M5" s="86" t="str">
        <f t="shared" ref="M5:M68" si="4">IF(C5=0,"",(G5+K5+I5)/C5)</f>
        <v/>
      </c>
      <c r="N5" s="186"/>
      <c r="O5" s="152"/>
      <c r="P5" s="152"/>
      <c r="Q5" s="2"/>
      <c r="R5" s="2"/>
      <c r="S5" s="2"/>
      <c r="T5" s="2"/>
      <c r="U5" s="2"/>
      <c r="V5" s="2"/>
      <c r="W5" s="2"/>
      <c r="X5" s="2"/>
      <c r="Y5" s="2"/>
      <c r="Z5" s="2"/>
      <c r="AA5" s="2"/>
      <c r="AB5" s="1"/>
      <c r="AC5" s="1"/>
      <c r="AD5" s="1"/>
      <c r="AE5" s="1"/>
      <c r="AF5" s="1"/>
      <c r="AG5" s="1"/>
      <c r="AH5" s="1"/>
      <c r="AI5" s="1"/>
      <c r="AJ5" s="1"/>
      <c r="AK5" s="1"/>
      <c r="AL5" s="1"/>
    </row>
    <row r="6" spans="1:38" ht="17.25" thickBot="1" x14ac:dyDescent="0.35">
      <c r="A6" s="147"/>
      <c r="B6" s="97"/>
      <c r="C6" s="103"/>
      <c r="D6" s="150"/>
      <c r="E6" s="150"/>
      <c r="F6" s="100"/>
      <c r="G6" s="89">
        <f t="shared" si="0"/>
        <v>0</v>
      </c>
      <c r="H6" s="100"/>
      <c r="I6" s="89">
        <f t="shared" si="1"/>
        <v>0</v>
      </c>
      <c r="J6" s="100"/>
      <c r="K6" s="89">
        <f t="shared" si="2"/>
        <v>0</v>
      </c>
      <c r="L6" s="93">
        <f t="shared" si="3"/>
        <v>0</v>
      </c>
      <c r="M6" s="86" t="str">
        <f t="shared" si="4"/>
        <v/>
      </c>
      <c r="N6" s="186"/>
      <c r="O6" s="152"/>
      <c r="P6" s="152"/>
      <c r="Q6" s="2"/>
      <c r="R6" s="2"/>
      <c r="S6" s="2"/>
      <c r="T6" s="2"/>
      <c r="U6" s="2"/>
      <c r="V6" s="2"/>
      <c r="W6" s="2"/>
      <c r="X6" s="2"/>
      <c r="Y6" s="2"/>
      <c r="Z6" s="2"/>
      <c r="AA6" s="2"/>
      <c r="AB6" s="1"/>
      <c r="AC6" s="1"/>
      <c r="AD6" s="1"/>
      <c r="AE6" s="1"/>
      <c r="AF6" s="1"/>
      <c r="AG6" s="1"/>
      <c r="AH6" s="1"/>
      <c r="AI6" s="1"/>
      <c r="AJ6" s="1"/>
      <c r="AK6" s="1"/>
      <c r="AL6" s="1"/>
    </row>
    <row r="7" spans="1:38" ht="17.25" thickBot="1" x14ac:dyDescent="0.35">
      <c r="A7" s="147"/>
      <c r="B7" s="97"/>
      <c r="C7" s="103"/>
      <c r="D7" s="150"/>
      <c r="E7" s="150"/>
      <c r="F7" s="100"/>
      <c r="G7" s="89">
        <f t="shared" si="0"/>
        <v>0</v>
      </c>
      <c r="H7" s="100"/>
      <c r="I7" s="89">
        <f t="shared" si="1"/>
        <v>0</v>
      </c>
      <c r="J7" s="100"/>
      <c r="K7" s="89">
        <f t="shared" si="2"/>
        <v>0</v>
      </c>
      <c r="L7" s="93">
        <f t="shared" si="3"/>
        <v>0</v>
      </c>
      <c r="M7" s="86" t="str">
        <f t="shared" si="4"/>
        <v/>
      </c>
      <c r="N7" s="186"/>
      <c r="O7" s="152"/>
      <c r="P7" s="152"/>
      <c r="Q7" s="2"/>
      <c r="R7" s="2"/>
      <c r="S7" s="2"/>
      <c r="T7" s="2"/>
      <c r="U7" s="2"/>
      <c r="V7" s="2"/>
      <c r="W7" s="2"/>
      <c r="X7" s="2"/>
      <c r="Y7" s="2"/>
      <c r="Z7" s="2"/>
      <c r="AA7" s="2"/>
      <c r="AB7" s="1"/>
      <c r="AC7" s="1"/>
      <c r="AD7" s="1"/>
      <c r="AE7" s="1"/>
      <c r="AF7" s="1"/>
      <c r="AG7" s="1"/>
      <c r="AH7" s="1"/>
      <c r="AI7" s="1"/>
      <c r="AJ7" s="1"/>
      <c r="AK7" s="1"/>
      <c r="AL7" s="1"/>
    </row>
    <row r="8" spans="1:38" ht="17.25" thickBot="1" x14ac:dyDescent="0.35">
      <c r="A8" s="147"/>
      <c r="B8" s="97"/>
      <c r="C8" s="103"/>
      <c r="D8" s="150"/>
      <c r="E8" s="150"/>
      <c r="F8" s="100"/>
      <c r="G8" s="89">
        <f t="shared" si="0"/>
        <v>0</v>
      </c>
      <c r="H8" s="100"/>
      <c r="I8" s="89">
        <f t="shared" si="1"/>
        <v>0</v>
      </c>
      <c r="J8" s="100"/>
      <c r="K8" s="89">
        <f t="shared" si="2"/>
        <v>0</v>
      </c>
      <c r="L8" s="93">
        <f t="shared" si="3"/>
        <v>0</v>
      </c>
      <c r="M8" s="86" t="str">
        <f t="shared" si="4"/>
        <v/>
      </c>
      <c r="N8" s="186"/>
      <c r="O8" s="152"/>
      <c r="P8" s="152"/>
      <c r="Q8" s="2"/>
      <c r="R8" s="2"/>
      <c r="S8" s="2"/>
      <c r="T8" s="2"/>
      <c r="U8" s="2"/>
      <c r="V8" s="2"/>
      <c r="W8" s="2"/>
      <c r="X8" s="2"/>
      <c r="Y8" s="2"/>
      <c r="Z8" s="2"/>
      <c r="AA8" s="2"/>
      <c r="AB8" s="1"/>
      <c r="AC8" s="1"/>
      <c r="AD8" s="1"/>
      <c r="AE8" s="1"/>
      <c r="AF8" s="1"/>
      <c r="AG8" s="1"/>
      <c r="AH8" s="1"/>
      <c r="AI8" s="1"/>
      <c r="AJ8" s="1"/>
      <c r="AK8" s="1"/>
      <c r="AL8" s="1"/>
    </row>
    <row r="9" spans="1:38" ht="17.25" thickBot="1" x14ac:dyDescent="0.35">
      <c r="A9" s="148"/>
      <c r="B9" s="98"/>
      <c r="C9" s="104"/>
      <c r="D9" s="151"/>
      <c r="E9" s="151"/>
      <c r="F9" s="101"/>
      <c r="G9" s="90">
        <f t="shared" si="0"/>
        <v>0</v>
      </c>
      <c r="H9" s="101"/>
      <c r="I9" s="90">
        <f t="shared" si="1"/>
        <v>0</v>
      </c>
      <c r="J9" s="101"/>
      <c r="K9" s="90">
        <f t="shared" si="2"/>
        <v>0</v>
      </c>
      <c r="L9" s="94">
        <f t="shared" si="3"/>
        <v>0</v>
      </c>
      <c r="M9" s="88" t="str">
        <f t="shared" si="4"/>
        <v/>
      </c>
      <c r="N9" s="186"/>
      <c r="O9" s="152"/>
      <c r="P9" s="152"/>
      <c r="Q9" s="2"/>
      <c r="R9" s="2"/>
      <c r="S9" s="2"/>
      <c r="T9" s="2"/>
      <c r="U9" s="2"/>
      <c r="V9" s="2"/>
      <c r="W9" s="2"/>
      <c r="X9" s="2"/>
      <c r="Y9" s="2"/>
      <c r="Z9" s="2"/>
      <c r="AA9" s="2"/>
      <c r="AB9" s="1"/>
      <c r="AC9" s="1"/>
      <c r="AD9" s="1"/>
      <c r="AE9" s="1"/>
      <c r="AF9" s="1"/>
      <c r="AG9" s="1"/>
      <c r="AH9" s="1"/>
      <c r="AI9" s="1"/>
      <c r="AJ9" s="1"/>
      <c r="AK9" s="1"/>
      <c r="AL9" s="1"/>
    </row>
    <row r="10" spans="1:38" ht="17.25" thickBot="1" x14ac:dyDescent="0.35">
      <c r="A10" s="146">
        <v>14</v>
      </c>
      <c r="B10" s="95"/>
      <c r="C10" s="95"/>
      <c r="D10" s="149">
        <f>SUM(G10:G15)+SUM(I10:I15)</f>
        <v>0</v>
      </c>
      <c r="E10" s="149">
        <f>SUM(G10:G15,K10:K15,H10:H15)</f>
        <v>0</v>
      </c>
      <c r="F10" s="99"/>
      <c r="G10" s="91">
        <f>F10*F$3</f>
        <v>0</v>
      </c>
      <c r="H10" s="99"/>
      <c r="I10" s="91">
        <f>H10*H$3</f>
        <v>0</v>
      </c>
      <c r="J10" s="99"/>
      <c r="K10" s="91">
        <f>J10*J$3</f>
        <v>0</v>
      </c>
      <c r="L10" s="92">
        <f>(G10+I10)/F$1</f>
        <v>0</v>
      </c>
      <c r="M10" s="84" t="str">
        <f t="shared" si="4"/>
        <v/>
      </c>
      <c r="N10" s="186" t="e">
        <f>AVERAGE(M10:M15)</f>
        <v>#DIV/0!</v>
      </c>
      <c r="O10" s="152">
        <f>SUM(L10:L15)</f>
        <v>0</v>
      </c>
      <c r="P10" s="152">
        <v>0</v>
      </c>
      <c r="Q10" s="2"/>
      <c r="R10" s="2"/>
      <c r="S10" s="2"/>
      <c r="T10" s="2"/>
      <c r="U10" s="2"/>
      <c r="V10" s="2"/>
      <c r="W10" s="2"/>
      <c r="X10" s="2"/>
      <c r="Y10" s="2"/>
      <c r="Z10" s="2"/>
      <c r="AA10" s="2"/>
      <c r="AB10" s="1"/>
      <c r="AC10" s="1"/>
      <c r="AD10" s="1"/>
      <c r="AE10" s="1"/>
      <c r="AF10" s="1"/>
      <c r="AG10" s="1"/>
      <c r="AH10" s="1"/>
      <c r="AI10" s="1"/>
      <c r="AJ10" s="1"/>
      <c r="AK10" s="1"/>
      <c r="AL10" s="1"/>
    </row>
    <row r="11" spans="1:38" ht="17.25" thickBot="1" x14ac:dyDescent="0.35">
      <c r="A11" s="147"/>
      <c r="B11" s="96"/>
      <c r="C11" s="103"/>
      <c r="D11" s="150"/>
      <c r="E11" s="150"/>
      <c r="F11" s="100"/>
      <c r="G11" s="89">
        <f t="shared" ref="G11:G74" si="5">F11*F$3</f>
        <v>0</v>
      </c>
      <c r="H11" s="100"/>
      <c r="I11" s="89">
        <f t="shared" ref="I11:I74" si="6">H11*H$3</f>
        <v>0</v>
      </c>
      <c r="J11" s="100"/>
      <c r="K11" s="89">
        <f t="shared" ref="K11:K74" si="7">J11*J$3</f>
        <v>0</v>
      </c>
      <c r="L11" s="93">
        <f t="shared" ref="L11:L74" si="8">(G11+I11)/F$1</f>
        <v>0</v>
      </c>
      <c r="M11" s="86" t="str">
        <f t="shared" si="4"/>
        <v/>
      </c>
      <c r="N11" s="186"/>
      <c r="O11" s="152"/>
      <c r="P11" s="152"/>
      <c r="Q11" s="2"/>
      <c r="R11" s="2"/>
      <c r="S11" s="2"/>
      <c r="T11" s="2"/>
      <c r="U11" s="2"/>
      <c r="V11" s="2"/>
      <c r="W11" s="2"/>
      <c r="X11" s="2"/>
      <c r="Y11" s="2"/>
      <c r="Z11" s="2"/>
      <c r="AA11" s="2"/>
      <c r="AB11" s="1"/>
      <c r="AC11" s="1"/>
      <c r="AD11" s="1"/>
      <c r="AE11" s="1"/>
      <c r="AF11" s="1"/>
      <c r="AG11" s="1"/>
      <c r="AH11" s="1"/>
      <c r="AI11" s="1"/>
      <c r="AJ11" s="1"/>
      <c r="AK11" s="1"/>
      <c r="AL11" s="1"/>
    </row>
    <row r="12" spans="1:38" ht="17.25" thickBot="1" x14ac:dyDescent="0.35">
      <c r="A12" s="147"/>
      <c r="B12" s="97"/>
      <c r="C12" s="103"/>
      <c r="D12" s="150"/>
      <c r="E12" s="150"/>
      <c r="F12" s="100"/>
      <c r="G12" s="89">
        <f t="shared" si="5"/>
        <v>0</v>
      </c>
      <c r="H12" s="100"/>
      <c r="I12" s="89">
        <f t="shared" si="6"/>
        <v>0</v>
      </c>
      <c r="J12" s="100"/>
      <c r="K12" s="89">
        <f t="shared" si="7"/>
        <v>0</v>
      </c>
      <c r="L12" s="93">
        <f t="shared" si="8"/>
        <v>0</v>
      </c>
      <c r="M12" s="86" t="str">
        <f t="shared" si="4"/>
        <v/>
      </c>
      <c r="N12" s="186"/>
      <c r="O12" s="152"/>
      <c r="P12" s="152"/>
      <c r="Q12" s="2"/>
      <c r="R12" s="2"/>
      <c r="S12" s="2"/>
      <c r="T12" s="2"/>
      <c r="U12" s="2"/>
      <c r="V12" s="2"/>
      <c r="W12" s="2"/>
      <c r="X12" s="2"/>
      <c r="Y12" s="2"/>
      <c r="Z12" s="2"/>
      <c r="AA12" s="2"/>
      <c r="AB12" s="1"/>
      <c r="AC12" s="1"/>
      <c r="AD12" s="1"/>
      <c r="AE12" s="1"/>
      <c r="AF12" s="1"/>
      <c r="AG12" s="1"/>
      <c r="AH12" s="1"/>
      <c r="AI12" s="1"/>
      <c r="AJ12" s="1"/>
      <c r="AK12" s="1"/>
      <c r="AL12" s="1"/>
    </row>
    <row r="13" spans="1:38" ht="17.25" thickBot="1" x14ac:dyDescent="0.35">
      <c r="A13" s="147"/>
      <c r="B13" s="97"/>
      <c r="C13" s="103"/>
      <c r="D13" s="150"/>
      <c r="E13" s="150"/>
      <c r="F13" s="100"/>
      <c r="G13" s="89">
        <f t="shared" si="5"/>
        <v>0</v>
      </c>
      <c r="H13" s="100"/>
      <c r="I13" s="89">
        <f t="shared" si="6"/>
        <v>0</v>
      </c>
      <c r="J13" s="100"/>
      <c r="K13" s="89">
        <f t="shared" si="7"/>
        <v>0</v>
      </c>
      <c r="L13" s="93">
        <f t="shared" si="8"/>
        <v>0</v>
      </c>
      <c r="M13" s="86" t="str">
        <f t="shared" si="4"/>
        <v/>
      </c>
      <c r="N13" s="186"/>
      <c r="O13" s="152"/>
      <c r="P13" s="152"/>
      <c r="Q13" s="2"/>
      <c r="R13" s="2"/>
      <c r="S13" s="2"/>
      <c r="T13" s="2"/>
      <c r="U13" s="2"/>
      <c r="V13" s="2"/>
      <c r="W13" s="2"/>
      <c r="X13" s="2"/>
      <c r="Y13" s="2"/>
      <c r="Z13" s="2"/>
      <c r="AA13" s="2"/>
      <c r="AB13" s="1"/>
      <c r="AC13" s="1"/>
      <c r="AD13" s="1"/>
      <c r="AE13" s="1"/>
      <c r="AF13" s="1"/>
      <c r="AG13" s="1"/>
      <c r="AH13" s="1"/>
      <c r="AI13" s="1"/>
      <c r="AJ13" s="1"/>
      <c r="AK13" s="1"/>
      <c r="AL13" s="1"/>
    </row>
    <row r="14" spans="1:38" ht="17.25" thickBot="1" x14ac:dyDescent="0.35">
      <c r="A14" s="147"/>
      <c r="B14" s="97"/>
      <c r="C14" s="103"/>
      <c r="D14" s="150"/>
      <c r="E14" s="150"/>
      <c r="F14" s="100"/>
      <c r="G14" s="89">
        <f t="shared" si="5"/>
        <v>0</v>
      </c>
      <c r="H14" s="100"/>
      <c r="I14" s="89">
        <f t="shared" si="6"/>
        <v>0</v>
      </c>
      <c r="J14" s="100"/>
      <c r="K14" s="89">
        <f t="shared" si="7"/>
        <v>0</v>
      </c>
      <c r="L14" s="93">
        <f t="shared" si="8"/>
        <v>0</v>
      </c>
      <c r="M14" s="86" t="str">
        <f t="shared" si="4"/>
        <v/>
      </c>
      <c r="N14" s="186"/>
      <c r="O14" s="152"/>
      <c r="P14" s="152"/>
      <c r="Q14" s="2"/>
      <c r="R14" s="2"/>
      <c r="S14" s="2"/>
      <c r="T14" s="2"/>
      <c r="U14" s="2"/>
      <c r="V14" s="2"/>
      <c r="W14" s="2"/>
      <c r="X14" s="2"/>
      <c r="Y14" s="2"/>
      <c r="Z14" s="2"/>
      <c r="AA14" s="2"/>
      <c r="AB14" s="1"/>
      <c r="AC14" s="1"/>
      <c r="AD14" s="1"/>
      <c r="AE14" s="1"/>
      <c r="AF14" s="1"/>
      <c r="AG14" s="1"/>
      <c r="AH14" s="1"/>
      <c r="AI14" s="1"/>
      <c r="AJ14" s="1"/>
      <c r="AK14" s="1"/>
      <c r="AL14" s="1"/>
    </row>
    <row r="15" spans="1:38" ht="17.25" thickBot="1" x14ac:dyDescent="0.35">
      <c r="A15" s="148"/>
      <c r="B15" s="98"/>
      <c r="C15" s="104"/>
      <c r="D15" s="151"/>
      <c r="E15" s="151"/>
      <c r="F15" s="101"/>
      <c r="G15" s="90">
        <f t="shared" si="5"/>
        <v>0</v>
      </c>
      <c r="H15" s="101"/>
      <c r="I15" s="90">
        <f t="shared" si="6"/>
        <v>0</v>
      </c>
      <c r="J15" s="101"/>
      <c r="K15" s="90">
        <f t="shared" si="7"/>
        <v>0</v>
      </c>
      <c r="L15" s="94">
        <f t="shared" si="8"/>
        <v>0</v>
      </c>
      <c r="M15" s="88" t="str">
        <f t="shared" si="4"/>
        <v/>
      </c>
      <c r="N15" s="186"/>
      <c r="O15" s="152"/>
      <c r="P15" s="152"/>
      <c r="Q15" s="2"/>
      <c r="R15" s="2"/>
      <c r="S15" s="2"/>
      <c r="T15" s="2"/>
      <c r="U15" s="2"/>
      <c r="V15" s="2"/>
      <c r="W15" s="2"/>
      <c r="X15" s="2"/>
      <c r="Y15" s="2"/>
      <c r="Z15" s="2"/>
      <c r="AA15" s="2"/>
      <c r="AB15" s="1"/>
      <c r="AC15" s="1"/>
      <c r="AD15" s="1"/>
      <c r="AE15" s="1"/>
      <c r="AF15" s="1"/>
      <c r="AG15" s="1"/>
      <c r="AH15" s="1"/>
      <c r="AI15" s="1"/>
      <c r="AJ15" s="1"/>
      <c r="AK15" s="1"/>
      <c r="AL15" s="1"/>
    </row>
    <row r="16" spans="1:38" ht="17.25" thickBot="1" x14ac:dyDescent="0.35">
      <c r="A16" s="146">
        <v>15</v>
      </c>
      <c r="B16" s="140"/>
      <c r="C16" s="102"/>
      <c r="D16" s="149">
        <f t="shared" ref="D16" si="9">SUM(G16:G21)+SUM(I16:I21)</f>
        <v>1071</v>
      </c>
      <c r="E16" s="149">
        <f t="shared" ref="E16" si="10">SUM(G16:G21,K16:K21,H16:H21)</f>
        <v>1273.5</v>
      </c>
      <c r="F16" s="99"/>
      <c r="G16" s="91">
        <f t="shared" si="5"/>
        <v>0</v>
      </c>
      <c r="H16" s="99"/>
      <c r="I16" s="91">
        <f t="shared" si="6"/>
        <v>0</v>
      </c>
      <c r="J16" s="99"/>
      <c r="K16" s="91">
        <f t="shared" si="7"/>
        <v>0</v>
      </c>
      <c r="L16" s="92">
        <f t="shared" si="8"/>
        <v>0</v>
      </c>
      <c r="M16" s="84" t="str">
        <f t="shared" si="4"/>
        <v/>
      </c>
      <c r="N16" s="186">
        <f t="shared" ref="N16" si="11">AVERAGE(M16:M21)</f>
        <v>60.226666666666659</v>
      </c>
      <c r="O16" s="152">
        <f t="shared" ref="O16" si="12">SUM(L16:L21)</f>
        <v>9.063981042654029E-2</v>
      </c>
      <c r="P16" s="152">
        <v>4.7393364928909956E-3</v>
      </c>
      <c r="Q16" s="2"/>
      <c r="R16" s="2"/>
      <c r="S16" s="2"/>
      <c r="T16" s="2"/>
      <c r="U16" s="2"/>
      <c r="V16" s="2"/>
      <c r="W16" s="2"/>
      <c r="X16" s="2"/>
      <c r="Y16" s="2"/>
      <c r="Z16" s="2"/>
      <c r="AA16" s="2"/>
      <c r="AB16" s="1"/>
      <c r="AC16" s="1"/>
      <c r="AD16" s="1"/>
      <c r="AE16" s="1"/>
      <c r="AF16" s="1"/>
      <c r="AG16" s="1"/>
      <c r="AH16" s="1"/>
      <c r="AI16" s="1"/>
      <c r="AJ16" s="1"/>
      <c r="AK16" s="1"/>
      <c r="AL16" s="1"/>
    </row>
    <row r="17" spans="1:38" ht="17.25" thickBot="1" x14ac:dyDescent="0.35">
      <c r="A17" s="147"/>
      <c r="B17" s="96"/>
      <c r="C17" s="103"/>
      <c r="D17" s="150"/>
      <c r="E17" s="150"/>
      <c r="F17" s="100"/>
      <c r="G17" s="89">
        <f t="shared" si="5"/>
        <v>0</v>
      </c>
      <c r="H17" s="100"/>
      <c r="I17" s="89">
        <f t="shared" si="6"/>
        <v>0</v>
      </c>
      <c r="J17" s="100"/>
      <c r="K17" s="89">
        <f t="shared" si="7"/>
        <v>0</v>
      </c>
      <c r="L17" s="93">
        <f t="shared" si="8"/>
        <v>0</v>
      </c>
      <c r="M17" s="86" t="str">
        <f t="shared" si="4"/>
        <v/>
      </c>
      <c r="N17" s="186"/>
      <c r="O17" s="152"/>
      <c r="P17" s="152"/>
      <c r="Q17" s="2"/>
      <c r="R17" s="2"/>
      <c r="S17" s="2"/>
      <c r="T17" s="2"/>
      <c r="U17" s="2"/>
      <c r="V17" s="2"/>
      <c r="W17" s="2"/>
      <c r="X17" s="2"/>
      <c r="Y17" s="2"/>
      <c r="Z17" s="2"/>
      <c r="AA17" s="2"/>
      <c r="AB17" s="1"/>
      <c r="AC17" s="1"/>
      <c r="AD17" s="1"/>
      <c r="AE17" s="1"/>
      <c r="AF17" s="1"/>
      <c r="AG17" s="1"/>
      <c r="AH17" s="1"/>
      <c r="AI17" s="1"/>
      <c r="AJ17" s="1"/>
      <c r="AK17" s="1"/>
      <c r="AL17" s="1"/>
    </row>
    <row r="18" spans="1:38" ht="17.25" thickBot="1" x14ac:dyDescent="0.35">
      <c r="A18" s="147"/>
      <c r="B18" s="97"/>
      <c r="C18" s="103"/>
      <c r="D18" s="150"/>
      <c r="E18" s="150"/>
      <c r="F18" s="100"/>
      <c r="G18" s="89">
        <f t="shared" si="5"/>
        <v>0</v>
      </c>
      <c r="H18" s="100"/>
      <c r="I18" s="89">
        <f t="shared" si="6"/>
        <v>0</v>
      </c>
      <c r="J18" s="100"/>
      <c r="K18" s="89">
        <f t="shared" si="7"/>
        <v>0</v>
      </c>
      <c r="L18" s="93">
        <f t="shared" si="8"/>
        <v>0</v>
      </c>
      <c r="M18" s="86" t="str">
        <f t="shared" si="4"/>
        <v/>
      </c>
      <c r="N18" s="186"/>
      <c r="O18" s="152"/>
      <c r="P18" s="152"/>
      <c r="Q18" s="2"/>
      <c r="R18" s="2"/>
      <c r="S18" s="2"/>
      <c r="T18" s="2"/>
      <c r="U18" s="2"/>
      <c r="V18" s="2"/>
      <c r="W18" s="2"/>
      <c r="X18" s="2"/>
      <c r="Y18" s="2"/>
      <c r="Z18" s="2"/>
      <c r="AA18" s="2"/>
      <c r="AB18" s="1"/>
      <c r="AC18" s="1"/>
      <c r="AD18" s="1"/>
      <c r="AE18" s="1"/>
      <c r="AF18" s="1"/>
      <c r="AG18" s="1"/>
      <c r="AH18" s="1"/>
      <c r="AI18" s="1"/>
      <c r="AJ18" s="1"/>
      <c r="AK18" s="1"/>
      <c r="AL18" s="1"/>
    </row>
    <row r="19" spans="1:38" ht="17.25" thickBot="1" x14ac:dyDescent="0.35">
      <c r="A19" s="147"/>
      <c r="B19" s="97">
        <v>43566</v>
      </c>
      <c r="C19" s="103">
        <v>12.5</v>
      </c>
      <c r="D19" s="150"/>
      <c r="E19" s="150"/>
      <c r="F19" s="100">
        <v>87</v>
      </c>
      <c r="G19" s="89">
        <f t="shared" si="5"/>
        <v>609</v>
      </c>
      <c r="H19" s="100"/>
      <c r="I19" s="89">
        <f t="shared" si="6"/>
        <v>0</v>
      </c>
      <c r="J19" s="100">
        <v>5</v>
      </c>
      <c r="K19" s="89">
        <f t="shared" si="7"/>
        <v>67.5</v>
      </c>
      <c r="L19" s="93">
        <f t="shared" si="8"/>
        <v>5.1540284360189571E-2</v>
      </c>
      <c r="M19" s="86">
        <f t="shared" si="4"/>
        <v>54.12</v>
      </c>
      <c r="N19" s="186"/>
      <c r="O19" s="152"/>
      <c r="P19" s="152"/>
      <c r="Q19" s="2"/>
      <c r="R19" s="2"/>
      <c r="S19" s="2"/>
      <c r="T19" s="2"/>
      <c r="U19" s="2"/>
      <c r="V19" s="2"/>
      <c r="W19" s="2"/>
      <c r="X19" s="2"/>
      <c r="Y19" s="2"/>
      <c r="Z19" s="2"/>
      <c r="AA19" s="2"/>
      <c r="AB19" s="1"/>
      <c r="AC19" s="1"/>
      <c r="AD19" s="1"/>
      <c r="AE19" s="1"/>
      <c r="AF19" s="1"/>
      <c r="AG19" s="1"/>
      <c r="AH19" s="1"/>
      <c r="AI19" s="1"/>
      <c r="AJ19" s="1"/>
      <c r="AK19" s="1"/>
      <c r="AL19" s="1"/>
    </row>
    <row r="20" spans="1:38" ht="17.25" thickBot="1" x14ac:dyDescent="0.35">
      <c r="A20" s="147"/>
      <c r="B20" s="97">
        <v>43567</v>
      </c>
      <c r="C20" s="103">
        <v>9</v>
      </c>
      <c r="D20" s="150"/>
      <c r="E20" s="150"/>
      <c r="F20" s="100">
        <v>66</v>
      </c>
      <c r="G20" s="89">
        <f t="shared" si="5"/>
        <v>462</v>
      </c>
      <c r="H20" s="100"/>
      <c r="I20" s="89">
        <f t="shared" si="6"/>
        <v>0</v>
      </c>
      <c r="J20" s="100">
        <v>10</v>
      </c>
      <c r="K20" s="89">
        <f t="shared" si="7"/>
        <v>135</v>
      </c>
      <c r="L20" s="93">
        <f t="shared" si="8"/>
        <v>3.9099526066350712E-2</v>
      </c>
      <c r="M20" s="86">
        <f t="shared" si="4"/>
        <v>66.333333333333329</v>
      </c>
      <c r="N20" s="186"/>
      <c r="O20" s="152"/>
      <c r="P20" s="152"/>
      <c r="Q20" s="2"/>
      <c r="R20" s="2"/>
      <c r="S20" s="2"/>
      <c r="T20" s="2"/>
      <c r="U20" s="2"/>
      <c r="V20" s="2"/>
      <c r="W20" s="2"/>
      <c r="X20" s="2"/>
      <c r="Y20" s="2"/>
      <c r="Z20" s="2"/>
      <c r="AA20" s="2"/>
      <c r="AB20" s="1"/>
      <c r="AC20" s="1"/>
      <c r="AD20" s="1"/>
      <c r="AE20" s="1"/>
      <c r="AF20" s="1"/>
      <c r="AG20" s="1"/>
      <c r="AH20" s="1"/>
      <c r="AI20" s="1"/>
      <c r="AJ20" s="1"/>
      <c r="AK20" s="1"/>
      <c r="AL20" s="1"/>
    </row>
    <row r="21" spans="1:38" ht="17.25" thickBot="1" x14ac:dyDescent="0.35">
      <c r="A21" s="148"/>
      <c r="B21" s="98"/>
      <c r="C21" s="104"/>
      <c r="D21" s="151"/>
      <c r="E21" s="151"/>
      <c r="F21" s="101"/>
      <c r="G21" s="90">
        <f t="shared" si="5"/>
        <v>0</v>
      </c>
      <c r="H21" s="101"/>
      <c r="I21" s="90">
        <f t="shared" si="6"/>
        <v>0</v>
      </c>
      <c r="J21" s="101"/>
      <c r="K21" s="90">
        <f t="shared" si="7"/>
        <v>0</v>
      </c>
      <c r="L21" s="94">
        <f t="shared" si="8"/>
        <v>0</v>
      </c>
      <c r="M21" s="88" t="str">
        <f t="shared" si="4"/>
        <v/>
      </c>
      <c r="N21" s="186"/>
      <c r="O21" s="152"/>
      <c r="P21" s="152"/>
      <c r="Q21" s="2"/>
      <c r="R21" s="2"/>
      <c r="S21" s="2"/>
      <c r="T21" s="2"/>
      <c r="U21" s="2"/>
      <c r="V21" s="2"/>
      <c r="W21" s="2"/>
      <c r="X21" s="2"/>
      <c r="Y21" s="2"/>
      <c r="Z21" s="2"/>
      <c r="AA21" s="2"/>
      <c r="AB21" s="1"/>
      <c r="AC21" s="1"/>
      <c r="AD21" s="1"/>
      <c r="AE21" s="1"/>
      <c r="AF21" s="1"/>
      <c r="AG21" s="1"/>
      <c r="AH21" s="1"/>
      <c r="AI21" s="1"/>
      <c r="AJ21" s="1"/>
      <c r="AK21" s="1"/>
      <c r="AL21" s="1"/>
    </row>
    <row r="22" spans="1:38" ht="17.25" thickBot="1" x14ac:dyDescent="0.35">
      <c r="A22" s="146">
        <v>16</v>
      </c>
      <c r="B22" s="105">
        <v>43570</v>
      </c>
      <c r="C22" s="102">
        <v>8.5</v>
      </c>
      <c r="D22" s="149">
        <f t="shared" ref="D22" si="13">SUM(G22:G27)+SUM(I22:I27)</f>
        <v>5845</v>
      </c>
      <c r="E22" s="149">
        <f t="shared" ref="E22" si="14">SUM(G22:G27,K22:K27,H22:H27)</f>
        <v>7033</v>
      </c>
      <c r="F22" s="99">
        <v>73</v>
      </c>
      <c r="G22" s="91">
        <f t="shared" si="5"/>
        <v>511</v>
      </c>
      <c r="H22" s="99"/>
      <c r="I22" s="91">
        <f t="shared" si="6"/>
        <v>0</v>
      </c>
      <c r="J22" s="99">
        <v>10</v>
      </c>
      <c r="K22" s="91">
        <f t="shared" si="7"/>
        <v>135</v>
      </c>
      <c r="L22" s="92">
        <f t="shared" si="8"/>
        <v>4.3246445497630334E-2</v>
      </c>
      <c r="M22" s="84">
        <f t="shared" si="4"/>
        <v>76</v>
      </c>
      <c r="N22" s="186">
        <f t="shared" ref="N22" si="15">AVERAGE(M22:M27)</f>
        <v>88.681716871363932</v>
      </c>
      <c r="O22" s="152">
        <f t="shared" ref="O22" si="16">SUM(L22:L27)</f>
        <v>0.49466824644549762</v>
      </c>
      <c r="P22" s="152">
        <v>0.30331753554502372</v>
      </c>
      <c r="Q22" s="2"/>
      <c r="R22" s="2"/>
      <c r="S22" s="2"/>
      <c r="T22" s="2"/>
      <c r="U22" s="2"/>
      <c r="V22" s="2"/>
      <c r="W22" s="2"/>
      <c r="X22" s="2"/>
      <c r="Y22" s="2"/>
      <c r="Z22" s="2"/>
      <c r="AA22" s="2"/>
      <c r="AB22" s="1"/>
      <c r="AC22" s="1"/>
      <c r="AD22" s="1"/>
      <c r="AE22" s="1"/>
      <c r="AF22" s="1"/>
      <c r="AG22" s="1"/>
      <c r="AH22" s="1"/>
      <c r="AI22" s="1"/>
      <c r="AJ22" s="1"/>
      <c r="AK22" s="1"/>
      <c r="AL22" s="1"/>
    </row>
    <row r="23" spans="1:38" ht="17.25" thickBot="1" x14ac:dyDescent="0.35">
      <c r="A23" s="147"/>
      <c r="B23" s="97">
        <v>43571</v>
      </c>
      <c r="C23" s="103">
        <v>17</v>
      </c>
      <c r="D23" s="150"/>
      <c r="E23" s="150"/>
      <c r="F23" s="100">
        <v>181</v>
      </c>
      <c r="G23" s="89">
        <f t="shared" si="5"/>
        <v>1267</v>
      </c>
      <c r="H23" s="100"/>
      <c r="I23" s="89">
        <f t="shared" si="6"/>
        <v>0</v>
      </c>
      <c r="J23" s="100">
        <v>18</v>
      </c>
      <c r="K23" s="89">
        <f t="shared" si="7"/>
        <v>243</v>
      </c>
      <c r="L23" s="93">
        <f t="shared" si="8"/>
        <v>0.10722748815165876</v>
      </c>
      <c r="M23" s="86">
        <f t="shared" si="4"/>
        <v>88.82352941176471</v>
      </c>
      <c r="N23" s="186"/>
      <c r="O23" s="152"/>
      <c r="P23" s="152"/>
      <c r="Q23" s="2"/>
      <c r="R23" s="2"/>
      <c r="S23" s="2"/>
      <c r="T23" s="2"/>
      <c r="U23" s="2"/>
      <c r="V23" s="2"/>
      <c r="W23" s="2"/>
      <c r="X23" s="2"/>
      <c r="Y23" s="2"/>
      <c r="Z23" s="2"/>
      <c r="AA23" s="2"/>
      <c r="AB23" s="1"/>
      <c r="AC23" s="1"/>
      <c r="AD23" s="1"/>
      <c r="AE23" s="1"/>
      <c r="AF23" s="1"/>
      <c r="AG23" s="1"/>
      <c r="AH23" s="1"/>
      <c r="AI23" s="1"/>
      <c r="AJ23" s="1"/>
      <c r="AK23" s="1"/>
      <c r="AL23" s="1"/>
    </row>
    <row r="24" spans="1:38" ht="17.25" thickBot="1" x14ac:dyDescent="0.35">
      <c r="A24" s="147"/>
      <c r="B24" s="97">
        <v>43572</v>
      </c>
      <c r="C24" s="103">
        <v>14</v>
      </c>
      <c r="D24" s="150"/>
      <c r="E24" s="150"/>
      <c r="F24" s="100">
        <v>184</v>
      </c>
      <c r="G24" s="89">
        <f t="shared" si="5"/>
        <v>1288</v>
      </c>
      <c r="H24" s="100"/>
      <c r="I24" s="89">
        <f t="shared" si="6"/>
        <v>0</v>
      </c>
      <c r="J24" s="100">
        <v>8</v>
      </c>
      <c r="K24" s="89">
        <f t="shared" si="7"/>
        <v>108</v>
      </c>
      <c r="L24" s="93">
        <f t="shared" si="8"/>
        <v>0.10900473933649289</v>
      </c>
      <c r="M24" s="86">
        <f t="shared" si="4"/>
        <v>99.714285714285708</v>
      </c>
      <c r="N24" s="186"/>
      <c r="O24" s="152"/>
      <c r="P24" s="152"/>
      <c r="Q24" s="2"/>
      <c r="R24" s="2"/>
      <c r="S24" s="2"/>
      <c r="T24" s="2"/>
      <c r="U24" s="2"/>
      <c r="V24" s="2"/>
      <c r="W24" s="2"/>
      <c r="X24" s="2"/>
      <c r="Y24" s="2"/>
      <c r="Z24" s="2"/>
      <c r="AA24" s="2"/>
      <c r="AB24" s="1"/>
      <c r="AC24" s="1"/>
      <c r="AD24" s="1"/>
      <c r="AE24" s="1"/>
      <c r="AF24" s="1"/>
      <c r="AG24" s="1"/>
      <c r="AH24" s="1"/>
      <c r="AI24" s="1"/>
      <c r="AJ24" s="1"/>
      <c r="AK24" s="1"/>
      <c r="AL24" s="1"/>
    </row>
    <row r="25" spans="1:38" ht="17.25" thickBot="1" x14ac:dyDescent="0.35">
      <c r="A25" s="147"/>
      <c r="B25" s="97">
        <v>43573</v>
      </c>
      <c r="C25" s="103">
        <v>12.5</v>
      </c>
      <c r="D25" s="150"/>
      <c r="E25" s="150"/>
      <c r="F25" s="100">
        <v>120</v>
      </c>
      <c r="G25" s="89">
        <f t="shared" si="5"/>
        <v>840</v>
      </c>
      <c r="H25" s="100"/>
      <c r="I25" s="89">
        <f t="shared" si="6"/>
        <v>0</v>
      </c>
      <c r="J25" s="100">
        <v>18</v>
      </c>
      <c r="K25" s="89">
        <f t="shared" si="7"/>
        <v>243</v>
      </c>
      <c r="L25" s="93">
        <f t="shared" si="8"/>
        <v>7.1090047393364927E-2</v>
      </c>
      <c r="M25" s="86">
        <f t="shared" si="4"/>
        <v>86.64</v>
      </c>
      <c r="N25" s="186"/>
      <c r="O25" s="152"/>
      <c r="P25" s="152"/>
      <c r="Q25" s="2"/>
      <c r="R25" s="2"/>
      <c r="S25" s="2"/>
      <c r="T25" s="2"/>
      <c r="U25" s="2"/>
      <c r="V25" s="2"/>
      <c r="W25" s="2"/>
      <c r="X25" s="2"/>
      <c r="Y25" s="2"/>
      <c r="Z25" s="2"/>
      <c r="AA25" s="2"/>
      <c r="AB25" s="1"/>
      <c r="AC25" s="1"/>
      <c r="AD25" s="1"/>
      <c r="AE25" s="1"/>
      <c r="AF25" s="1"/>
      <c r="AG25" s="1"/>
      <c r="AH25" s="1"/>
      <c r="AI25" s="1"/>
      <c r="AJ25" s="1"/>
      <c r="AK25" s="1"/>
      <c r="AL25" s="1"/>
    </row>
    <row r="26" spans="1:38" ht="17.25" thickBot="1" x14ac:dyDescent="0.35">
      <c r="A26" s="147"/>
      <c r="B26" s="97">
        <v>43574</v>
      </c>
      <c r="C26" s="103">
        <v>26</v>
      </c>
      <c r="D26" s="150"/>
      <c r="E26" s="150"/>
      <c r="F26" s="100">
        <v>277</v>
      </c>
      <c r="G26" s="89">
        <f t="shared" si="5"/>
        <v>1939</v>
      </c>
      <c r="H26" s="100"/>
      <c r="I26" s="89">
        <f t="shared" si="6"/>
        <v>0</v>
      </c>
      <c r="J26" s="100">
        <v>34</v>
      </c>
      <c r="K26" s="89">
        <f t="shared" si="7"/>
        <v>459</v>
      </c>
      <c r="L26" s="93">
        <f t="shared" si="8"/>
        <v>0.1640995260663507</v>
      </c>
      <c r="M26" s="86">
        <f t="shared" si="4"/>
        <v>92.230769230769226</v>
      </c>
      <c r="N26" s="186"/>
      <c r="O26" s="152"/>
      <c r="P26" s="152"/>
      <c r="Q26" s="2"/>
      <c r="R26" s="2"/>
      <c r="S26" s="2"/>
      <c r="T26" s="2"/>
      <c r="U26" s="2"/>
      <c r="V26" s="2"/>
      <c r="W26" s="2"/>
      <c r="X26" s="2"/>
      <c r="Y26" s="2"/>
      <c r="Z26" s="2"/>
      <c r="AA26" s="2"/>
      <c r="AB26" s="1"/>
      <c r="AC26" s="1"/>
      <c r="AD26" s="1"/>
      <c r="AE26" s="1"/>
      <c r="AF26" s="1"/>
      <c r="AG26" s="1"/>
      <c r="AH26" s="1"/>
      <c r="AI26" s="1"/>
      <c r="AJ26" s="1"/>
      <c r="AK26" s="1"/>
      <c r="AL26" s="1"/>
    </row>
    <row r="27" spans="1:38" ht="17.25" thickBot="1" x14ac:dyDescent="0.35">
      <c r="A27" s="148"/>
      <c r="B27" s="98"/>
      <c r="C27" s="104"/>
      <c r="D27" s="151"/>
      <c r="E27" s="151"/>
      <c r="F27" s="101"/>
      <c r="G27" s="90">
        <f t="shared" si="5"/>
        <v>0</v>
      </c>
      <c r="H27" s="101"/>
      <c r="I27" s="90">
        <f t="shared" si="6"/>
        <v>0</v>
      </c>
      <c r="J27" s="101"/>
      <c r="K27" s="90">
        <f t="shared" si="7"/>
        <v>0</v>
      </c>
      <c r="L27" s="94">
        <f t="shared" si="8"/>
        <v>0</v>
      </c>
      <c r="M27" s="88" t="str">
        <f t="shared" si="4"/>
        <v/>
      </c>
      <c r="N27" s="186"/>
      <c r="O27" s="152"/>
      <c r="P27" s="152"/>
      <c r="Q27" s="2"/>
      <c r="R27" s="2"/>
      <c r="S27" s="2"/>
      <c r="T27" s="2"/>
      <c r="U27" s="2"/>
      <c r="V27" s="2"/>
      <c r="W27" s="2"/>
      <c r="X27" s="2"/>
      <c r="Y27" s="2"/>
      <c r="Z27" s="2"/>
      <c r="AA27" s="2"/>
      <c r="AB27" s="1"/>
      <c r="AC27" s="1"/>
      <c r="AD27" s="1"/>
      <c r="AE27" s="1"/>
      <c r="AF27" s="1"/>
      <c r="AG27" s="1"/>
      <c r="AH27" s="1"/>
      <c r="AI27" s="1"/>
      <c r="AJ27" s="1"/>
      <c r="AK27" s="1"/>
      <c r="AL27" s="1"/>
    </row>
    <row r="28" spans="1:38" ht="17.25" thickBot="1" x14ac:dyDescent="0.35">
      <c r="A28" s="147">
        <v>17</v>
      </c>
      <c r="B28" s="105">
        <v>43577</v>
      </c>
      <c r="C28" s="102">
        <v>14</v>
      </c>
      <c r="D28" s="149">
        <f t="shared" ref="D28" si="17">SUM(G28:G33)+SUM(I28:I33)</f>
        <v>13636</v>
      </c>
      <c r="E28" s="149">
        <f t="shared" ref="E28" si="18">SUM(G28:G33,K28:K33,H28:H33)</f>
        <v>16093</v>
      </c>
      <c r="F28" s="99">
        <v>225</v>
      </c>
      <c r="G28" s="89">
        <f t="shared" si="5"/>
        <v>1575</v>
      </c>
      <c r="H28" s="99"/>
      <c r="I28" s="89">
        <f t="shared" si="6"/>
        <v>0</v>
      </c>
      <c r="J28" s="99">
        <v>16</v>
      </c>
      <c r="K28" s="89">
        <f t="shared" si="7"/>
        <v>216</v>
      </c>
      <c r="L28" s="93">
        <f t="shared" si="8"/>
        <v>0.13329383886255924</v>
      </c>
      <c r="M28" s="86">
        <f t="shared" si="4"/>
        <v>127.92857142857143</v>
      </c>
      <c r="N28" s="186">
        <f t="shared" ref="N28" si="19">AVERAGE(M28:M33)</f>
        <v>107.12790920366477</v>
      </c>
      <c r="O28" s="152">
        <f t="shared" ref="O28" si="20">SUM(L28:L33)</f>
        <v>1.1540284360189574</v>
      </c>
      <c r="P28" s="152">
        <v>1.0059241706161137</v>
      </c>
      <c r="Q28" s="2"/>
      <c r="R28" s="2"/>
      <c r="S28" s="2"/>
      <c r="T28" s="2"/>
      <c r="U28" s="2"/>
      <c r="V28" s="2"/>
      <c r="W28" s="2"/>
      <c r="X28" s="2"/>
      <c r="Y28" s="2"/>
      <c r="Z28" s="2"/>
      <c r="AA28" s="2"/>
      <c r="AB28" s="1"/>
      <c r="AC28" s="1"/>
      <c r="AD28" s="1"/>
      <c r="AE28" s="1"/>
      <c r="AF28" s="1"/>
      <c r="AG28" s="1"/>
      <c r="AH28" s="1"/>
      <c r="AI28" s="1"/>
      <c r="AJ28" s="1"/>
      <c r="AK28" s="1"/>
      <c r="AL28" s="1"/>
    </row>
    <row r="29" spans="1:38" ht="17.25" thickBot="1" x14ac:dyDescent="0.35">
      <c r="A29" s="147"/>
      <c r="B29" s="97">
        <v>43578</v>
      </c>
      <c r="C29" s="103">
        <v>31</v>
      </c>
      <c r="D29" s="150"/>
      <c r="E29" s="150"/>
      <c r="F29" s="100">
        <v>406</v>
      </c>
      <c r="G29" s="89">
        <f t="shared" si="5"/>
        <v>2842</v>
      </c>
      <c r="H29" s="100"/>
      <c r="I29" s="89">
        <f t="shared" si="6"/>
        <v>0</v>
      </c>
      <c r="J29" s="100">
        <v>45</v>
      </c>
      <c r="K29" s="89">
        <f t="shared" si="7"/>
        <v>607.5</v>
      </c>
      <c r="L29" s="93">
        <f t="shared" si="8"/>
        <v>0.24052132701421802</v>
      </c>
      <c r="M29" s="86">
        <f t="shared" si="4"/>
        <v>111.2741935483871</v>
      </c>
      <c r="N29" s="186"/>
      <c r="O29" s="152"/>
      <c r="P29" s="152"/>
      <c r="Q29" s="2"/>
      <c r="R29" s="2"/>
      <c r="S29" s="2"/>
      <c r="T29" s="2"/>
      <c r="U29" s="2"/>
      <c r="V29" s="2"/>
      <c r="W29" s="2"/>
      <c r="X29" s="2"/>
      <c r="Y29" s="2"/>
      <c r="Z29" s="2"/>
      <c r="AA29" s="2"/>
      <c r="AB29" s="1"/>
      <c r="AC29" s="1"/>
      <c r="AD29" s="1"/>
      <c r="AE29" s="1"/>
      <c r="AF29" s="1"/>
      <c r="AG29" s="1"/>
      <c r="AH29" s="1"/>
      <c r="AI29" s="1"/>
      <c r="AJ29" s="1"/>
      <c r="AK29" s="1"/>
      <c r="AL29" s="1"/>
    </row>
    <row r="30" spans="1:38" ht="17.25" thickBot="1" x14ac:dyDescent="0.35">
      <c r="A30" s="147"/>
      <c r="B30" s="97">
        <v>43579</v>
      </c>
      <c r="C30" s="103">
        <v>51.5</v>
      </c>
      <c r="D30" s="150"/>
      <c r="E30" s="150"/>
      <c r="F30" s="100">
        <v>734</v>
      </c>
      <c r="G30" s="89">
        <f t="shared" si="5"/>
        <v>5138</v>
      </c>
      <c r="H30" s="100"/>
      <c r="I30" s="89">
        <f t="shared" si="6"/>
        <v>0</v>
      </c>
      <c r="J30" s="100">
        <v>57</v>
      </c>
      <c r="K30" s="89">
        <f t="shared" si="7"/>
        <v>769.5</v>
      </c>
      <c r="L30" s="93">
        <f t="shared" si="8"/>
        <v>0.43483412322274884</v>
      </c>
      <c r="M30" s="86">
        <f t="shared" si="4"/>
        <v>114.70873786407768</v>
      </c>
      <c r="N30" s="186"/>
      <c r="O30" s="152"/>
      <c r="P30" s="152"/>
      <c r="Q30" s="2"/>
      <c r="R30" s="2"/>
      <c r="S30" s="2"/>
      <c r="T30" s="2"/>
      <c r="U30" s="2"/>
      <c r="V30" s="2"/>
      <c r="W30" s="2"/>
      <c r="X30" s="2"/>
      <c r="Y30" s="2"/>
      <c r="Z30" s="2"/>
      <c r="AA30" s="2"/>
      <c r="AB30" s="1"/>
      <c r="AC30" s="1"/>
      <c r="AD30" s="1"/>
      <c r="AE30" s="1"/>
      <c r="AF30" s="1"/>
      <c r="AG30" s="1"/>
      <c r="AH30" s="1"/>
      <c r="AI30" s="1"/>
      <c r="AJ30" s="1"/>
      <c r="AK30" s="1"/>
      <c r="AL30" s="1"/>
    </row>
    <row r="31" spans="1:38" ht="17.25" thickBot="1" x14ac:dyDescent="0.35">
      <c r="A31" s="147"/>
      <c r="B31" s="97">
        <v>43580</v>
      </c>
      <c r="C31" s="103">
        <v>15</v>
      </c>
      <c r="D31" s="150"/>
      <c r="E31" s="150"/>
      <c r="F31" s="100">
        <v>229</v>
      </c>
      <c r="G31" s="89">
        <f t="shared" si="5"/>
        <v>1603</v>
      </c>
      <c r="H31" s="100"/>
      <c r="I31" s="89">
        <f t="shared" si="6"/>
        <v>0</v>
      </c>
      <c r="J31" s="100">
        <v>15</v>
      </c>
      <c r="K31" s="89">
        <f t="shared" si="7"/>
        <v>202.5</v>
      </c>
      <c r="L31" s="93">
        <f t="shared" si="8"/>
        <v>0.13566350710900474</v>
      </c>
      <c r="M31" s="86">
        <f t="shared" si="4"/>
        <v>120.36666666666666</v>
      </c>
      <c r="N31" s="186"/>
      <c r="O31" s="152"/>
      <c r="P31" s="152"/>
      <c r="Q31" s="2"/>
      <c r="R31" s="2"/>
      <c r="S31" s="2"/>
      <c r="T31" s="2"/>
      <c r="U31" s="2"/>
      <c r="V31" s="2"/>
      <c r="W31" s="2"/>
      <c r="X31" s="2"/>
      <c r="Y31" s="2"/>
      <c r="Z31" s="2"/>
      <c r="AA31" s="2"/>
      <c r="AB31" s="1"/>
      <c r="AC31" s="1"/>
      <c r="AD31" s="1"/>
      <c r="AE31" s="1"/>
      <c r="AF31" s="1"/>
      <c r="AG31" s="1"/>
      <c r="AH31" s="1"/>
      <c r="AI31" s="1"/>
      <c r="AJ31" s="1"/>
      <c r="AK31" s="1"/>
      <c r="AL31" s="1"/>
    </row>
    <row r="32" spans="1:38" ht="17.25" thickBot="1" x14ac:dyDescent="0.35">
      <c r="A32" s="147"/>
      <c r="B32" s="97">
        <v>43216</v>
      </c>
      <c r="C32" s="103">
        <v>17.5</v>
      </c>
      <c r="D32" s="150"/>
      <c r="E32" s="150"/>
      <c r="F32" s="100">
        <v>184</v>
      </c>
      <c r="G32" s="89">
        <f t="shared" si="5"/>
        <v>1288</v>
      </c>
      <c r="H32" s="100"/>
      <c r="I32" s="89">
        <f t="shared" si="6"/>
        <v>0</v>
      </c>
      <c r="J32" s="100">
        <v>24</v>
      </c>
      <c r="K32" s="89">
        <f t="shared" si="7"/>
        <v>324</v>
      </c>
      <c r="L32" s="93">
        <f t="shared" si="8"/>
        <v>0.10900473933649289</v>
      </c>
      <c r="M32" s="86">
        <f t="shared" si="4"/>
        <v>92.114285714285714</v>
      </c>
      <c r="N32" s="186"/>
      <c r="O32" s="152"/>
      <c r="P32" s="152"/>
      <c r="Q32" s="2"/>
      <c r="R32" s="2"/>
      <c r="S32" s="2"/>
      <c r="T32" s="2"/>
      <c r="U32" s="2"/>
      <c r="V32" s="2"/>
      <c r="W32" s="2"/>
      <c r="X32" s="2"/>
      <c r="Y32" s="2"/>
      <c r="Z32" s="2"/>
      <c r="AA32" s="2"/>
      <c r="AB32" s="1"/>
      <c r="AC32" s="1"/>
      <c r="AD32" s="1"/>
      <c r="AE32" s="1"/>
      <c r="AF32" s="1"/>
      <c r="AG32" s="1"/>
      <c r="AH32" s="1"/>
      <c r="AI32" s="1"/>
      <c r="AJ32" s="1"/>
      <c r="AK32" s="1"/>
      <c r="AL32" s="1"/>
    </row>
    <row r="33" spans="1:38" ht="17.25" thickBot="1" x14ac:dyDescent="0.35">
      <c r="A33" s="148"/>
      <c r="B33" s="98">
        <v>43217</v>
      </c>
      <c r="C33" s="104">
        <v>20</v>
      </c>
      <c r="D33" s="151"/>
      <c r="E33" s="151"/>
      <c r="F33" s="101">
        <v>170</v>
      </c>
      <c r="G33" s="90">
        <f t="shared" si="5"/>
        <v>1190</v>
      </c>
      <c r="H33" s="101"/>
      <c r="I33" s="90">
        <f t="shared" si="6"/>
        <v>0</v>
      </c>
      <c r="J33" s="101">
        <v>25</v>
      </c>
      <c r="K33" s="90">
        <f t="shared" si="7"/>
        <v>337.5</v>
      </c>
      <c r="L33" s="94">
        <f t="shared" si="8"/>
        <v>0.10071090047393365</v>
      </c>
      <c r="M33" s="88">
        <f t="shared" si="4"/>
        <v>76.375</v>
      </c>
      <c r="N33" s="186"/>
      <c r="O33" s="152"/>
      <c r="P33" s="152"/>
      <c r="Q33" s="2"/>
      <c r="R33" s="2"/>
      <c r="S33" s="2"/>
      <c r="T33" s="2"/>
      <c r="U33" s="2"/>
      <c r="V33" s="2"/>
      <c r="W33" s="2"/>
      <c r="X33" s="2"/>
      <c r="Y33" s="2"/>
      <c r="Z33" s="2"/>
      <c r="AA33" s="2"/>
      <c r="AB33" s="1"/>
      <c r="AC33" s="1"/>
      <c r="AD33" s="1"/>
      <c r="AE33" s="1"/>
      <c r="AF33" s="1"/>
      <c r="AG33" s="1"/>
      <c r="AH33" s="1"/>
      <c r="AI33" s="1"/>
      <c r="AJ33" s="1"/>
      <c r="AK33" s="1"/>
      <c r="AL33" s="1"/>
    </row>
    <row r="34" spans="1:38" ht="17.25" thickBot="1" x14ac:dyDescent="0.35">
      <c r="A34" s="146">
        <v>18</v>
      </c>
      <c r="B34" s="105">
        <v>43584</v>
      </c>
      <c r="C34" s="102">
        <v>45</v>
      </c>
      <c r="D34" s="149">
        <f t="shared" ref="D34" si="21">SUM(G34:G39)+SUM(I34:I39)</f>
        <v>19061</v>
      </c>
      <c r="E34" s="149">
        <f t="shared" ref="E34" si="22">SUM(G34:G39,K34:K39,H34:H39)</f>
        <v>28214</v>
      </c>
      <c r="F34" s="99">
        <v>451</v>
      </c>
      <c r="G34" s="91">
        <f t="shared" si="5"/>
        <v>3157</v>
      </c>
      <c r="H34" s="99"/>
      <c r="I34" s="91">
        <f t="shared" si="6"/>
        <v>0</v>
      </c>
      <c r="J34" s="99">
        <v>66</v>
      </c>
      <c r="K34" s="91">
        <f t="shared" si="7"/>
        <v>891</v>
      </c>
      <c r="L34" s="92">
        <f t="shared" si="8"/>
        <v>0.26718009478672988</v>
      </c>
      <c r="M34" s="84">
        <f t="shared" si="4"/>
        <v>89.955555555555549</v>
      </c>
      <c r="N34" s="186">
        <f>AVERAGE(M34:M39)</f>
        <v>90.218709176890513</v>
      </c>
      <c r="O34" s="152">
        <f t="shared" ref="O34" si="23">SUM(L34:L39)</f>
        <v>1.6131516587677726</v>
      </c>
      <c r="P34" s="152">
        <v>0.71682464454976302</v>
      </c>
      <c r="Q34" s="2"/>
      <c r="R34" s="2"/>
      <c r="S34" s="2"/>
      <c r="T34" s="2"/>
      <c r="U34" s="2"/>
      <c r="V34" s="2"/>
      <c r="W34" s="2"/>
      <c r="X34" s="2"/>
      <c r="Y34" s="2"/>
      <c r="Z34" s="2"/>
      <c r="AA34" s="2"/>
      <c r="AB34" s="1"/>
      <c r="AC34" s="1"/>
      <c r="AD34" s="1"/>
      <c r="AE34" s="1"/>
      <c r="AF34" s="1"/>
      <c r="AG34" s="1"/>
      <c r="AH34" s="1"/>
      <c r="AI34" s="1"/>
      <c r="AJ34" s="1"/>
      <c r="AK34" s="1"/>
      <c r="AL34" s="1"/>
    </row>
    <row r="35" spans="1:38" ht="17.25" thickBot="1" x14ac:dyDescent="0.35">
      <c r="A35" s="147"/>
      <c r="B35" s="97">
        <v>43585</v>
      </c>
      <c r="C35" s="103">
        <v>60</v>
      </c>
      <c r="D35" s="150"/>
      <c r="E35" s="150"/>
      <c r="F35" s="100">
        <v>680</v>
      </c>
      <c r="G35" s="89">
        <f t="shared" si="5"/>
        <v>4760</v>
      </c>
      <c r="H35" s="100"/>
      <c r="I35" s="89">
        <f t="shared" si="6"/>
        <v>0</v>
      </c>
      <c r="J35" s="100">
        <v>83</v>
      </c>
      <c r="K35" s="89">
        <f t="shared" si="7"/>
        <v>1120.5</v>
      </c>
      <c r="L35" s="93">
        <f t="shared" si="8"/>
        <v>0.40284360189573459</v>
      </c>
      <c r="M35" s="86">
        <f t="shared" si="4"/>
        <v>98.00833333333334</v>
      </c>
      <c r="N35" s="186"/>
      <c r="O35" s="152"/>
      <c r="P35" s="152"/>
      <c r="Q35" s="2"/>
      <c r="R35" s="2"/>
      <c r="S35" s="2"/>
      <c r="T35" s="2"/>
      <c r="U35" s="2"/>
      <c r="V35" s="2"/>
      <c r="W35" s="2"/>
      <c r="X35" s="2"/>
      <c r="Y35" s="2"/>
      <c r="Z35" s="2"/>
      <c r="AA35" s="2"/>
      <c r="AB35" s="1"/>
      <c r="AC35" s="1"/>
      <c r="AD35" s="1"/>
      <c r="AE35" s="1"/>
      <c r="AF35" s="1"/>
      <c r="AG35" s="1"/>
      <c r="AH35" s="1"/>
      <c r="AI35" s="1"/>
      <c r="AJ35" s="1"/>
      <c r="AK35" s="1"/>
      <c r="AL35" s="1"/>
    </row>
    <row r="36" spans="1:38" ht="17.25" thickBot="1" x14ac:dyDescent="0.35">
      <c r="A36" s="147"/>
      <c r="B36" s="97">
        <v>43586</v>
      </c>
      <c r="C36" s="103">
        <v>40</v>
      </c>
      <c r="D36" s="150"/>
      <c r="E36" s="150"/>
      <c r="F36" s="100">
        <v>395</v>
      </c>
      <c r="G36" s="89">
        <f t="shared" si="5"/>
        <v>2765</v>
      </c>
      <c r="H36" s="100"/>
      <c r="I36" s="89">
        <f t="shared" si="6"/>
        <v>0</v>
      </c>
      <c r="J36" s="100">
        <v>63</v>
      </c>
      <c r="K36" s="89">
        <f t="shared" si="7"/>
        <v>850.5</v>
      </c>
      <c r="L36" s="93">
        <f t="shared" si="8"/>
        <v>0.23400473933649288</v>
      </c>
      <c r="M36" s="86">
        <f t="shared" si="4"/>
        <v>90.387500000000003</v>
      </c>
      <c r="N36" s="186"/>
      <c r="O36" s="152"/>
      <c r="P36" s="152"/>
      <c r="Q36" s="2"/>
      <c r="R36" s="2"/>
      <c r="S36" s="2"/>
      <c r="T36" s="2"/>
      <c r="U36" s="2"/>
      <c r="V36" s="2"/>
      <c r="W36" s="2"/>
      <c r="X36" s="2"/>
      <c r="Y36" s="2"/>
      <c r="Z36" s="2"/>
      <c r="AA36" s="2"/>
      <c r="AB36" s="1"/>
      <c r="AC36" s="1"/>
      <c r="AD36" s="1"/>
      <c r="AE36" s="1"/>
      <c r="AF36" s="1"/>
      <c r="AG36" s="1"/>
      <c r="AH36" s="1"/>
      <c r="AI36" s="1"/>
      <c r="AJ36" s="1"/>
      <c r="AK36" s="1"/>
      <c r="AL36" s="1"/>
    </row>
    <row r="37" spans="1:38" ht="17.25" thickBot="1" x14ac:dyDescent="0.35">
      <c r="A37" s="147"/>
      <c r="B37" s="97">
        <v>43587</v>
      </c>
      <c r="C37" s="103">
        <v>55</v>
      </c>
      <c r="D37" s="150"/>
      <c r="E37" s="150"/>
      <c r="F37" s="100">
        <v>420</v>
      </c>
      <c r="G37" s="89">
        <f t="shared" si="5"/>
        <v>2940</v>
      </c>
      <c r="H37" s="100"/>
      <c r="I37" s="89">
        <f t="shared" si="6"/>
        <v>0</v>
      </c>
      <c r="J37" s="100">
        <v>157</v>
      </c>
      <c r="K37" s="89">
        <f t="shared" si="7"/>
        <v>2119.5</v>
      </c>
      <c r="L37" s="93">
        <f t="shared" si="8"/>
        <v>0.24881516587677724</v>
      </c>
      <c r="M37" s="86">
        <f t="shared" si="4"/>
        <v>91.990909090909085</v>
      </c>
      <c r="N37" s="186"/>
      <c r="O37" s="152"/>
      <c r="P37" s="152"/>
      <c r="Q37" s="2"/>
      <c r="R37" s="2"/>
      <c r="S37" s="2"/>
      <c r="T37" s="2"/>
      <c r="U37" s="2"/>
      <c r="V37" s="2"/>
      <c r="W37" s="2"/>
      <c r="X37" s="2"/>
      <c r="Y37" s="2"/>
      <c r="Z37" s="2"/>
      <c r="AA37" s="2"/>
      <c r="AB37" s="1"/>
      <c r="AC37" s="1"/>
      <c r="AD37" s="1"/>
      <c r="AE37" s="1"/>
      <c r="AF37" s="1"/>
      <c r="AG37" s="1"/>
      <c r="AH37" s="1"/>
      <c r="AI37" s="1"/>
      <c r="AJ37" s="1"/>
      <c r="AK37" s="1"/>
      <c r="AL37" s="1"/>
    </row>
    <row r="38" spans="1:38" ht="17.25" thickBot="1" x14ac:dyDescent="0.35">
      <c r="A38" s="147"/>
      <c r="B38" s="97">
        <v>43223</v>
      </c>
      <c r="C38" s="103">
        <v>58.25</v>
      </c>
      <c r="D38" s="150"/>
      <c r="E38" s="150"/>
      <c r="F38" s="100">
        <v>426</v>
      </c>
      <c r="G38" s="89">
        <f t="shared" si="5"/>
        <v>2982</v>
      </c>
      <c r="H38" s="100"/>
      <c r="I38" s="89">
        <f t="shared" si="6"/>
        <v>0</v>
      </c>
      <c r="J38" s="100">
        <v>163</v>
      </c>
      <c r="K38" s="89">
        <f t="shared" si="7"/>
        <v>2200.5</v>
      </c>
      <c r="L38" s="93">
        <f t="shared" si="8"/>
        <v>0.25236966824644552</v>
      </c>
      <c r="M38" s="86">
        <f t="shared" si="4"/>
        <v>88.969957081545061</v>
      </c>
      <c r="N38" s="186"/>
      <c r="O38" s="152"/>
      <c r="P38" s="152"/>
      <c r="Q38" s="2"/>
      <c r="R38" s="2"/>
      <c r="S38" s="2"/>
      <c r="T38" s="2"/>
      <c r="U38" s="2"/>
      <c r="V38" s="2"/>
      <c r="W38" s="2"/>
      <c r="X38" s="2"/>
      <c r="Y38" s="2"/>
      <c r="Z38" s="2"/>
      <c r="AA38" s="2"/>
      <c r="AB38" s="1"/>
      <c r="AC38" s="1"/>
      <c r="AD38" s="1"/>
      <c r="AE38" s="1"/>
      <c r="AF38" s="1"/>
      <c r="AG38" s="1"/>
      <c r="AH38" s="1"/>
      <c r="AI38" s="1"/>
      <c r="AJ38" s="1"/>
      <c r="AK38" s="1"/>
      <c r="AL38" s="1"/>
    </row>
    <row r="39" spans="1:38" ht="17.25" thickBot="1" x14ac:dyDescent="0.35">
      <c r="A39" s="148"/>
      <c r="B39" s="98">
        <v>43589</v>
      </c>
      <c r="C39" s="104">
        <v>54</v>
      </c>
      <c r="D39" s="151"/>
      <c r="E39" s="151"/>
      <c r="F39" s="101">
        <v>351</v>
      </c>
      <c r="G39" s="90">
        <f t="shared" si="5"/>
        <v>2457</v>
      </c>
      <c r="H39" s="101"/>
      <c r="I39" s="90">
        <f t="shared" si="6"/>
        <v>0</v>
      </c>
      <c r="J39" s="101">
        <v>146</v>
      </c>
      <c r="K39" s="90">
        <f t="shared" si="7"/>
        <v>1971</v>
      </c>
      <c r="L39" s="94">
        <f t="shared" si="8"/>
        <v>0.20793838862559241</v>
      </c>
      <c r="M39" s="88">
        <f t="shared" si="4"/>
        <v>82</v>
      </c>
      <c r="N39" s="186"/>
      <c r="O39" s="152"/>
      <c r="P39" s="152"/>
      <c r="Q39" s="2"/>
      <c r="R39" s="2"/>
      <c r="S39" s="2"/>
      <c r="T39" s="2"/>
      <c r="U39" s="2"/>
      <c r="V39" s="2"/>
      <c r="W39" s="2"/>
      <c r="X39" s="2"/>
      <c r="Y39" s="2"/>
      <c r="Z39" s="2"/>
      <c r="AA39" s="2"/>
      <c r="AB39" s="1"/>
      <c r="AC39" s="1"/>
      <c r="AD39" s="1"/>
      <c r="AE39" s="1"/>
      <c r="AF39" s="1"/>
      <c r="AG39" s="1"/>
      <c r="AH39" s="1"/>
      <c r="AI39" s="1"/>
      <c r="AJ39" s="1"/>
      <c r="AK39" s="1"/>
      <c r="AL39" s="1"/>
    </row>
    <row r="40" spans="1:38" ht="17.25" thickBot="1" x14ac:dyDescent="0.35">
      <c r="A40" s="147">
        <v>19</v>
      </c>
      <c r="B40" s="105">
        <v>43591</v>
      </c>
      <c r="C40" s="102">
        <v>55</v>
      </c>
      <c r="D40" s="149">
        <f t="shared" ref="D40" si="24">SUM(G40:G45)+SUM(I40:I45)</f>
        <v>15848</v>
      </c>
      <c r="E40" s="149">
        <f t="shared" ref="E40" si="25">SUM(G40:G45,K40:K45,H40:H45)</f>
        <v>21680</v>
      </c>
      <c r="F40" s="99">
        <v>406</v>
      </c>
      <c r="G40" s="89">
        <f t="shared" si="5"/>
        <v>2842</v>
      </c>
      <c r="H40" s="99"/>
      <c r="I40" s="89">
        <f t="shared" si="6"/>
        <v>0</v>
      </c>
      <c r="J40" s="99">
        <v>202</v>
      </c>
      <c r="K40" s="89">
        <f t="shared" si="7"/>
        <v>2727</v>
      </c>
      <c r="L40" s="93">
        <f t="shared" si="8"/>
        <v>0.24052132701421802</v>
      </c>
      <c r="M40" s="86">
        <f t="shared" si="4"/>
        <v>101.25454545454545</v>
      </c>
      <c r="N40" s="186">
        <f t="shared" ref="N40" si="26">AVERAGE(M40:M45)</f>
        <v>101.28482124616956</v>
      </c>
      <c r="O40" s="152">
        <f t="shared" ref="O40" si="27">SUM(L40:L45)</f>
        <v>1.3412322274881516</v>
      </c>
      <c r="P40" s="152">
        <v>0.75</v>
      </c>
      <c r="Q40" s="2"/>
      <c r="R40" s="2"/>
      <c r="S40" s="2"/>
      <c r="T40" s="2"/>
      <c r="U40" s="2"/>
      <c r="V40" s="2"/>
      <c r="W40" s="2"/>
      <c r="X40" s="2"/>
      <c r="Y40" s="2"/>
      <c r="Z40" s="1"/>
      <c r="AA40" s="1"/>
      <c r="AB40" s="1"/>
      <c r="AC40" s="1"/>
      <c r="AD40" s="1"/>
      <c r="AE40" s="1"/>
      <c r="AF40" s="1"/>
      <c r="AG40" s="1"/>
      <c r="AH40" s="1"/>
      <c r="AI40" s="1"/>
      <c r="AJ40" s="1"/>
    </row>
    <row r="41" spans="1:38" ht="17.25" thickBot="1" x14ac:dyDescent="0.35">
      <c r="A41" s="147"/>
      <c r="B41" s="97">
        <v>43592</v>
      </c>
      <c r="C41" s="103">
        <v>50</v>
      </c>
      <c r="D41" s="150"/>
      <c r="E41" s="150"/>
      <c r="F41" s="100">
        <v>449</v>
      </c>
      <c r="G41" s="89">
        <f t="shared" si="5"/>
        <v>3143</v>
      </c>
      <c r="H41" s="100"/>
      <c r="I41" s="89">
        <f t="shared" si="6"/>
        <v>0</v>
      </c>
      <c r="J41" s="100">
        <v>157</v>
      </c>
      <c r="K41" s="89">
        <f t="shared" si="7"/>
        <v>2119.5</v>
      </c>
      <c r="L41" s="93">
        <f t="shared" si="8"/>
        <v>0.26599526066350709</v>
      </c>
      <c r="M41" s="86">
        <f t="shared" si="4"/>
        <v>105.25</v>
      </c>
      <c r="N41" s="186"/>
      <c r="O41" s="152"/>
      <c r="P41" s="152"/>
      <c r="Q41" s="2"/>
      <c r="R41" s="2"/>
      <c r="S41" s="2"/>
      <c r="T41" s="2"/>
      <c r="U41" s="2"/>
      <c r="V41" s="2"/>
      <c r="W41" s="2"/>
      <c r="X41" s="2"/>
      <c r="Y41" s="2"/>
      <c r="Z41" s="1"/>
      <c r="AA41" s="1"/>
      <c r="AB41" s="1"/>
      <c r="AC41" s="1"/>
      <c r="AD41" s="1"/>
      <c r="AE41" s="1"/>
      <c r="AF41" s="1"/>
      <c r="AG41" s="1"/>
      <c r="AH41" s="1"/>
      <c r="AI41" s="1"/>
      <c r="AJ41" s="1"/>
    </row>
    <row r="42" spans="1:38" ht="17.25" thickBot="1" x14ac:dyDescent="0.35">
      <c r="A42" s="147"/>
      <c r="B42" s="97">
        <v>43593</v>
      </c>
      <c r="C42" s="103">
        <v>50</v>
      </c>
      <c r="D42" s="150"/>
      <c r="E42" s="150"/>
      <c r="F42" s="100">
        <v>585</v>
      </c>
      <c r="G42" s="89">
        <f t="shared" si="5"/>
        <v>4095</v>
      </c>
      <c r="H42" s="100"/>
      <c r="I42" s="89">
        <f t="shared" si="6"/>
        <v>0</v>
      </c>
      <c r="J42" s="100">
        <v>23</v>
      </c>
      <c r="K42" s="89">
        <f t="shared" si="7"/>
        <v>310.5</v>
      </c>
      <c r="L42" s="93">
        <f t="shared" si="8"/>
        <v>0.34656398104265401</v>
      </c>
      <c r="M42" s="86">
        <f t="shared" si="4"/>
        <v>88.11</v>
      </c>
      <c r="N42" s="186"/>
      <c r="O42" s="152"/>
      <c r="P42" s="152"/>
      <c r="Q42" s="2"/>
      <c r="R42" s="2"/>
      <c r="S42" s="2"/>
      <c r="T42" s="2"/>
      <c r="U42" s="2"/>
      <c r="V42" s="2"/>
      <c r="W42" s="2"/>
      <c r="X42" s="2"/>
      <c r="Y42" s="2"/>
      <c r="Z42" s="1"/>
      <c r="AA42" s="1"/>
      <c r="AB42" s="1"/>
      <c r="AC42" s="1"/>
      <c r="AD42" s="1"/>
      <c r="AE42" s="1"/>
      <c r="AF42" s="1"/>
      <c r="AG42" s="1"/>
      <c r="AH42" s="1"/>
      <c r="AI42" s="1"/>
      <c r="AJ42" s="1"/>
    </row>
    <row r="43" spans="1:38" ht="17.25" thickBot="1" x14ac:dyDescent="0.35">
      <c r="A43" s="147"/>
      <c r="B43" s="97">
        <v>43594</v>
      </c>
      <c r="C43" s="103">
        <v>22.25</v>
      </c>
      <c r="D43" s="150"/>
      <c r="E43" s="150"/>
      <c r="F43" s="100">
        <v>225</v>
      </c>
      <c r="G43" s="89">
        <f t="shared" si="5"/>
        <v>1575</v>
      </c>
      <c r="H43" s="100"/>
      <c r="I43" s="89">
        <f t="shared" si="6"/>
        <v>0</v>
      </c>
      <c r="J43" s="100">
        <v>16</v>
      </c>
      <c r="K43" s="89">
        <f t="shared" si="7"/>
        <v>216</v>
      </c>
      <c r="L43" s="93">
        <f t="shared" si="8"/>
        <v>0.13329383886255924</v>
      </c>
      <c r="M43" s="86">
        <f t="shared" si="4"/>
        <v>80.49438202247191</v>
      </c>
      <c r="N43" s="186"/>
      <c r="O43" s="152"/>
      <c r="P43" s="152"/>
      <c r="Q43" s="2"/>
      <c r="R43" s="2"/>
      <c r="S43" s="2"/>
      <c r="T43" s="2"/>
      <c r="U43" s="2"/>
      <c r="V43" s="2"/>
      <c r="W43" s="2"/>
      <c r="X43" s="2"/>
      <c r="Y43" s="2"/>
      <c r="Z43" s="1"/>
      <c r="AA43" s="1"/>
      <c r="AB43" s="1"/>
      <c r="AC43" s="1"/>
      <c r="AD43" s="1"/>
      <c r="AE43" s="1"/>
      <c r="AF43" s="1"/>
      <c r="AG43" s="1"/>
      <c r="AH43" s="1"/>
      <c r="AI43" s="1"/>
      <c r="AJ43" s="1"/>
    </row>
    <row r="44" spans="1:38" ht="17.25" thickBot="1" x14ac:dyDescent="0.35">
      <c r="A44" s="147"/>
      <c r="B44" s="97">
        <v>43595</v>
      </c>
      <c r="C44" s="103">
        <v>20</v>
      </c>
      <c r="D44" s="150"/>
      <c r="E44" s="150"/>
      <c r="F44" s="100">
        <v>232</v>
      </c>
      <c r="G44" s="89">
        <f t="shared" si="5"/>
        <v>1624</v>
      </c>
      <c r="H44" s="100"/>
      <c r="I44" s="89">
        <f t="shared" si="6"/>
        <v>0</v>
      </c>
      <c r="J44" s="100">
        <v>16</v>
      </c>
      <c r="K44" s="89">
        <f t="shared" si="7"/>
        <v>216</v>
      </c>
      <c r="L44" s="93">
        <f t="shared" si="8"/>
        <v>0.13744075829383887</v>
      </c>
      <c r="M44" s="86">
        <f t="shared" si="4"/>
        <v>92</v>
      </c>
      <c r="N44" s="186"/>
      <c r="O44" s="152"/>
      <c r="P44" s="152"/>
      <c r="Q44" s="2"/>
      <c r="R44" s="2"/>
      <c r="S44" s="2"/>
      <c r="T44" s="2"/>
      <c r="U44" s="2"/>
      <c r="V44" s="2"/>
      <c r="W44" s="2"/>
      <c r="X44" s="2"/>
      <c r="Y44" s="2"/>
      <c r="Z44" s="1"/>
      <c r="AA44" s="1"/>
      <c r="AB44" s="1"/>
      <c r="AC44" s="1"/>
      <c r="AD44" s="1"/>
      <c r="AE44" s="1"/>
      <c r="AF44" s="1"/>
      <c r="AG44" s="1"/>
      <c r="AH44" s="1"/>
      <c r="AI44" s="1"/>
      <c r="AJ44" s="1"/>
    </row>
    <row r="45" spans="1:38" ht="17.25" thickBot="1" x14ac:dyDescent="0.35">
      <c r="A45" s="147"/>
      <c r="B45" s="98">
        <v>43596</v>
      </c>
      <c r="C45" s="104">
        <v>20</v>
      </c>
      <c r="D45" s="151"/>
      <c r="E45" s="151"/>
      <c r="F45" s="101">
        <v>367</v>
      </c>
      <c r="G45" s="89">
        <f t="shared" si="5"/>
        <v>2569</v>
      </c>
      <c r="H45" s="101"/>
      <c r="I45" s="89">
        <f t="shared" si="6"/>
        <v>0</v>
      </c>
      <c r="J45" s="101">
        <v>18</v>
      </c>
      <c r="K45" s="89">
        <f t="shared" si="7"/>
        <v>243</v>
      </c>
      <c r="L45" s="93">
        <f t="shared" si="8"/>
        <v>0.21741706161137442</v>
      </c>
      <c r="M45" s="86">
        <f t="shared" si="4"/>
        <v>140.6</v>
      </c>
      <c r="N45" s="186"/>
      <c r="O45" s="152"/>
      <c r="P45" s="152"/>
      <c r="Q45" s="2"/>
      <c r="R45" s="2"/>
      <c r="S45" s="2"/>
      <c r="T45" s="2"/>
      <c r="U45" s="2"/>
      <c r="V45" s="2"/>
      <c r="W45" s="2"/>
      <c r="X45" s="2"/>
      <c r="Y45" s="2"/>
      <c r="Z45" s="1"/>
      <c r="AA45" s="1"/>
      <c r="AB45" s="1"/>
      <c r="AC45" s="1"/>
      <c r="AD45" s="1"/>
      <c r="AE45" s="1"/>
      <c r="AF45" s="1"/>
      <c r="AG45" s="1"/>
      <c r="AH45" s="1"/>
      <c r="AI45" s="1"/>
      <c r="AJ45" s="1"/>
    </row>
    <row r="46" spans="1:38" ht="17.25" thickBot="1" x14ac:dyDescent="0.35">
      <c r="A46" s="146">
        <v>20</v>
      </c>
      <c r="B46" s="105">
        <v>43598</v>
      </c>
      <c r="C46" s="102">
        <v>60</v>
      </c>
      <c r="D46" s="149">
        <f t="shared" ref="D46" si="28">SUM(G46:G51)+SUM(I46:I51)</f>
        <v>36435</v>
      </c>
      <c r="E46" s="149">
        <f t="shared" ref="E46" si="29">SUM(G46:G51,K46:K51,H46:H51)</f>
        <v>39607.5</v>
      </c>
      <c r="F46" s="99">
        <v>986</v>
      </c>
      <c r="G46" s="91">
        <f t="shared" si="5"/>
        <v>6902</v>
      </c>
      <c r="H46" s="99"/>
      <c r="I46" s="91">
        <f t="shared" si="6"/>
        <v>0</v>
      </c>
      <c r="J46" s="99">
        <v>37</v>
      </c>
      <c r="K46" s="91">
        <f t="shared" si="7"/>
        <v>499.5</v>
      </c>
      <c r="L46" s="92">
        <f t="shared" si="8"/>
        <v>0.58412322274881512</v>
      </c>
      <c r="M46" s="84">
        <f t="shared" si="4"/>
        <v>123.35833333333333</v>
      </c>
      <c r="N46" s="186">
        <f>AVERAGE(M46:M51)</f>
        <v>124.05279714640676</v>
      </c>
      <c r="O46" s="152">
        <f t="shared" ref="O46" si="30">SUM(L46:L51)</f>
        <v>3.0835308056872037</v>
      </c>
      <c r="P46" s="152">
        <v>1.3797393364928909</v>
      </c>
      <c r="Q46" s="2"/>
      <c r="R46" s="2"/>
      <c r="S46" s="2"/>
      <c r="T46" s="2"/>
      <c r="U46" s="2"/>
      <c r="V46" s="2"/>
      <c r="W46" s="2"/>
      <c r="X46" s="2"/>
      <c r="Y46" s="2"/>
      <c r="Z46" s="1"/>
      <c r="AA46" s="1"/>
      <c r="AB46" s="1"/>
      <c r="AC46" s="1"/>
      <c r="AD46" s="1"/>
      <c r="AE46" s="1"/>
      <c r="AF46" s="1"/>
      <c r="AG46" s="1"/>
      <c r="AH46" s="1"/>
      <c r="AI46" s="1"/>
      <c r="AJ46" s="1"/>
    </row>
    <row r="47" spans="1:38" ht="17.25" thickBot="1" x14ac:dyDescent="0.35">
      <c r="A47" s="147"/>
      <c r="B47" s="97">
        <v>43599</v>
      </c>
      <c r="C47" s="103">
        <v>60</v>
      </c>
      <c r="D47" s="150"/>
      <c r="E47" s="150"/>
      <c r="F47" s="100">
        <v>1005</v>
      </c>
      <c r="G47" s="89">
        <f t="shared" si="5"/>
        <v>7035</v>
      </c>
      <c r="H47" s="100"/>
      <c r="I47" s="89">
        <f t="shared" si="6"/>
        <v>0</v>
      </c>
      <c r="J47" s="100">
        <v>39</v>
      </c>
      <c r="K47" s="89">
        <f t="shared" si="7"/>
        <v>526.5</v>
      </c>
      <c r="L47" s="93">
        <f t="shared" si="8"/>
        <v>0.59537914691943128</v>
      </c>
      <c r="M47" s="86">
        <f t="shared" si="4"/>
        <v>126.02500000000001</v>
      </c>
      <c r="N47" s="186"/>
      <c r="O47" s="152"/>
      <c r="P47" s="152"/>
      <c r="Q47" s="2"/>
      <c r="R47" s="2"/>
      <c r="S47" s="2"/>
      <c r="T47" s="2"/>
      <c r="U47" s="2"/>
      <c r="V47" s="2"/>
      <c r="W47" s="2"/>
      <c r="X47" s="2"/>
      <c r="Y47" s="2"/>
      <c r="Z47" s="1"/>
      <c r="AA47" s="1"/>
      <c r="AB47" s="1"/>
      <c r="AC47" s="1"/>
      <c r="AD47" s="1"/>
      <c r="AE47" s="1"/>
      <c r="AF47" s="1"/>
      <c r="AG47" s="1"/>
      <c r="AH47" s="1"/>
      <c r="AI47" s="1"/>
      <c r="AJ47" s="1"/>
    </row>
    <row r="48" spans="1:38" ht="17.25" thickBot="1" x14ac:dyDescent="0.35">
      <c r="A48" s="147"/>
      <c r="B48" s="97">
        <v>43600</v>
      </c>
      <c r="C48" s="103">
        <v>59.5</v>
      </c>
      <c r="D48" s="150"/>
      <c r="E48" s="150"/>
      <c r="F48" s="100">
        <v>939</v>
      </c>
      <c r="G48" s="89">
        <f t="shared" si="5"/>
        <v>6573</v>
      </c>
      <c r="H48" s="100"/>
      <c r="I48" s="89">
        <f t="shared" si="6"/>
        <v>0</v>
      </c>
      <c r="J48" s="100">
        <v>33</v>
      </c>
      <c r="K48" s="89">
        <f t="shared" si="7"/>
        <v>445.5</v>
      </c>
      <c r="L48" s="93">
        <f t="shared" si="8"/>
        <v>0.55627962085308058</v>
      </c>
      <c r="M48" s="86">
        <f t="shared" si="4"/>
        <v>117.95798319327731</v>
      </c>
      <c r="N48" s="186"/>
      <c r="O48" s="152"/>
      <c r="P48" s="152"/>
      <c r="Q48" s="2"/>
      <c r="R48" s="2"/>
      <c r="S48" s="2"/>
      <c r="T48" s="2"/>
      <c r="U48" s="2"/>
      <c r="V48" s="2"/>
      <c r="W48" s="2"/>
      <c r="X48" s="2"/>
      <c r="Y48" s="2"/>
      <c r="Z48" s="1"/>
      <c r="AA48" s="1"/>
      <c r="AB48" s="1"/>
      <c r="AC48" s="1"/>
      <c r="AD48" s="1"/>
      <c r="AE48" s="1"/>
      <c r="AF48" s="1"/>
      <c r="AG48" s="1"/>
      <c r="AH48" s="1"/>
      <c r="AI48" s="1"/>
      <c r="AJ48" s="1"/>
    </row>
    <row r="49" spans="1:36" ht="17.25" thickBot="1" x14ac:dyDescent="0.35">
      <c r="A49" s="147"/>
      <c r="B49" s="97">
        <v>43601</v>
      </c>
      <c r="C49" s="103">
        <v>60.5</v>
      </c>
      <c r="D49" s="150"/>
      <c r="E49" s="150"/>
      <c r="F49" s="100">
        <v>919</v>
      </c>
      <c r="G49" s="89">
        <f t="shared" si="5"/>
        <v>6433</v>
      </c>
      <c r="H49" s="100"/>
      <c r="I49" s="89">
        <f t="shared" si="6"/>
        <v>0</v>
      </c>
      <c r="J49" s="100">
        <v>42</v>
      </c>
      <c r="K49" s="89">
        <f t="shared" si="7"/>
        <v>567</v>
      </c>
      <c r="L49" s="93">
        <f t="shared" si="8"/>
        <v>0.54443127962085303</v>
      </c>
      <c r="M49" s="86">
        <f t="shared" si="4"/>
        <v>115.70247933884298</v>
      </c>
      <c r="N49" s="186"/>
      <c r="O49" s="152"/>
      <c r="P49" s="152"/>
      <c r="Q49" s="2"/>
      <c r="R49" s="2"/>
      <c r="S49" s="2"/>
      <c r="T49" s="2"/>
      <c r="U49" s="2"/>
      <c r="V49" s="2"/>
      <c r="W49" s="2"/>
      <c r="X49" s="2"/>
      <c r="Y49" s="2"/>
      <c r="Z49" s="1"/>
      <c r="AA49" s="1"/>
      <c r="AB49" s="1"/>
      <c r="AC49" s="1"/>
      <c r="AD49" s="1"/>
      <c r="AE49" s="1"/>
      <c r="AF49" s="1"/>
      <c r="AG49" s="1"/>
      <c r="AH49" s="1"/>
      <c r="AI49" s="1"/>
      <c r="AJ49" s="1"/>
    </row>
    <row r="50" spans="1:36" ht="17.25" thickBot="1" x14ac:dyDescent="0.35">
      <c r="A50" s="147"/>
      <c r="B50" s="97">
        <v>43602</v>
      </c>
      <c r="C50" s="103">
        <v>57.75</v>
      </c>
      <c r="D50" s="150"/>
      <c r="E50" s="150"/>
      <c r="F50" s="100">
        <v>906</v>
      </c>
      <c r="G50" s="89">
        <f t="shared" si="5"/>
        <v>6342</v>
      </c>
      <c r="H50" s="100"/>
      <c r="I50" s="89">
        <f t="shared" si="6"/>
        <v>0</v>
      </c>
      <c r="J50" s="100">
        <v>65</v>
      </c>
      <c r="K50" s="89">
        <f t="shared" si="7"/>
        <v>877.5</v>
      </c>
      <c r="L50" s="93">
        <f t="shared" si="8"/>
        <v>0.53672985781990523</v>
      </c>
      <c r="M50" s="86">
        <f t="shared" si="4"/>
        <v>125.01298701298701</v>
      </c>
      <c r="N50" s="186"/>
      <c r="O50" s="152"/>
      <c r="P50" s="152"/>
      <c r="Q50" s="2"/>
      <c r="R50" s="2"/>
      <c r="S50" s="2"/>
      <c r="T50" s="2"/>
      <c r="U50" s="2"/>
      <c r="V50" s="2"/>
      <c r="W50" s="2"/>
      <c r="X50" s="2"/>
      <c r="Y50" s="2"/>
      <c r="Z50" s="1"/>
      <c r="AA50" s="1"/>
      <c r="AB50" s="1"/>
      <c r="AC50" s="1"/>
      <c r="AD50" s="1"/>
      <c r="AE50" s="1"/>
      <c r="AF50" s="1"/>
      <c r="AG50" s="1"/>
      <c r="AH50" s="1"/>
      <c r="AI50" s="1"/>
      <c r="AJ50" s="1"/>
    </row>
    <row r="51" spans="1:36" ht="17.25" thickBot="1" x14ac:dyDescent="0.35">
      <c r="A51" s="148"/>
      <c r="B51" s="98">
        <v>43603</v>
      </c>
      <c r="C51" s="104">
        <v>25</v>
      </c>
      <c r="D51" s="151"/>
      <c r="E51" s="151"/>
      <c r="F51" s="101">
        <v>450</v>
      </c>
      <c r="G51" s="90">
        <f t="shared" si="5"/>
        <v>3150</v>
      </c>
      <c r="H51" s="101"/>
      <c r="I51" s="90">
        <f t="shared" si="6"/>
        <v>0</v>
      </c>
      <c r="J51" s="101">
        <v>19</v>
      </c>
      <c r="K51" s="90">
        <f t="shared" si="7"/>
        <v>256.5</v>
      </c>
      <c r="L51" s="94">
        <f t="shared" si="8"/>
        <v>0.26658767772511849</v>
      </c>
      <c r="M51" s="88">
        <f t="shared" si="4"/>
        <v>136.26</v>
      </c>
      <c r="N51" s="186"/>
      <c r="O51" s="152"/>
      <c r="P51" s="152"/>
      <c r="Q51" s="2"/>
      <c r="R51" s="2"/>
      <c r="S51" s="2"/>
      <c r="T51" s="2"/>
      <c r="U51" s="2"/>
      <c r="V51" s="2"/>
      <c r="W51" s="2"/>
      <c r="X51" s="2"/>
      <c r="Y51" s="2"/>
      <c r="Z51" s="1"/>
      <c r="AA51" s="1"/>
      <c r="AB51" s="1"/>
      <c r="AC51" s="1"/>
      <c r="AD51" s="1"/>
      <c r="AE51" s="1"/>
      <c r="AF51" s="1"/>
      <c r="AG51" s="1"/>
      <c r="AH51" s="1"/>
      <c r="AI51" s="1"/>
      <c r="AJ51" s="1"/>
    </row>
    <row r="52" spans="1:36" ht="17.25" thickBot="1" x14ac:dyDescent="0.35">
      <c r="A52" s="147">
        <v>21</v>
      </c>
      <c r="B52" s="105">
        <v>43605</v>
      </c>
      <c r="C52" s="102">
        <v>40</v>
      </c>
      <c r="D52" s="149">
        <f t="shared" ref="D52" si="31">SUM(G52:G57)+SUM(I52:I57)</f>
        <v>21084</v>
      </c>
      <c r="E52" s="149">
        <f t="shared" ref="E52" si="32">SUM(G52:G57,K52:K57,H52:H57)</f>
        <v>24769.5</v>
      </c>
      <c r="F52" s="99">
        <v>643</v>
      </c>
      <c r="G52" s="89">
        <f t="shared" si="5"/>
        <v>4501</v>
      </c>
      <c r="H52" s="99"/>
      <c r="I52" s="89">
        <f t="shared" si="6"/>
        <v>0</v>
      </c>
      <c r="J52" s="99">
        <v>31</v>
      </c>
      <c r="K52" s="89">
        <f t="shared" si="7"/>
        <v>418.5</v>
      </c>
      <c r="L52" s="93">
        <f t="shared" si="8"/>
        <v>0.38092417061611372</v>
      </c>
      <c r="M52" s="86">
        <f t="shared" si="4"/>
        <v>122.9875</v>
      </c>
      <c r="N52" s="186">
        <f t="shared" ref="N52" si="33">AVERAGE(M52:M57)</f>
        <v>125.07623015873016</v>
      </c>
      <c r="O52" s="152">
        <f t="shared" ref="O52" si="34">SUM(L52:L57)</f>
        <v>1.7843601895734595</v>
      </c>
      <c r="P52" s="152">
        <v>1.1676540284360188</v>
      </c>
      <c r="Q52" s="2"/>
      <c r="R52" s="2"/>
      <c r="S52" s="2"/>
      <c r="T52" s="2"/>
      <c r="U52" s="2"/>
      <c r="V52" s="2"/>
      <c r="W52" s="2"/>
      <c r="X52" s="2"/>
      <c r="Y52" s="2"/>
      <c r="Z52" s="1"/>
      <c r="AA52" s="1"/>
      <c r="AB52" s="1"/>
      <c r="AC52" s="1"/>
      <c r="AD52" s="1"/>
      <c r="AE52" s="1"/>
      <c r="AF52" s="1"/>
      <c r="AG52" s="1"/>
      <c r="AH52" s="1"/>
      <c r="AI52" s="1"/>
      <c r="AJ52" s="1"/>
    </row>
    <row r="53" spans="1:36" ht="17.25" thickBot="1" x14ac:dyDescent="0.35">
      <c r="A53" s="147"/>
      <c r="B53" s="97">
        <v>43606</v>
      </c>
      <c r="C53" s="103">
        <v>30</v>
      </c>
      <c r="D53" s="150"/>
      <c r="E53" s="150"/>
      <c r="F53" s="100">
        <v>487</v>
      </c>
      <c r="G53" s="89">
        <f t="shared" si="5"/>
        <v>3409</v>
      </c>
      <c r="H53" s="100"/>
      <c r="I53" s="89">
        <f t="shared" si="6"/>
        <v>0</v>
      </c>
      <c r="J53" s="100">
        <v>26</v>
      </c>
      <c r="K53" s="89">
        <f t="shared" si="7"/>
        <v>351</v>
      </c>
      <c r="L53" s="93">
        <f t="shared" si="8"/>
        <v>0.28850710900473936</v>
      </c>
      <c r="M53" s="86">
        <f t="shared" si="4"/>
        <v>125.33333333333333</v>
      </c>
      <c r="N53" s="186"/>
      <c r="O53" s="152"/>
      <c r="P53" s="152"/>
      <c r="Q53" s="2"/>
      <c r="R53" s="2"/>
      <c r="S53" s="2"/>
      <c r="T53" s="2"/>
      <c r="U53" s="2"/>
      <c r="V53" s="2"/>
      <c r="W53" s="2"/>
      <c r="X53" s="2"/>
      <c r="Y53" s="2"/>
      <c r="Z53" s="1"/>
      <c r="AA53" s="1"/>
      <c r="AB53" s="1"/>
      <c r="AC53" s="1"/>
      <c r="AD53" s="1"/>
      <c r="AE53" s="1"/>
      <c r="AF53" s="1"/>
      <c r="AG53" s="1"/>
      <c r="AH53" s="1"/>
      <c r="AI53" s="1"/>
      <c r="AJ53" s="1"/>
    </row>
    <row r="54" spans="1:36" ht="17.25" thickBot="1" x14ac:dyDescent="0.35">
      <c r="A54" s="147"/>
      <c r="B54" s="97">
        <v>43607</v>
      </c>
      <c r="C54" s="103">
        <v>30</v>
      </c>
      <c r="D54" s="150"/>
      <c r="E54" s="150"/>
      <c r="F54" s="100">
        <v>497</v>
      </c>
      <c r="G54" s="89">
        <f t="shared" si="5"/>
        <v>3479</v>
      </c>
      <c r="H54" s="100"/>
      <c r="I54" s="89">
        <f t="shared" si="6"/>
        <v>0</v>
      </c>
      <c r="J54" s="100">
        <v>21</v>
      </c>
      <c r="K54" s="89">
        <f t="shared" si="7"/>
        <v>283.5</v>
      </c>
      <c r="L54" s="93">
        <f t="shared" si="8"/>
        <v>0.29443127962085308</v>
      </c>
      <c r="M54" s="86">
        <f t="shared" si="4"/>
        <v>125.41666666666667</v>
      </c>
      <c r="N54" s="186"/>
      <c r="O54" s="152"/>
      <c r="P54" s="152"/>
      <c r="Q54" s="2"/>
      <c r="R54" s="2"/>
      <c r="S54" s="2"/>
      <c r="T54" s="2"/>
      <c r="U54" s="2"/>
      <c r="V54" s="2"/>
      <c r="W54" s="2"/>
      <c r="X54" s="2"/>
      <c r="Y54" s="2"/>
      <c r="Z54" s="1"/>
      <c r="AA54" s="1"/>
      <c r="AB54" s="1"/>
      <c r="AC54" s="1"/>
      <c r="AD54" s="1"/>
      <c r="AE54" s="1"/>
      <c r="AF54" s="1"/>
      <c r="AG54" s="1"/>
      <c r="AH54" s="1"/>
      <c r="AI54" s="1"/>
      <c r="AJ54" s="1"/>
    </row>
    <row r="55" spans="1:36" ht="17.25" thickBot="1" x14ac:dyDescent="0.35">
      <c r="A55" s="147"/>
      <c r="B55" s="97">
        <v>43608</v>
      </c>
      <c r="C55" s="103">
        <v>37.5</v>
      </c>
      <c r="D55" s="150"/>
      <c r="E55" s="150"/>
      <c r="F55" s="100">
        <v>666</v>
      </c>
      <c r="G55" s="89">
        <f t="shared" si="5"/>
        <v>4662</v>
      </c>
      <c r="H55" s="100"/>
      <c r="I55" s="89">
        <f t="shared" si="6"/>
        <v>0</v>
      </c>
      <c r="J55" s="100">
        <v>31</v>
      </c>
      <c r="K55" s="89">
        <f t="shared" si="7"/>
        <v>418.5</v>
      </c>
      <c r="L55" s="93">
        <f t="shared" si="8"/>
        <v>0.39454976303317535</v>
      </c>
      <c r="M55" s="86">
        <f t="shared" si="4"/>
        <v>135.47999999999999</v>
      </c>
      <c r="N55" s="186"/>
      <c r="O55" s="152"/>
      <c r="P55" s="152"/>
      <c r="Q55" s="2"/>
      <c r="R55" s="2"/>
      <c r="S55" s="2"/>
      <c r="T55" s="2"/>
      <c r="U55" s="2"/>
      <c r="V55" s="2"/>
      <c r="W55" s="2"/>
      <c r="X55" s="2"/>
      <c r="Y55" s="2"/>
      <c r="Z55" s="1"/>
      <c r="AA55" s="1"/>
      <c r="AB55" s="1"/>
      <c r="AC55" s="1"/>
      <c r="AD55" s="1"/>
      <c r="AE55" s="1"/>
      <c r="AF55" s="1"/>
      <c r="AG55" s="1"/>
      <c r="AH55" s="1"/>
      <c r="AI55" s="1"/>
      <c r="AJ55" s="1"/>
    </row>
    <row r="56" spans="1:36" ht="17.25" thickBot="1" x14ac:dyDescent="0.35">
      <c r="A56" s="147"/>
      <c r="B56" s="97">
        <v>43609</v>
      </c>
      <c r="C56" s="103">
        <v>40</v>
      </c>
      <c r="D56" s="150"/>
      <c r="E56" s="150"/>
      <c r="F56" s="100">
        <v>465</v>
      </c>
      <c r="G56" s="89">
        <f t="shared" si="5"/>
        <v>3255</v>
      </c>
      <c r="H56" s="100"/>
      <c r="I56" s="89">
        <f t="shared" si="6"/>
        <v>0</v>
      </c>
      <c r="J56" s="100">
        <v>99</v>
      </c>
      <c r="K56" s="89">
        <f t="shared" si="7"/>
        <v>1336.5</v>
      </c>
      <c r="L56" s="93">
        <f t="shared" si="8"/>
        <v>0.27547393364928913</v>
      </c>
      <c r="M56" s="86">
        <f t="shared" si="4"/>
        <v>114.78749999999999</v>
      </c>
      <c r="N56" s="186"/>
      <c r="O56" s="152"/>
      <c r="P56" s="152"/>
      <c r="Q56" s="2"/>
      <c r="R56" s="2"/>
      <c r="S56" s="2"/>
      <c r="T56" s="2"/>
      <c r="U56" s="2"/>
      <c r="V56" s="2"/>
      <c r="W56" s="2"/>
      <c r="X56" s="2"/>
      <c r="Y56" s="2"/>
      <c r="Z56" s="1"/>
      <c r="AA56" s="1"/>
      <c r="AB56" s="1"/>
      <c r="AC56" s="1"/>
      <c r="AD56" s="1"/>
      <c r="AE56" s="1"/>
      <c r="AF56" s="1"/>
      <c r="AG56" s="1"/>
      <c r="AH56" s="1"/>
      <c r="AI56" s="1"/>
      <c r="AJ56" s="1"/>
    </row>
    <row r="57" spans="1:36" ht="17.25" thickBot="1" x14ac:dyDescent="0.35">
      <c r="A57" s="147"/>
      <c r="B57" s="98">
        <v>43610</v>
      </c>
      <c r="C57" s="104">
        <v>21</v>
      </c>
      <c r="D57" s="151"/>
      <c r="E57" s="151"/>
      <c r="F57" s="101">
        <v>254</v>
      </c>
      <c r="G57" s="89">
        <f t="shared" si="5"/>
        <v>1778</v>
      </c>
      <c r="H57" s="101"/>
      <c r="I57" s="89">
        <f t="shared" si="6"/>
        <v>0</v>
      </c>
      <c r="J57" s="101">
        <v>65</v>
      </c>
      <c r="K57" s="89">
        <f t="shared" si="7"/>
        <v>877.5</v>
      </c>
      <c r="L57" s="93">
        <f t="shared" si="8"/>
        <v>0.1504739336492891</v>
      </c>
      <c r="M57" s="86">
        <f t="shared" si="4"/>
        <v>126.45238095238095</v>
      </c>
      <c r="N57" s="186"/>
      <c r="O57" s="152"/>
      <c r="P57" s="152"/>
      <c r="Q57" s="2"/>
      <c r="R57" s="2"/>
      <c r="S57" s="2"/>
      <c r="T57" s="2"/>
      <c r="U57" s="2"/>
      <c r="V57" s="2"/>
      <c r="W57" s="2"/>
      <c r="X57" s="2"/>
      <c r="Y57" s="2"/>
      <c r="Z57" s="1"/>
      <c r="AA57" s="1"/>
      <c r="AB57" s="1"/>
      <c r="AC57" s="1"/>
      <c r="AD57" s="1"/>
      <c r="AE57" s="1"/>
      <c r="AF57" s="1"/>
      <c r="AG57" s="1"/>
      <c r="AH57" s="1"/>
      <c r="AI57" s="1"/>
      <c r="AJ57" s="1"/>
    </row>
    <row r="58" spans="1:36" ht="17.25" thickBot="1" x14ac:dyDescent="0.35">
      <c r="A58" s="146">
        <v>22</v>
      </c>
      <c r="B58" s="105">
        <v>43612</v>
      </c>
      <c r="C58" s="102">
        <v>60</v>
      </c>
      <c r="D58" s="149">
        <f t="shared" ref="D58" si="35">SUM(G58:G63)+SUM(I58:I63)</f>
        <v>20951</v>
      </c>
      <c r="E58" s="149">
        <f t="shared" ref="E58" si="36">SUM(G58:G63,K58:K63,H58:H63)</f>
        <v>24663.5</v>
      </c>
      <c r="F58" s="99">
        <v>887</v>
      </c>
      <c r="G58" s="91">
        <f t="shared" si="5"/>
        <v>6209</v>
      </c>
      <c r="H58" s="99"/>
      <c r="I58" s="91">
        <f t="shared" si="6"/>
        <v>0</v>
      </c>
      <c r="J58" s="99">
        <v>82</v>
      </c>
      <c r="K58" s="91">
        <f t="shared" si="7"/>
        <v>1107</v>
      </c>
      <c r="L58" s="92">
        <f t="shared" si="8"/>
        <v>0.52547393364928907</v>
      </c>
      <c r="M58" s="84">
        <f t="shared" si="4"/>
        <v>121.93333333333334</v>
      </c>
      <c r="N58" s="186">
        <f>AVERAGE(M58:M63)</f>
        <v>99.985833333333332</v>
      </c>
      <c r="O58" s="152">
        <f t="shared" ref="O58" si="37">SUM(L58:L63)</f>
        <v>1.7731042654028435</v>
      </c>
      <c r="P58" s="152">
        <v>2.3139810426540288</v>
      </c>
      <c r="Q58" s="2"/>
      <c r="R58" s="2"/>
      <c r="S58" s="2"/>
      <c r="T58" s="2"/>
      <c r="U58" s="2"/>
      <c r="V58" s="2"/>
      <c r="W58" s="2"/>
      <c r="X58" s="2"/>
      <c r="Y58" s="2"/>
      <c r="Z58" s="1"/>
      <c r="AA58" s="1"/>
      <c r="AB58" s="1"/>
      <c r="AC58" s="1"/>
      <c r="AD58" s="1"/>
      <c r="AE58" s="1"/>
      <c r="AF58" s="1"/>
      <c r="AG58" s="1"/>
      <c r="AH58" s="1"/>
      <c r="AI58" s="1"/>
      <c r="AJ58" s="1"/>
    </row>
    <row r="59" spans="1:36" ht="17.25" thickBot="1" x14ac:dyDescent="0.35">
      <c r="A59" s="147"/>
      <c r="B59" s="97">
        <v>43613</v>
      </c>
      <c r="C59" s="103">
        <v>60</v>
      </c>
      <c r="D59" s="150"/>
      <c r="E59" s="150"/>
      <c r="F59" s="100">
        <v>889</v>
      </c>
      <c r="G59" s="89">
        <f t="shared" si="5"/>
        <v>6223</v>
      </c>
      <c r="H59" s="100"/>
      <c r="I59" s="89">
        <f t="shared" si="6"/>
        <v>0</v>
      </c>
      <c r="J59" s="100">
        <v>64</v>
      </c>
      <c r="K59" s="89">
        <f t="shared" si="7"/>
        <v>864</v>
      </c>
      <c r="L59" s="93">
        <f t="shared" si="8"/>
        <v>0.52665876777251186</v>
      </c>
      <c r="M59" s="86">
        <f t="shared" si="4"/>
        <v>118.11666666666666</v>
      </c>
      <c r="N59" s="186"/>
      <c r="O59" s="152"/>
      <c r="P59" s="152"/>
      <c r="Q59" s="2"/>
      <c r="R59" s="2"/>
      <c r="S59" s="2"/>
      <c r="T59" s="2"/>
      <c r="U59" s="2"/>
      <c r="V59" s="2"/>
      <c r="W59" s="2"/>
      <c r="X59" s="2"/>
      <c r="Y59" s="2"/>
      <c r="Z59" s="1"/>
      <c r="AA59" s="1"/>
      <c r="AB59" s="1"/>
      <c r="AC59" s="1"/>
      <c r="AD59" s="1"/>
      <c r="AE59" s="1"/>
      <c r="AF59" s="1"/>
      <c r="AG59" s="1"/>
      <c r="AH59" s="1"/>
      <c r="AI59" s="1"/>
      <c r="AJ59" s="1"/>
    </row>
    <row r="60" spans="1:36" ht="17.25" thickBot="1" x14ac:dyDescent="0.35">
      <c r="A60" s="147"/>
      <c r="B60" s="97">
        <v>43614</v>
      </c>
      <c r="C60" s="103">
        <v>25</v>
      </c>
      <c r="D60" s="150"/>
      <c r="E60" s="150"/>
      <c r="F60" s="100">
        <v>306</v>
      </c>
      <c r="G60" s="89">
        <f t="shared" si="5"/>
        <v>2142</v>
      </c>
      <c r="H60" s="100"/>
      <c r="I60" s="89">
        <f t="shared" si="6"/>
        <v>0</v>
      </c>
      <c r="J60" s="100">
        <v>39</v>
      </c>
      <c r="K60" s="89">
        <f t="shared" si="7"/>
        <v>526.5</v>
      </c>
      <c r="L60" s="93">
        <f t="shared" si="8"/>
        <v>0.18127962085308058</v>
      </c>
      <c r="M60" s="86">
        <f t="shared" si="4"/>
        <v>106.74</v>
      </c>
      <c r="N60" s="186"/>
      <c r="O60" s="152"/>
      <c r="P60" s="152"/>
      <c r="Q60" s="2"/>
      <c r="R60" s="2"/>
      <c r="S60" s="2"/>
      <c r="T60" s="2"/>
      <c r="U60" s="2"/>
      <c r="V60" s="2"/>
      <c r="W60" s="2"/>
      <c r="X60" s="2"/>
      <c r="Y60" s="2"/>
      <c r="Z60" s="1"/>
      <c r="AA60" s="1"/>
      <c r="AB60" s="1"/>
      <c r="AC60" s="1"/>
      <c r="AD60" s="1"/>
      <c r="AE60" s="1"/>
      <c r="AF60" s="1"/>
      <c r="AG60" s="1"/>
      <c r="AH60" s="1"/>
      <c r="AI60" s="1"/>
      <c r="AJ60" s="1"/>
    </row>
    <row r="61" spans="1:36" ht="17.25" thickBot="1" x14ac:dyDescent="0.35">
      <c r="A61" s="147"/>
      <c r="B61" s="97">
        <v>43615</v>
      </c>
      <c r="C61" s="103">
        <v>30</v>
      </c>
      <c r="D61" s="150"/>
      <c r="E61" s="150"/>
      <c r="F61" s="100">
        <v>333</v>
      </c>
      <c r="G61" s="89">
        <f t="shared" si="5"/>
        <v>2331</v>
      </c>
      <c r="H61" s="100"/>
      <c r="I61" s="89">
        <f t="shared" si="6"/>
        <v>0</v>
      </c>
      <c r="J61" s="100">
        <v>30</v>
      </c>
      <c r="K61" s="89">
        <f t="shared" si="7"/>
        <v>405</v>
      </c>
      <c r="L61" s="93">
        <f t="shared" si="8"/>
        <v>0.19727488151658767</v>
      </c>
      <c r="M61" s="86">
        <f t="shared" si="4"/>
        <v>91.2</v>
      </c>
      <c r="N61" s="186"/>
      <c r="O61" s="152"/>
      <c r="P61" s="152"/>
      <c r="Q61" s="2"/>
      <c r="R61" s="2"/>
      <c r="S61" s="2"/>
      <c r="T61" s="2"/>
      <c r="U61" s="2"/>
      <c r="V61" s="2"/>
      <c r="W61" s="2"/>
      <c r="X61" s="2"/>
      <c r="Y61" s="2"/>
      <c r="Z61" s="1"/>
      <c r="AA61" s="1"/>
      <c r="AB61" s="1"/>
      <c r="AC61" s="1"/>
      <c r="AD61" s="1"/>
      <c r="AE61" s="1"/>
      <c r="AF61" s="1"/>
      <c r="AG61" s="1"/>
      <c r="AH61" s="1"/>
      <c r="AI61" s="1"/>
      <c r="AJ61" s="1"/>
    </row>
    <row r="62" spans="1:36" ht="17.25" thickBot="1" x14ac:dyDescent="0.35">
      <c r="A62" s="147"/>
      <c r="B62" s="97">
        <v>43616</v>
      </c>
      <c r="C62" s="103">
        <v>40</v>
      </c>
      <c r="D62" s="150"/>
      <c r="E62" s="150"/>
      <c r="F62" s="100">
        <v>385</v>
      </c>
      <c r="G62" s="89">
        <f t="shared" si="5"/>
        <v>2695</v>
      </c>
      <c r="H62" s="100"/>
      <c r="I62" s="89">
        <f t="shared" si="6"/>
        <v>0</v>
      </c>
      <c r="J62" s="100">
        <v>40</v>
      </c>
      <c r="K62" s="89">
        <f t="shared" si="7"/>
        <v>540</v>
      </c>
      <c r="L62" s="93">
        <f t="shared" si="8"/>
        <v>0.22808056872037916</v>
      </c>
      <c r="M62" s="86">
        <f t="shared" si="4"/>
        <v>80.875</v>
      </c>
      <c r="N62" s="186"/>
      <c r="O62" s="152"/>
      <c r="P62" s="152"/>
      <c r="Q62" s="2"/>
      <c r="R62" s="2"/>
      <c r="S62" s="2"/>
      <c r="T62" s="2"/>
      <c r="U62" s="2"/>
      <c r="V62" s="2"/>
      <c r="W62" s="2"/>
      <c r="X62" s="2"/>
      <c r="Y62" s="2"/>
      <c r="Z62" s="1"/>
      <c r="AA62" s="1"/>
      <c r="AB62" s="1"/>
      <c r="AC62" s="1"/>
      <c r="AD62" s="1"/>
      <c r="AE62" s="1"/>
      <c r="AF62" s="1"/>
      <c r="AG62" s="1"/>
      <c r="AH62" s="1"/>
      <c r="AI62" s="1"/>
      <c r="AJ62" s="1"/>
    </row>
    <row r="63" spans="1:36" ht="17.25" thickBot="1" x14ac:dyDescent="0.35">
      <c r="A63" s="148"/>
      <c r="B63" s="98">
        <v>43617</v>
      </c>
      <c r="C63" s="104">
        <v>20</v>
      </c>
      <c r="D63" s="151"/>
      <c r="E63" s="151"/>
      <c r="F63" s="101">
        <v>193</v>
      </c>
      <c r="G63" s="90">
        <f t="shared" si="5"/>
        <v>1351</v>
      </c>
      <c r="H63" s="101"/>
      <c r="I63" s="90">
        <f t="shared" si="6"/>
        <v>0</v>
      </c>
      <c r="J63" s="101">
        <v>20</v>
      </c>
      <c r="K63" s="90">
        <f t="shared" si="7"/>
        <v>270</v>
      </c>
      <c r="L63" s="94">
        <f t="shared" si="8"/>
        <v>0.11433649289099526</v>
      </c>
      <c r="M63" s="88">
        <f t="shared" si="4"/>
        <v>81.05</v>
      </c>
      <c r="N63" s="186"/>
      <c r="O63" s="152"/>
      <c r="P63" s="152"/>
      <c r="Q63" s="2"/>
      <c r="R63" s="2"/>
      <c r="S63" s="2"/>
      <c r="T63" s="2"/>
      <c r="U63" s="2"/>
      <c r="V63" s="2"/>
      <c r="W63" s="2"/>
      <c r="X63" s="2"/>
      <c r="Y63" s="2"/>
      <c r="Z63" s="1"/>
      <c r="AA63" s="1"/>
      <c r="AB63" s="1"/>
      <c r="AC63" s="1"/>
      <c r="AD63" s="1"/>
      <c r="AE63" s="1"/>
      <c r="AF63" s="1"/>
      <c r="AG63" s="1"/>
      <c r="AH63" s="1"/>
      <c r="AI63" s="1"/>
      <c r="AJ63" s="1"/>
    </row>
    <row r="64" spans="1:36" ht="17.25" thickBot="1" x14ac:dyDescent="0.35">
      <c r="A64" s="147">
        <v>23</v>
      </c>
      <c r="B64" s="105">
        <v>43619</v>
      </c>
      <c r="C64" s="102">
        <v>61.5</v>
      </c>
      <c r="D64" s="149">
        <f t="shared" ref="D64" si="38">SUM(G64:G69)+SUM(I64:I69)</f>
        <v>16702</v>
      </c>
      <c r="E64" s="149">
        <f t="shared" ref="E64" si="39">SUM(G64:G69,K64:K69,H64:H69)</f>
        <v>21305.5</v>
      </c>
      <c r="F64" s="99">
        <v>702</v>
      </c>
      <c r="G64" s="89">
        <f t="shared" si="5"/>
        <v>4914</v>
      </c>
      <c r="H64" s="99"/>
      <c r="I64" s="89">
        <f t="shared" si="6"/>
        <v>0</v>
      </c>
      <c r="J64" s="99">
        <v>113</v>
      </c>
      <c r="K64" s="89">
        <f t="shared" si="7"/>
        <v>1525.5</v>
      </c>
      <c r="L64" s="93">
        <f t="shared" si="8"/>
        <v>0.41587677725118483</v>
      </c>
      <c r="M64" s="86">
        <f t="shared" si="4"/>
        <v>104.70731707317073</v>
      </c>
      <c r="N64" s="186">
        <f t="shared" ref="N64" si="40">AVERAGE(M64:M69)</f>
        <v>107.1493986403877</v>
      </c>
      <c r="O64" s="152">
        <f t="shared" ref="O64" si="41">SUM(L64:L69)</f>
        <v>1.4135071090047393</v>
      </c>
      <c r="P64" s="152">
        <v>1.7736966824644551</v>
      </c>
      <c r="Q64" s="2"/>
      <c r="R64" s="2"/>
      <c r="S64" s="2"/>
      <c r="T64" s="2"/>
      <c r="U64" s="2"/>
      <c r="V64" s="2"/>
      <c r="W64" s="2"/>
      <c r="X64" s="2"/>
      <c r="Y64" s="2"/>
      <c r="Z64" s="1"/>
      <c r="AA64" s="1"/>
      <c r="AB64" s="1"/>
      <c r="AC64" s="1"/>
      <c r="AD64" s="1"/>
      <c r="AE64" s="1"/>
      <c r="AF64" s="1"/>
      <c r="AG64" s="1"/>
      <c r="AH64" s="1"/>
      <c r="AI64" s="1"/>
      <c r="AJ64" s="1"/>
    </row>
    <row r="65" spans="1:36" ht="17.25" thickBot="1" x14ac:dyDescent="0.35">
      <c r="A65" s="147"/>
      <c r="B65" s="97">
        <v>43620</v>
      </c>
      <c r="C65" s="103">
        <v>15</v>
      </c>
      <c r="D65" s="150"/>
      <c r="E65" s="150"/>
      <c r="F65" s="100">
        <v>225</v>
      </c>
      <c r="G65" s="89">
        <f t="shared" si="5"/>
        <v>1575</v>
      </c>
      <c r="H65" s="100"/>
      <c r="I65" s="89">
        <f t="shared" si="6"/>
        <v>0</v>
      </c>
      <c r="J65" s="100">
        <v>16</v>
      </c>
      <c r="K65" s="89">
        <f t="shared" si="7"/>
        <v>216</v>
      </c>
      <c r="L65" s="93">
        <f t="shared" si="8"/>
        <v>0.13329383886255924</v>
      </c>
      <c r="M65" s="86">
        <f t="shared" si="4"/>
        <v>119.4</v>
      </c>
      <c r="N65" s="186"/>
      <c r="O65" s="152"/>
      <c r="P65" s="152"/>
      <c r="Q65" s="2"/>
      <c r="R65" s="2"/>
      <c r="S65" s="2"/>
      <c r="T65" s="2"/>
      <c r="U65" s="2"/>
      <c r="V65" s="2"/>
      <c r="W65" s="2"/>
      <c r="X65" s="2"/>
      <c r="Y65" s="2"/>
      <c r="Z65" s="1"/>
      <c r="AA65" s="1"/>
      <c r="AB65" s="1"/>
      <c r="AC65" s="1"/>
      <c r="AD65" s="1"/>
      <c r="AE65" s="1"/>
      <c r="AF65" s="1"/>
      <c r="AG65" s="1"/>
      <c r="AH65" s="1"/>
      <c r="AI65" s="1"/>
      <c r="AJ65" s="1"/>
    </row>
    <row r="66" spans="1:36" ht="17.25" thickBot="1" x14ac:dyDescent="0.35">
      <c r="A66" s="147"/>
      <c r="B66" s="97">
        <v>43621</v>
      </c>
      <c r="C66" s="103">
        <v>27.25</v>
      </c>
      <c r="D66" s="150"/>
      <c r="E66" s="150"/>
      <c r="F66" s="100">
        <v>373</v>
      </c>
      <c r="G66" s="89">
        <f t="shared" si="5"/>
        <v>2611</v>
      </c>
      <c r="H66" s="100"/>
      <c r="I66" s="89">
        <f t="shared" si="6"/>
        <v>0</v>
      </c>
      <c r="J66" s="100">
        <v>46</v>
      </c>
      <c r="K66" s="89">
        <f t="shared" si="7"/>
        <v>621</v>
      </c>
      <c r="L66" s="93">
        <f t="shared" si="8"/>
        <v>0.22097156398104265</v>
      </c>
      <c r="M66" s="86">
        <f t="shared" si="4"/>
        <v>118.60550458715596</v>
      </c>
      <c r="N66" s="186"/>
      <c r="O66" s="152"/>
      <c r="P66" s="152"/>
      <c r="Q66" s="2"/>
      <c r="R66" s="2"/>
      <c r="S66" s="2"/>
      <c r="T66" s="2"/>
      <c r="U66" s="2"/>
      <c r="V66" s="2"/>
      <c r="W66" s="2"/>
      <c r="X66" s="2"/>
      <c r="Y66" s="2"/>
      <c r="Z66" s="1"/>
      <c r="AA66" s="1"/>
      <c r="AB66" s="1"/>
      <c r="AC66" s="1"/>
      <c r="AD66" s="1"/>
      <c r="AE66" s="1"/>
      <c r="AF66" s="1"/>
      <c r="AG66" s="1"/>
      <c r="AH66" s="1"/>
      <c r="AI66" s="1"/>
      <c r="AJ66" s="1"/>
    </row>
    <row r="67" spans="1:36" ht="17.25" thickBot="1" x14ac:dyDescent="0.35">
      <c r="A67" s="147"/>
      <c r="B67" s="97">
        <v>43622</v>
      </c>
      <c r="C67" s="103">
        <v>35</v>
      </c>
      <c r="D67" s="150"/>
      <c r="E67" s="150"/>
      <c r="F67" s="100">
        <v>382</v>
      </c>
      <c r="G67" s="89">
        <f t="shared" si="5"/>
        <v>2674</v>
      </c>
      <c r="H67" s="100"/>
      <c r="I67" s="89">
        <f t="shared" si="6"/>
        <v>0</v>
      </c>
      <c r="J67" s="100">
        <v>76</v>
      </c>
      <c r="K67" s="89">
        <f t="shared" si="7"/>
        <v>1026</v>
      </c>
      <c r="L67" s="93">
        <f t="shared" si="8"/>
        <v>0.22630331753554503</v>
      </c>
      <c r="M67" s="86">
        <f t="shared" si="4"/>
        <v>105.71428571428571</v>
      </c>
      <c r="N67" s="186"/>
      <c r="O67" s="152"/>
      <c r="P67" s="152"/>
      <c r="Q67" s="2"/>
      <c r="R67" s="2"/>
      <c r="S67" s="2"/>
      <c r="T67" s="2"/>
      <c r="U67" s="2"/>
      <c r="V67" s="2"/>
      <c r="W67" s="2"/>
      <c r="X67" s="2"/>
      <c r="Y67" s="2"/>
      <c r="Z67" s="1"/>
      <c r="AA67" s="1"/>
      <c r="AB67" s="1"/>
      <c r="AC67" s="1"/>
      <c r="AD67" s="1"/>
      <c r="AE67" s="1"/>
      <c r="AF67" s="1"/>
      <c r="AG67" s="1"/>
      <c r="AH67" s="1"/>
      <c r="AI67" s="1"/>
      <c r="AJ67" s="1"/>
    </row>
    <row r="68" spans="1:36" ht="17.25" thickBot="1" x14ac:dyDescent="0.35">
      <c r="A68" s="147"/>
      <c r="B68" s="97">
        <v>43623</v>
      </c>
      <c r="C68" s="103">
        <v>47.75</v>
      </c>
      <c r="D68" s="150"/>
      <c r="E68" s="150"/>
      <c r="F68" s="100">
        <v>535</v>
      </c>
      <c r="G68" s="89">
        <f t="shared" si="5"/>
        <v>3745</v>
      </c>
      <c r="H68" s="100"/>
      <c r="I68" s="89">
        <f t="shared" si="6"/>
        <v>0</v>
      </c>
      <c r="J68" s="100">
        <v>71</v>
      </c>
      <c r="K68" s="89">
        <f t="shared" si="7"/>
        <v>958.5</v>
      </c>
      <c r="L68" s="93">
        <f t="shared" si="8"/>
        <v>0.31694312796208529</v>
      </c>
      <c r="M68" s="86">
        <f t="shared" si="4"/>
        <v>98.502617801047123</v>
      </c>
      <c r="N68" s="186"/>
      <c r="O68" s="152"/>
      <c r="P68" s="152"/>
      <c r="Q68" s="2"/>
      <c r="R68" s="2"/>
      <c r="S68" s="2"/>
      <c r="T68" s="2"/>
      <c r="U68" s="2"/>
      <c r="V68" s="2"/>
      <c r="W68" s="2"/>
      <c r="X68" s="2"/>
      <c r="Y68" s="2"/>
      <c r="Z68" s="1"/>
      <c r="AA68" s="1"/>
      <c r="AB68" s="1"/>
      <c r="AC68" s="1"/>
      <c r="AD68" s="1"/>
      <c r="AE68" s="1"/>
      <c r="AF68" s="1"/>
      <c r="AG68" s="1"/>
      <c r="AH68" s="1"/>
      <c r="AI68" s="1"/>
      <c r="AJ68" s="1"/>
    </row>
    <row r="69" spans="1:36" ht="17.25" thickBot="1" x14ac:dyDescent="0.35">
      <c r="A69" s="148"/>
      <c r="B69" s="98">
        <v>43624</v>
      </c>
      <c r="C69" s="104">
        <v>15</v>
      </c>
      <c r="D69" s="151"/>
      <c r="E69" s="151"/>
      <c r="F69" s="101">
        <v>169</v>
      </c>
      <c r="G69" s="90">
        <f t="shared" si="5"/>
        <v>1183</v>
      </c>
      <c r="H69" s="101"/>
      <c r="I69" s="90">
        <f t="shared" si="6"/>
        <v>0</v>
      </c>
      <c r="J69" s="101">
        <v>19</v>
      </c>
      <c r="K69" s="90">
        <f t="shared" si="7"/>
        <v>256.5</v>
      </c>
      <c r="L69" s="94">
        <f t="shared" si="8"/>
        <v>0.10011848341232228</v>
      </c>
      <c r="M69" s="88">
        <f t="shared" ref="M69:M132" si="42">IF(C69=0,"",(G69+K69+I69)/C69)</f>
        <v>95.966666666666669</v>
      </c>
      <c r="N69" s="186"/>
      <c r="O69" s="152"/>
      <c r="P69" s="152"/>
      <c r="Q69" s="2"/>
      <c r="R69" s="2"/>
      <c r="S69" s="2"/>
      <c r="T69" s="2"/>
      <c r="U69" s="2"/>
      <c r="V69" s="2"/>
      <c r="W69" s="2"/>
      <c r="X69" s="2"/>
      <c r="Y69" s="2"/>
      <c r="Z69" s="1"/>
      <c r="AA69" s="1"/>
      <c r="AB69" s="1"/>
      <c r="AC69" s="1"/>
      <c r="AD69" s="1"/>
      <c r="AE69" s="1"/>
      <c r="AF69" s="1"/>
      <c r="AG69" s="1"/>
      <c r="AH69" s="1"/>
      <c r="AI69" s="1"/>
      <c r="AJ69" s="1"/>
    </row>
    <row r="70" spans="1:36" ht="17.25" thickBot="1" x14ac:dyDescent="0.35">
      <c r="A70" s="147">
        <v>24</v>
      </c>
      <c r="B70" s="105">
        <v>43626</v>
      </c>
      <c r="C70" s="102">
        <v>40</v>
      </c>
      <c r="D70" s="149">
        <f t="shared" ref="D70" si="43">SUM(G70:G75)+SUM(I70:I75)</f>
        <v>13482</v>
      </c>
      <c r="E70" s="149">
        <f t="shared" ref="E70" si="44">SUM(G70:G75,K70:K75,H70:H75)</f>
        <v>16303.5</v>
      </c>
      <c r="F70" s="99">
        <v>477</v>
      </c>
      <c r="G70" s="89">
        <f t="shared" si="5"/>
        <v>3339</v>
      </c>
      <c r="H70" s="99"/>
      <c r="I70" s="89">
        <f t="shared" si="6"/>
        <v>0</v>
      </c>
      <c r="J70" s="99">
        <v>60</v>
      </c>
      <c r="K70" s="89">
        <f t="shared" si="7"/>
        <v>810</v>
      </c>
      <c r="L70" s="93">
        <f t="shared" si="8"/>
        <v>0.28258293838862558</v>
      </c>
      <c r="M70" s="86">
        <f t="shared" si="42"/>
        <v>103.72499999999999</v>
      </c>
      <c r="N70" s="186">
        <f t="shared" ref="N70" si="45">AVERAGE(M70:M75)</f>
        <v>106.20323293172692</v>
      </c>
      <c r="O70" s="152">
        <f t="shared" ref="O70" si="46">SUM(L70:L75)</f>
        <v>1.140995260663507</v>
      </c>
      <c r="P70" s="152">
        <v>0.27725118483412325</v>
      </c>
      <c r="Q70" s="2"/>
      <c r="R70" s="2"/>
      <c r="S70" s="2"/>
      <c r="T70" s="2"/>
      <c r="U70" s="2"/>
      <c r="V70" s="2"/>
      <c r="W70" s="2"/>
      <c r="X70" s="2"/>
      <c r="Y70" s="2"/>
      <c r="Z70" s="1"/>
      <c r="AA70" s="1"/>
      <c r="AB70" s="1"/>
      <c r="AC70" s="1"/>
      <c r="AD70" s="1"/>
      <c r="AE70" s="1"/>
      <c r="AF70" s="1"/>
      <c r="AG70" s="1"/>
      <c r="AH70" s="1"/>
      <c r="AI70" s="1"/>
      <c r="AJ70" s="1"/>
    </row>
    <row r="71" spans="1:36" ht="17.25" thickBot="1" x14ac:dyDescent="0.35">
      <c r="A71" s="147"/>
      <c r="B71" s="97">
        <v>43627</v>
      </c>
      <c r="C71" s="103">
        <v>20</v>
      </c>
      <c r="D71" s="150"/>
      <c r="E71" s="150"/>
      <c r="F71" s="100">
        <v>255</v>
      </c>
      <c r="G71" s="89">
        <f t="shared" si="5"/>
        <v>1785</v>
      </c>
      <c r="H71" s="100"/>
      <c r="I71" s="89">
        <f t="shared" si="6"/>
        <v>0</v>
      </c>
      <c r="J71" s="100">
        <v>30</v>
      </c>
      <c r="K71" s="89">
        <f t="shared" si="7"/>
        <v>405</v>
      </c>
      <c r="L71" s="93">
        <f t="shared" si="8"/>
        <v>0.15106635071090047</v>
      </c>
      <c r="M71" s="86">
        <f t="shared" si="42"/>
        <v>109.5</v>
      </c>
      <c r="N71" s="186"/>
      <c r="O71" s="152"/>
      <c r="P71" s="152"/>
      <c r="Q71" s="2"/>
      <c r="R71" s="2"/>
      <c r="S71" s="2"/>
      <c r="T71" s="2"/>
      <c r="U71" s="2"/>
      <c r="V71" s="2"/>
      <c r="W71" s="2"/>
      <c r="X71" s="2"/>
      <c r="Y71" s="2"/>
      <c r="Z71" s="1"/>
      <c r="AA71" s="1"/>
      <c r="AB71" s="1"/>
      <c r="AC71" s="1"/>
      <c r="AD71" s="1"/>
      <c r="AE71" s="1"/>
      <c r="AF71" s="1"/>
      <c r="AG71" s="1"/>
      <c r="AH71" s="1"/>
      <c r="AI71" s="1"/>
      <c r="AJ71" s="1"/>
    </row>
    <row r="72" spans="1:36" ht="17.25" thickBot="1" x14ac:dyDescent="0.35">
      <c r="A72" s="147"/>
      <c r="B72" s="97">
        <v>43628</v>
      </c>
      <c r="C72" s="103">
        <v>27</v>
      </c>
      <c r="D72" s="150"/>
      <c r="E72" s="150"/>
      <c r="F72" s="100">
        <v>390</v>
      </c>
      <c r="G72" s="89">
        <f t="shared" si="5"/>
        <v>2730</v>
      </c>
      <c r="H72" s="100"/>
      <c r="I72" s="89">
        <f t="shared" si="6"/>
        <v>0</v>
      </c>
      <c r="J72" s="100">
        <v>32</v>
      </c>
      <c r="K72" s="89">
        <f t="shared" si="7"/>
        <v>432</v>
      </c>
      <c r="L72" s="93">
        <f t="shared" si="8"/>
        <v>0.23104265402843602</v>
      </c>
      <c r="M72" s="86">
        <f t="shared" si="42"/>
        <v>117.11111111111111</v>
      </c>
      <c r="N72" s="186"/>
      <c r="O72" s="152"/>
      <c r="P72" s="152"/>
      <c r="Q72" s="2"/>
      <c r="R72" s="2"/>
      <c r="S72" s="2"/>
      <c r="T72" s="2"/>
      <c r="U72" s="2"/>
      <c r="V72" s="2"/>
      <c r="W72" s="2"/>
      <c r="X72" s="2"/>
      <c r="Y72" s="2"/>
      <c r="Z72" s="1"/>
      <c r="AA72" s="1"/>
      <c r="AB72" s="1"/>
      <c r="AC72" s="1"/>
      <c r="AD72" s="1"/>
      <c r="AE72" s="1"/>
      <c r="AF72" s="1"/>
      <c r="AG72" s="1"/>
      <c r="AH72" s="1"/>
      <c r="AI72" s="1"/>
      <c r="AJ72" s="1"/>
    </row>
    <row r="73" spans="1:36" ht="17.25" thickBot="1" x14ac:dyDescent="0.35">
      <c r="A73" s="147"/>
      <c r="B73" s="97">
        <v>43629</v>
      </c>
      <c r="C73" s="103">
        <v>27</v>
      </c>
      <c r="D73" s="150"/>
      <c r="E73" s="150"/>
      <c r="F73" s="100">
        <v>321</v>
      </c>
      <c r="G73" s="89">
        <f t="shared" si="5"/>
        <v>2247</v>
      </c>
      <c r="H73" s="100"/>
      <c r="I73" s="89">
        <f t="shared" si="6"/>
        <v>0</v>
      </c>
      <c r="J73" s="100">
        <v>44</v>
      </c>
      <c r="K73" s="89">
        <f t="shared" si="7"/>
        <v>594</v>
      </c>
      <c r="L73" s="93">
        <f t="shared" si="8"/>
        <v>0.19016587677725119</v>
      </c>
      <c r="M73" s="86">
        <f t="shared" si="42"/>
        <v>105.22222222222223</v>
      </c>
      <c r="N73" s="186"/>
      <c r="O73" s="152"/>
      <c r="P73" s="152"/>
      <c r="Q73" s="2"/>
      <c r="R73" s="2"/>
      <c r="S73" s="2"/>
      <c r="T73" s="2"/>
      <c r="U73" s="2"/>
      <c r="V73" s="2"/>
      <c r="W73" s="2"/>
      <c r="X73" s="2"/>
      <c r="Y73" s="2"/>
      <c r="Z73" s="1"/>
      <c r="AA73" s="1"/>
      <c r="AB73" s="1"/>
      <c r="AC73" s="1"/>
      <c r="AD73" s="1"/>
      <c r="AE73" s="1"/>
      <c r="AF73" s="1"/>
      <c r="AG73" s="1"/>
      <c r="AH73" s="1"/>
      <c r="AI73" s="1"/>
      <c r="AJ73" s="1"/>
    </row>
    <row r="74" spans="1:36" ht="17.25" thickBot="1" x14ac:dyDescent="0.35">
      <c r="A74" s="147"/>
      <c r="B74" s="97">
        <v>43630</v>
      </c>
      <c r="C74" s="103">
        <v>41.5</v>
      </c>
      <c r="D74" s="150"/>
      <c r="E74" s="150"/>
      <c r="F74" s="100">
        <v>483</v>
      </c>
      <c r="G74" s="89">
        <f t="shared" si="5"/>
        <v>3381</v>
      </c>
      <c r="H74" s="100"/>
      <c r="I74" s="89">
        <f t="shared" si="6"/>
        <v>0</v>
      </c>
      <c r="J74" s="100">
        <v>43</v>
      </c>
      <c r="K74" s="89">
        <f t="shared" si="7"/>
        <v>580.5</v>
      </c>
      <c r="L74" s="93">
        <f t="shared" si="8"/>
        <v>0.28613744075829384</v>
      </c>
      <c r="M74" s="86">
        <f t="shared" si="42"/>
        <v>95.4578313253012</v>
      </c>
      <c r="N74" s="186"/>
      <c r="O74" s="152"/>
      <c r="P74" s="152"/>
      <c r="Q74" s="2"/>
      <c r="R74" s="2"/>
      <c r="S74" s="2"/>
      <c r="T74" s="2"/>
      <c r="U74" s="2"/>
      <c r="V74" s="2"/>
      <c r="W74" s="2"/>
      <c r="X74" s="2"/>
      <c r="Y74" s="2"/>
      <c r="Z74" s="1"/>
      <c r="AA74" s="1"/>
      <c r="AB74" s="1"/>
      <c r="AC74" s="1"/>
      <c r="AD74" s="1"/>
      <c r="AE74" s="1"/>
      <c r="AF74" s="1"/>
      <c r="AG74" s="1"/>
      <c r="AH74" s="1"/>
      <c r="AI74" s="1"/>
      <c r="AJ74" s="1"/>
    </row>
    <row r="75" spans="1:36" ht="17.25" thickBot="1" x14ac:dyDescent="0.35">
      <c r="A75" s="147"/>
      <c r="B75" s="98"/>
      <c r="C75" s="104"/>
      <c r="D75" s="151"/>
      <c r="E75" s="151"/>
      <c r="F75" s="101"/>
      <c r="G75" s="89">
        <f t="shared" ref="G75:G138" si="47">F75*F$3</f>
        <v>0</v>
      </c>
      <c r="H75" s="101"/>
      <c r="I75" s="89">
        <f t="shared" ref="I75:I138" si="48">H75*H$3</f>
        <v>0</v>
      </c>
      <c r="J75" s="101"/>
      <c r="K75" s="89">
        <f t="shared" ref="K75:K138" si="49">J75*J$3</f>
        <v>0</v>
      </c>
      <c r="L75" s="93">
        <f t="shared" ref="L75:L138" si="50">(G75+I75)/F$1</f>
        <v>0</v>
      </c>
      <c r="M75" s="86" t="str">
        <f t="shared" si="42"/>
        <v/>
      </c>
      <c r="N75" s="186"/>
      <c r="O75" s="152"/>
      <c r="P75" s="152"/>
      <c r="Q75" s="2"/>
      <c r="R75" s="2"/>
      <c r="S75" s="2"/>
      <c r="T75" s="2"/>
      <c r="U75" s="2"/>
      <c r="V75" s="2"/>
      <c r="W75" s="2"/>
      <c r="X75" s="2"/>
      <c r="Y75" s="2"/>
      <c r="Z75" s="1"/>
      <c r="AA75" s="1"/>
      <c r="AB75" s="1"/>
      <c r="AC75" s="1"/>
      <c r="AD75" s="1"/>
      <c r="AE75" s="1"/>
      <c r="AF75" s="1"/>
      <c r="AG75" s="1"/>
      <c r="AH75" s="1"/>
      <c r="AI75" s="1"/>
      <c r="AJ75" s="1"/>
    </row>
    <row r="76" spans="1:36" ht="17.25" thickBot="1" x14ac:dyDescent="0.35">
      <c r="A76" s="146">
        <v>25</v>
      </c>
      <c r="B76" s="105">
        <v>43633</v>
      </c>
      <c r="C76" s="102">
        <v>27</v>
      </c>
      <c r="D76" s="149">
        <f t="shared" ref="D76" si="51">SUM(G76:G81)+SUM(I76:I81)</f>
        <v>14560</v>
      </c>
      <c r="E76" s="149">
        <f t="shared" ref="E76" si="52">SUM(G76:G81,K76:K81,H76:H81)</f>
        <v>16153</v>
      </c>
      <c r="F76" s="99">
        <v>380</v>
      </c>
      <c r="G76" s="91">
        <f t="shared" si="47"/>
        <v>2660</v>
      </c>
      <c r="H76" s="99"/>
      <c r="I76" s="91">
        <f t="shared" si="48"/>
        <v>0</v>
      </c>
      <c r="J76" s="99">
        <v>22</v>
      </c>
      <c r="K76" s="91">
        <f t="shared" si="49"/>
        <v>297</v>
      </c>
      <c r="L76" s="92">
        <f t="shared" si="50"/>
        <v>0.22511848341232227</v>
      </c>
      <c r="M76" s="84">
        <f t="shared" si="42"/>
        <v>109.51851851851852</v>
      </c>
      <c r="N76" s="186">
        <f>AVERAGE(M76:M81)</f>
        <v>118.83945664124235</v>
      </c>
      <c r="O76" s="152">
        <f t="shared" ref="O76" si="53">SUM(L76:L81)</f>
        <v>1.2322274881516588</v>
      </c>
      <c r="P76" s="152">
        <v>0.78732227488151663</v>
      </c>
      <c r="Q76" s="2"/>
      <c r="R76" s="2"/>
      <c r="S76" s="2"/>
      <c r="T76" s="2"/>
      <c r="U76" s="2"/>
      <c r="V76" s="2"/>
      <c r="W76" s="2"/>
      <c r="X76" s="2"/>
      <c r="Y76" s="2"/>
      <c r="Z76" s="1"/>
      <c r="AA76" s="1"/>
      <c r="AB76" s="1"/>
      <c r="AC76" s="1"/>
      <c r="AD76" s="1"/>
      <c r="AE76" s="1"/>
      <c r="AF76" s="1"/>
      <c r="AG76" s="1"/>
      <c r="AH76" s="1"/>
      <c r="AI76" s="1"/>
      <c r="AJ76" s="1"/>
    </row>
    <row r="77" spans="1:36" ht="17.25" thickBot="1" x14ac:dyDescent="0.35">
      <c r="A77" s="147"/>
      <c r="B77" s="97">
        <v>43634</v>
      </c>
      <c r="C77" s="103">
        <v>24.5</v>
      </c>
      <c r="D77" s="150"/>
      <c r="E77" s="150"/>
      <c r="F77" s="100">
        <v>396</v>
      </c>
      <c r="G77" s="89">
        <f t="shared" si="47"/>
        <v>2772</v>
      </c>
      <c r="H77" s="100"/>
      <c r="I77" s="89">
        <f t="shared" si="48"/>
        <v>0</v>
      </c>
      <c r="J77" s="100">
        <v>17</v>
      </c>
      <c r="K77" s="89">
        <f t="shared" si="49"/>
        <v>229.5</v>
      </c>
      <c r="L77" s="93">
        <f t="shared" si="50"/>
        <v>0.23459715639810427</v>
      </c>
      <c r="M77" s="86">
        <f t="shared" si="42"/>
        <v>122.51020408163265</v>
      </c>
      <c r="N77" s="186"/>
      <c r="O77" s="152"/>
      <c r="P77" s="152"/>
      <c r="Q77" s="2"/>
      <c r="R77" s="2"/>
      <c r="S77" s="2"/>
      <c r="T77" s="2"/>
      <c r="U77" s="2"/>
      <c r="V77" s="2"/>
      <c r="W77" s="2"/>
      <c r="X77" s="2"/>
      <c r="Y77" s="2"/>
      <c r="Z77" s="1"/>
      <c r="AA77" s="1"/>
      <c r="AB77" s="1"/>
      <c r="AC77" s="1"/>
      <c r="AD77" s="1"/>
      <c r="AE77" s="1"/>
      <c r="AF77" s="1"/>
      <c r="AG77" s="1"/>
      <c r="AH77" s="1"/>
      <c r="AI77" s="1"/>
      <c r="AJ77" s="1"/>
    </row>
    <row r="78" spans="1:36" ht="17.25" thickBot="1" x14ac:dyDescent="0.35">
      <c r="A78" s="147"/>
      <c r="B78" s="97">
        <v>43635</v>
      </c>
      <c r="C78" s="103">
        <v>18</v>
      </c>
      <c r="D78" s="150"/>
      <c r="E78" s="150"/>
      <c r="F78" s="100">
        <v>318</v>
      </c>
      <c r="G78" s="89">
        <f t="shared" si="47"/>
        <v>2226</v>
      </c>
      <c r="H78" s="100"/>
      <c r="I78" s="89">
        <f t="shared" si="48"/>
        <v>0</v>
      </c>
      <c r="J78" s="100">
        <v>20</v>
      </c>
      <c r="K78" s="89">
        <f t="shared" si="49"/>
        <v>270</v>
      </c>
      <c r="L78" s="93">
        <f t="shared" si="50"/>
        <v>0.18838862559241706</v>
      </c>
      <c r="M78" s="86">
        <f t="shared" si="42"/>
        <v>138.66666666666666</v>
      </c>
      <c r="N78" s="186"/>
      <c r="O78" s="152"/>
      <c r="P78" s="152"/>
      <c r="Q78" s="2"/>
      <c r="R78" s="2"/>
      <c r="S78" s="2"/>
      <c r="T78" s="2"/>
      <c r="U78" s="2"/>
      <c r="V78" s="2"/>
      <c r="W78" s="2"/>
      <c r="X78" s="2"/>
      <c r="Y78" s="2"/>
      <c r="Z78" s="1"/>
      <c r="AA78" s="1"/>
      <c r="AB78" s="1"/>
      <c r="AC78" s="1"/>
      <c r="AD78" s="1"/>
      <c r="AE78" s="1"/>
      <c r="AF78" s="1"/>
      <c r="AG78" s="1"/>
      <c r="AH78" s="1"/>
      <c r="AI78" s="1"/>
      <c r="AJ78" s="1"/>
    </row>
    <row r="79" spans="1:36" ht="17.25" thickBot="1" x14ac:dyDescent="0.35">
      <c r="A79" s="147"/>
      <c r="B79" s="97">
        <v>43636</v>
      </c>
      <c r="C79" s="103">
        <v>22</v>
      </c>
      <c r="D79" s="150"/>
      <c r="E79" s="150"/>
      <c r="F79" s="100">
        <v>318</v>
      </c>
      <c r="G79" s="89">
        <f t="shared" si="47"/>
        <v>2226</v>
      </c>
      <c r="H79" s="100"/>
      <c r="I79" s="89">
        <f t="shared" si="48"/>
        <v>0</v>
      </c>
      <c r="J79" s="100">
        <v>25</v>
      </c>
      <c r="K79" s="89">
        <f t="shared" si="49"/>
        <v>337.5</v>
      </c>
      <c r="L79" s="93">
        <f t="shared" si="50"/>
        <v>0.18838862559241706</v>
      </c>
      <c r="M79" s="86">
        <f t="shared" si="42"/>
        <v>116.52272727272727</v>
      </c>
      <c r="N79" s="186"/>
      <c r="O79" s="152"/>
      <c r="P79" s="152"/>
      <c r="Q79" s="2"/>
      <c r="R79" s="2"/>
      <c r="S79" s="2"/>
      <c r="T79" s="2"/>
      <c r="U79" s="2"/>
      <c r="V79" s="2"/>
      <c r="W79" s="2"/>
      <c r="X79" s="2"/>
      <c r="Y79" s="2"/>
      <c r="Z79" s="1"/>
      <c r="AA79" s="1"/>
      <c r="AB79" s="1"/>
      <c r="AC79" s="1"/>
      <c r="AD79" s="1"/>
      <c r="AE79" s="1"/>
      <c r="AF79" s="1"/>
      <c r="AG79" s="1"/>
      <c r="AH79" s="1"/>
      <c r="AI79" s="1"/>
      <c r="AJ79" s="1"/>
    </row>
    <row r="80" spans="1:36" ht="17.25" thickBot="1" x14ac:dyDescent="0.35">
      <c r="A80" s="147"/>
      <c r="B80" s="97">
        <v>43637</v>
      </c>
      <c r="C80" s="103">
        <v>48</v>
      </c>
      <c r="D80" s="150"/>
      <c r="E80" s="150"/>
      <c r="F80" s="100">
        <v>668</v>
      </c>
      <c r="G80" s="89">
        <f t="shared" si="47"/>
        <v>4676</v>
      </c>
      <c r="H80" s="100"/>
      <c r="I80" s="89">
        <f t="shared" si="48"/>
        <v>0</v>
      </c>
      <c r="J80" s="100">
        <v>34</v>
      </c>
      <c r="K80" s="89">
        <f t="shared" si="49"/>
        <v>459</v>
      </c>
      <c r="L80" s="93">
        <f t="shared" si="50"/>
        <v>0.39573459715639808</v>
      </c>
      <c r="M80" s="86">
        <f t="shared" si="42"/>
        <v>106.97916666666667</v>
      </c>
      <c r="N80" s="186"/>
      <c r="O80" s="152"/>
      <c r="P80" s="152"/>
      <c r="Q80" s="2"/>
      <c r="R80" s="2"/>
      <c r="S80" s="2"/>
      <c r="T80" s="2"/>
      <c r="U80" s="2"/>
      <c r="V80" s="2"/>
      <c r="W80" s="2"/>
      <c r="X80" s="2"/>
      <c r="Y80" s="2"/>
      <c r="Z80" s="1"/>
      <c r="AA80" s="1"/>
      <c r="AB80" s="1"/>
      <c r="AC80" s="1"/>
      <c r="AD80" s="1"/>
      <c r="AE80" s="1"/>
      <c r="AF80" s="1"/>
      <c r="AG80" s="1"/>
      <c r="AH80" s="1"/>
      <c r="AI80" s="1"/>
      <c r="AJ80" s="1"/>
    </row>
    <row r="81" spans="1:36" ht="17.25" thickBot="1" x14ac:dyDescent="0.35">
      <c r="A81" s="148"/>
      <c r="B81" s="98"/>
      <c r="C81" s="104"/>
      <c r="D81" s="151"/>
      <c r="E81" s="151"/>
      <c r="F81" s="101"/>
      <c r="G81" s="90">
        <f t="shared" si="47"/>
        <v>0</v>
      </c>
      <c r="H81" s="101"/>
      <c r="I81" s="90">
        <f t="shared" si="48"/>
        <v>0</v>
      </c>
      <c r="J81" s="101"/>
      <c r="K81" s="90">
        <f t="shared" si="49"/>
        <v>0</v>
      </c>
      <c r="L81" s="94">
        <f t="shared" si="50"/>
        <v>0</v>
      </c>
      <c r="M81" s="88" t="str">
        <f t="shared" si="42"/>
        <v/>
      </c>
      <c r="N81" s="186"/>
      <c r="O81" s="152"/>
      <c r="P81" s="152"/>
      <c r="Q81" s="2"/>
      <c r="R81" s="2"/>
      <c r="S81" s="2"/>
      <c r="T81" s="2"/>
      <c r="U81" s="2"/>
      <c r="V81" s="2"/>
      <c r="W81" s="2"/>
      <c r="X81" s="2"/>
      <c r="Y81" s="2"/>
      <c r="Z81" s="1"/>
      <c r="AA81" s="1"/>
      <c r="AB81" s="1"/>
      <c r="AC81" s="1"/>
      <c r="AD81" s="1"/>
      <c r="AE81" s="1"/>
      <c r="AF81" s="1"/>
      <c r="AG81" s="1"/>
      <c r="AH81" s="1"/>
      <c r="AI81" s="1"/>
      <c r="AJ81" s="1"/>
    </row>
    <row r="82" spans="1:36" ht="17.25" thickBot="1" x14ac:dyDescent="0.35">
      <c r="A82" s="147">
        <v>26</v>
      </c>
      <c r="B82" s="105">
        <v>43640</v>
      </c>
      <c r="C82" s="102">
        <v>33.5</v>
      </c>
      <c r="D82" s="149">
        <f t="shared" ref="D82" si="54">SUM(G82:G87)+SUM(I82:I87)</f>
        <v>15967</v>
      </c>
      <c r="E82" s="149">
        <f t="shared" ref="E82" si="55">SUM(G82:G87,K82:K87,H82:H87)</f>
        <v>17087.5</v>
      </c>
      <c r="F82" s="99">
        <v>563</v>
      </c>
      <c r="G82" s="89">
        <f t="shared" si="47"/>
        <v>3941</v>
      </c>
      <c r="H82" s="99"/>
      <c r="I82" s="89">
        <f t="shared" si="48"/>
        <v>0</v>
      </c>
      <c r="J82" s="99">
        <v>21</v>
      </c>
      <c r="K82" s="89">
        <f t="shared" si="49"/>
        <v>283.5</v>
      </c>
      <c r="L82" s="93">
        <f t="shared" si="50"/>
        <v>0.33353080568720378</v>
      </c>
      <c r="M82" s="86">
        <f t="shared" si="42"/>
        <v>126.1044776119403</v>
      </c>
      <c r="N82" s="186">
        <f t="shared" ref="N82" si="56">AVERAGE(M82:M87)</f>
        <v>111.50763985912141</v>
      </c>
      <c r="O82" s="152">
        <f t="shared" ref="O82" si="57">SUM(L82:L87)</f>
        <v>1.3513033175355449</v>
      </c>
      <c r="P82" s="152">
        <v>1.545616113744076</v>
      </c>
      <c r="Q82" s="2"/>
      <c r="R82" s="2"/>
      <c r="S82" s="2"/>
      <c r="T82" s="2"/>
      <c r="U82" s="2"/>
      <c r="V82" s="2"/>
      <c r="W82" s="2"/>
      <c r="X82" s="2"/>
      <c r="Y82" s="2"/>
      <c r="Z82" s="1"/>
      <c r="AA82" s="1"/>
      <c r="AB82" s="1"/>
      <c r="AC82" s="1"/>
      <c r="AD82" s="1"/>
      <c r="AE82" s="1"/>
      <c r="AF82" s="1"/>
      <c r="AG82" s="1"/>
      <c r="AH82" s="1"/>
      <c r="AI82" s="1"/>
      <c r="AJ82" s="1"/>
    </row>
    <row r="83" spans="1:36" ht="17.25" thickBot="1" x14ac:dyDescent="0.35">
      <c r="A83" s="147"/>
      <c r="B83" s="97">
        <v>43641</v>
      </c>
      <c r="C83" s="103">
        <v>32.5</v>
      </c>
      <c r="D83" s="150"/>
      <c r="E83" s="150"/>
      <c r="F83" s="100">
        <v>482</v>
      </c>
      <c r="G83" s="89">
        <f t="shared" si="47"/>
        <v>3374</v>
      </c>
      <c r="H83" s="100"/>
      <c r="I83" s="89">
        <f t="shared" si="48"/>
        <v>0</v>
      </c>
      <c r="J83" s="100">
        <v>20</v>
      </c>
      <c r="K83" s="89">
        <f t="shared" si="49"/>
        <v>270</v>
      </c>
      <c r="L83" s="93">
        <f t="shared" si="50"/>
        <v>0.28554502369668244</v>
      </c>
      <c r="M83" s="86">
        <f t="shared" si="42"/>
        <v>112.12307692307692</v>
      </c>
      <c r="N83" s="186"/>
      <c r="O83" s="152"/>
      <c r="P83" s="152"/>
      <c r="Q83" s="2"/>
      <c r="R83" s="2"/>
      <c r="S83" s="2"/>
      <c r="T83" s="2"/>
      <c r="U83" s="2"/>
      <c r="V83" s="2"/>
      <c r="W83" s="2"/>
      <c r="X83" s="2"/>
      <c r="Y83" s="2"/>
      <c r="Z83" s="1"/>
      <c r="AA83" s="1"/>
      <c r="AB83" s="1"/>
      <c r="AC83" s="1"/>
      <c r="AD83" s="1"/>
      <c r="AE83" s="1"/>
      <c r="AF83" s="1"/>
      <c r="AG83" s="1"/>
      <c r="AH83" s="1"/>
      <c r="AI83" s="1"/>
      <c r="AJ83" s="1"/>
    </row>
    <row r="84" spans="1:36" ht="17.25" thickBot="1" x14ac:dyDescent="0.35">
      <c r="A84" s="147"/>
      <c r="B84" s="97">
        <v>43642</v>
      </c>
      <c r="C84" s="103">
        <v>26.5</v>
      </c>
      <c r="D84" s="150"/>
      <c r="E84" s="150"/>
      <c r="F84" s="100">
        <v>390</v>
      </c>
      <c r="G84" s="89">
        <f t="shared" si="47"/>
        <v>2730</v>
      </c>
      <c r="H84" s="100"/>
      <c r="I84" s="89">
        <f t="shared" si="48"/>
        <v>0</v>
      </c>
      <c r="J84" s="100">
        <v>11</v>
      </c>
      <c r="K84" s="89">
        <f t="shared" si="49"/>
        <v>148.5</v>
      </c>
      <c r="L84" s="93">
        <f t="shared" si="50"/>
        <v>0.23104265402843602</v>
      </c>
      <c r="M84" s="86">
        <f t="shared" si="42"/>
        <v>108.62264150943396</v>
      </c>
      <c r="N84" s="186"/>
      <c r="O84" s="152"/>
      <c r="P84" s="152"/>
      <c r="Q84" s="2"/>
      <c r="R84" s="2"/>
      <c r="S84" s="2"/>
      <c r="T84" s="2"/>
      <c r="U84" s="2"/>
      <c r="V84" s="2"/>
      <c r="W84" s="2"/>
      <c r="X84" s="2"/>
      <c r="Y84" s="2"/>
      <c r="Z84" s="1"/>
      <c r="AA84" s="1"/>
      <c r="AB84" s="1"/>
      <c r="AC84" s="1"/>
      <c r="AD84" s="1"/>
      <c r="AE84" s="1"/>
      <c r="AF84" s="1"/>
      <c r="AG84" s="1"/>
      <c r="AH84" s="1"/>
      <c r="AI84" s="1"/>
      <c r="AJ84" s="1"/>
    </row>
    <row r="85" spans="1:36" ht="17.25" thickBot="1" x14ac:dyDescent="0.35">
      <c r="A85" s="147"/>
      <c r="B85" s="97">
        <v>43643</v>
      </c>
      <c r="C85" s="103">
        <v>18</v>
      </c>
      <c r="D85" s="150"/>
      <c r="E85" s="150"/>
      <c r="F85" s="100">
        <v>262</v>
      </c>
      <c r="G85" s="89">
        <f t="shared" si="47"/>
        <v>1834</v>
      </c>
      <c r="H85" s="100"/>
      <c r="I85" s="89">
        <f t="shared" si="48"/>
        <v>0</v>
      </c>
      <c r="J85" s="100">
        <v>6</v>
      </c>
      <c r="K85" s="89">
        <f t="shared" si="49"/>
        <v>81</v>
      </c>
      <c r="L85" s="93">
        <f t="shared" si="50"/>
        <v>0.15521327014218009</v>
      </c>
      <c r="M85" s="86">
        <f t="shared" si="42"/>
        <v>106.38888888888889</v>
      </c>
      <c r="N85" s="186"/>
      <c r="O85" s="152"/>
      <c r="P85" s="152"/>
      <c r="Q85" s="2"/>
      <c r="R85" s="2"/>
      <c r="S85" s="2"/>
      <c r="T85" s="2"/>
      <c r="U85" s="2"/>
      <c r="V85" s="2"/>
      <c r="W85" s="2"/>
      <c r="X85" s="2"/>
      <c r="Y85" s="2"/>
      <c r="Z85" s="1"/>
      <c r="AA85" s="1"/>
      <c r="AB85" s="1"/>
      <c r="AC85" s="1"/>
      <c r="AD85" s="1"/>
      <c r="AE85" s="1"/>
      <c r="AF85" s="1"/>
      <c r="AG85" s="1"/>
      <c r="AH85" s="1"/>
      <c r="AI85" s="1"/>
      <c r="AJ85" s="1"/>
    </row>
    <row r="86" spans="1:36" ht="17.25" thickBot="1" x14ac:dyDescent="0.35">
      <c r="A86" s="147"/>
      <c r="B86" s="97">
        <v>43644</v>
      </c>
      <c r="C86" s="103">
        <v>30.75</v>
      </c>
      <c r="D86" s="150"/>
      <c r="E86" s="150"/>
      <c r="F86" s="100">
        <v>372</v>
      </c>
      <c r="G86" s="89">
        <f t="shared" si="47"/>
        <v>2604</v>
      </c>
      <c r="H86" s="100"/>
      <c r="I86" s="89">
        <f t="shared" si="48"/>
        <v>0</v>
      </c>
      <c r="J86" s="100">
        <v>15</v>
      </c>
      <c r="K86" s="89">
        <f t="shared" si="49"/>
        <v>202.5</v>
      </c>
      <c r="L86" s="93">
        <f t="shared" si="50"/>
        <v>0.22037914691943128</v>
      </c>
      <c r="M86" s="86">
        <f t="shared" si="42"/>
        <v>91.268292682926827</v>
      </c>
      <c r="N86" s="186"/>
      <c r="O86" s="152"/>
      <c r="P86" s="152"/>
      <c r="Q86" s="2"/>
      <c r="R86" s="2"/>
      <c r="S86" s="2"/>
      <c r="T86" s="2"/>
      <c r="U86" s="2"/>
      <c r="V86" s="2"/>
      <c r="W86" s="2"/>
      <c r="X86" s="2"/>
      <c r="Y86" s="2"/>
      <c r="Z86" s="1"/>
      <c r="AA86" s="1"/>
      <c r="AB86" s="1"/>
      <c r="AC86" s="1"/>
      <c r="AD86" s="1"/>
      <c r="AE86" s="1"/>
      <c r="AF86" s="1"/>
      <c r="AG86" s="1"/>
      <c r="AH86" s="1"/>
      <c r="AI86" s="1"/>
      <c r="AJ86" s="1"/>
    </row>
    <row r="87" spans="1:36" ht="17.25" thickBot="1" x14ac:dyDescent="0.35">
      <c r="A87" s="147"/>
      <c r="B87" s="98">
        <v>43645</v>
      </c>
      <c r="C87" s="104">
        <v>13</v>
      </c>
      <c r="D87" s="151"/>
      <c r="E87" s="151"/>
      <c r="F87" s="101">
        <v>212</v>
      </c>
      <c r="G87" s="89">
        <f t="shared" si="47"/>
        <v>1484</v>
      </c>
      <c r="H87" s="101"/>
      <c r="I87" s="89">
        <f t="shared" si="48"/>
        <v>0</v>
      </c>
      <c r="J87" s="101">
        <v>10</v>
      </c>
      <c r="K87" s="89">
        <f t="shared" si="49"/>
        <v>135</v>
      </c>
      <c r="L87" s="93">
        <f t="shared" si="50"/>
        <v>0.12559241706161137</v>
      </c>
      <c r="M87" s="86">
        <f t="shared" si="42"/>
        <v>124.53846153846153</v>
      </c>
      <c r="N87" s="186"/>
      <c r="O87" s="152"/>
      <c r="P87" s="152"/>
      <c r="Q87" s="2"/>
      <c r="R87" s="2"/>
      <c r="S87" s="2"/>
      <c r="T87" s="2"/>
      <c r="U87" s="2"/>
      <c r="V87" s="2"/>
      <c r="W87" s="2"/>
      <c r="X87" s="2"/>
      <c r="Y87" s="2"/>
      <c r="Z87" s="1"/>
      <c r="AA87" s="1"/>
      <c r="AB87" s="1"/>
      <c r="AC87" s="1"/>
      <c r="AD87" s="1"/>
      <c r="AE87" s="1"/>
      <c r="AF87" s="1"/>
      <c r="AG87" s="1"/>
      <c r="AH87" s="1"/>
      <c r="AI87" s="1"/>
      <c r="AJ87" s="1"/>
    </row>
    <row r="88" spans="1:36" ht="17.25" thickBot="1" x14ac:dyDescent="0.35">
      <c r="A88" s="146">
        <v>27</v>
      </c>
      <c r="B88" s="105">
        <v>43647</v>
      </c>
      <c r="C88" s="102">
        <v>30.25</v>
      </c>
      <c r="D88" s="149">
        <f t="shared" ref="D88" si="58">SUM(G88:G93)+SUM(I88:I93)</f>
        <v>21623</v>
      </c>
      <c r="E88" s="149">
        <f t="shared" ref="E88" si="59">SUM(G88:G93,K88:K93,H88:H93)</f>
        <v>22311.5</v>
      </c>
      <c r="F88" s="99">
        <v>559</v>
      </c>
      <c r="G88" s="91">
        <f t="shared" si="47"/>
        <v>3913</v>
      </c>
      <c r="H88" s="99"/>
      <c r="I88" s="91">
        <f t="shared" si="48"/>
        <v>0</v>
      </c>
      <c r="J88" s="99">
        <v>10</v>
      </c>
      <c r="K88" s="91">
        <f t="shared" si="49"/>
        <v>135</v>
      </c>
      <c r="L88" s="92">
        <f t="shared" si="50"/>
        <v>0.33116113744075831</v>
      </c>
      <c r="M88" s="84">
        <f t="shared" si="42"/>
        <v>133.81818181818181</v>
      </c>
      <c r="N88" s="186">
        <f>AVERAGE(M88:M93)</f>
        <v>122.24381238262765</v>
      </c>
      <c r="O88" s="152">
        <f t="shared" ref="O88" si="60">SUM(L88:L93)</f>
        <v>1.8299763033175354</v>
      </c>
      <c r="P88" s="152">
        <v>2.1344786729857819</v>
      </c>
      <c r="Q88" s="2"/>
      <c r="R88" s="2"/>
      <c r="S88" s="2"/>
      <c r="T88" s="2"/>
      <c r="U88" s="2"/>
      <c r="V88" s="2"/>
      <c r="W88" s="2"/>
      <c r="X88" s="2"/>
      <c r="Y88" s="2"/>
      <c r="Z88" s="1"/>
      <c r="AA88" s="1"/>
      <c r="AB88" s="1"/>
      <c r="AC88" s="1"/>
      <c r="AD88" s="1"/>
      <c r="AE88" s="1"/>
      <c r="AF88" s="1"/>
      <c r="AG88" s="1"/>
      <c r="AH88" s="1"/>
      <c r="AI88" s="1"/>
      <c r="AJ88" s="1"/>
    </row>
    <row r="89" spans="1:36" ht="17.25" thickBot="1" x14ac:dyDescent="0.35">
      <c r="A89" s="147"/>
      <c r="B89" s="97">
        <v>43648</v>
      </c>
      <c r="C89" s="103">
        <v>44.5</v>
      </c>
      <c r="D89" s="150"/>
      <c r="E89" s="150"/>
      <c r="F89" s="100">
        <v>838</v>
      </c>
      <c r="G89" s="89">
        <f t="shared" si="47"/>
        <v>5866</v>
      </c>
      <c r="H89" s="100"/>
      <c r="I89" s="89">
        <f t="shared" si="48"/>
        <v>0</v>
      </c>
      <c r="J89" s="100">
        <v>5</v>
      </c>
      <c r="K89" s="89">
        <f t="shared" si="49"/>
        <v>67.5</v>
      </c>
      <c r="L89" s="93">
        <f t="shared" si="50"/>
        <v>0.49644549763033174</v>
      </c>
      <c r="M89" s="86">
        <f t="shared" si="42"/>
        <v>133.3370786516854</v>
      </c>
      <c r="N89" s="186"/>
      <c r="O89" s="152"/>
      <c r="P89" s="152"/>
      <c r="Q89" s="2"/>
      <c r="R89" s="2"/>
      <c r="S89" s="2"/>
      <c r="T89" s="2"/>
      <c r="U89" s="2"/>
      <c r="V89" s="2"/>
      <c r="W89" s="2"/>
      <c r="X89" s="2"/>
      <c r="Y89" s="2"/>
      <c r="Z89" s="1"/>
      <c r="AA89" s="1"/>
      <c r="AB89" s="1"/>
      <c r="AC89" s="1"/>
      <c r="AD89" s="1"/>
      <c r="AE89" s="1"/>
      <c r="AF89" s="1"/>
      <c r="AG89" s="1"/>
      <c r="AH89" s="1"/>
      <c r="AI89" s="1"/>
      <c r="AJ89" s="1"/>
    </row>
    <row r="90" spans="1:36" ht="17.25" thickBot="1" x14ac:dyDescent="0.35">
      <c r="A90" s="147"/>
      <c r="B90" s="97">
        <v>43649</v>
      </c>
      <c r="C90" s="103">
        <v>25.25</v>
      </c>
      <c r="D90" s="150"/>
      <c r="E90" s="150"/>
      <c r="F90" s="100">
        <v>371</v>
      </c>
      <c r="G90" s="89">
        <f t="shared" si="47"/>
        <v>2597</v>
      </c>
      <c r="H90" s="100"/>
      <c r="I90" s="89">
        <f t="shared" si="48"/>
        <v>0</v>
      </c>
      <c r="J90" s="100">
        <v>6</v>
      </c>
      <c r="K90" s="89">
        <f t="shared" si="49"/>
        <v>81</v>
      </c>
      <c r="L90" s="93">
        <f t="shared" si="50"/>
        <v>0.21978672985781991</v>
      </c>
      <c r="M90" s="86">
        <f t="shared" si="42"/>
        <v>106.05940594059406</v>
      </c>
      <c r="N90" s="186"/>
      <c r="O90" s="152"/>
      <c r="P90" s="152"/>
      <c r="Q90" s="2"/>
      <c r="R90" s="2"/>
      <c r="S90" s="2"/>
      <c r="T90" s="2"/>
      <c r="U90" s="2"/>
      <c r="V90" s="2"/>
      <c r="W90" s="2"/>
      <c r="X90" s="2"/>
      <c r="Y90" s="2"/>
      <c r="Z90" s="1"/>
      <c r="AA90" s="1"/>
      <c r="AB90" s="1"/>
      <c r="AC90" s="1"/>
      <c r="AD90" s="1"/>
      <c r="AE90" s="1"/>
      <c r="AF90" s="1"/>
      <c r="AG90" s="1"/>
      <c r="AH90" s="1"/>
      <c r="AI90" s="1"/>
      <c r="AJ90" s="1"/>
    </row>
    <row r="91" spans="1:36" ht="17.25" thickBot="1" x14ac:dyDescent="0.35">
      <c r="A91" s="147"/>
      <c r="B91" s="97">
        <v>43650</v>
      </c>
      <c r="C91" s="103">
        <v>27</v>
      </c>
      <c r="D91" s="150"/>
      <c r="E91" s="150"/>
      <c r="F91" s="100">
        <v>408</v>
      </c>
      <c r="G91" s="89">
        <f t="shared" si="47"/>
        <v>2856</v>
      </c>
      <c r="H91" s="100"/>
      <c r="I91" s="89">
        <f t="shared" si="48"/>
        <v>0</v>
      </c>
      <c r="J91" s="100">
        <v>11</v>
      </c>
      <c r="K91" s="89">
        <f t="shared" si="49"/>
        <v>148.5</v>
      </c>
      <c r="L91" s="93">
        <f t="shared" si="50"/>
        <v>0.24170616113744076</v>
      </c>
      <c r="M91" s="86">
        <f t="shared" si="42"/>
        <v>111.27777777777777</v>
      </c>
      <c r="N91" s="186"/>
      <c r="O91" s="152"/>
      <c r="P91" s="152"/>
      <c r="Q91" s="2"/>
      <c r="R91" s="2"/>
      <c r="S91" s="2"/>
      <c r="T91" s="2"/>
      <c r="U91" s="2"/>
      <c r="V91" s="2"/>
      <c r="W91" s="2"/>
      <c r="X91" s="2"/>
      <c r="Y91" s="2"/>
      <c r="Z91" s="1"/>
      <c r="AA91" s="1"/>
      <c r="AB91" s="1"/>
      <c r="AC91" s="1"/>
      <c r="AD91" s="1"/>
      <c r="AE91" s="1"/>
      <c r="AF91" s="1"/>
      <c r="AG91" s="1"/>
      <c r="AH91" s="1"/>
      <c r="AI91" s="1"/>
      <c r="AJ91" s="1"/>
    </row>
    <row r="92" spans="1:36" ht="17.25" thickBot="1" x14ac:dyDescent="0.35">
      <c r="A92" s="147"/>
      <c r="B92" s="97">
        <v>43651</v>
      </c>
      <c r="C92" s="103">
        <v>23.25</v>
      </c>
      <c r="D92" s="150"/>
      <c r="E92" s="150"/>
      <c r="F92" s="100">
        <v>385</v>
      </c>
      <c r="G92" s="89">
        <f t="shared" si="47"/>
        <v>2695</v>
      </c>
      <c r="H92" s="100"/>
      <c r="I92" s="89">
        <f t="shared" si="48"/>
        <v>0</v>
      </c>
      <c r="J92" s="100">
        <v>10</v>
      </c>
      <c r="K92" s="89">
        <f t="shared" si="49"/>
        <v>135</v>
      </c>
      <c r="L92" s="93">
        <f t="shared" si="50"/>
        <v>0.22808056872037916</v>
      </c>
      <c r="M92" s="86">
        <f t="shared" si="42"/>
        <v>121.72043010752688</v>
      </c>
      <c r="N92" s="186"/>
      <c r="O92" s="152"/>
      <c r="P92" s="152"/>
      <c r="Q92" s="2"/>
      <c r="R92" s="2"/>
      <c r="S92" s="2"/>
      <c r="T92" s="2"/>
      <c r="U92" s="2"/>
      <c r="V92" s="2"/>
      <c r="W92" s="2"/>
      <c r="X92" s="2"/>
      <c r="Y92" s="2"/>
      <c r="Z92" s="1"/>
      <c r="AA92" s="1"/>
      <c r="AB92" s="1"/>
      <c r="AC92" s="1"/>
      <c r="AD92" s="1"/>
      <c r="AE92" s="1"/>
      <c r="AF92" s="1"/>
      <c r="AG92" s="1"/>
      <c r="AH92" s="1"/>
      <c r="AI92" s="1"/>
      <c r="AJ92" s="1"/>
    </row>
    <row r="93" spans="1:36" ht="17.25" thickBot="1" x14ac:dyDescent="0.35">
      <c r="A93" s="148"/>
      <c r="B93" s="98">
        <v>43652</v>
      </c>
      <c r="C93" s="104">
        <v>30</v>
      </c>
      <c r="D93" s="151"/>
      <c r="E93" s="151"/>
      <c r="F93" s="101">
        <v>528</v>
      </c>
      <c r="G93" s="90">
        <f t="shared" si="47"/>
        <v>3696</v>
      </c>
      <c r="H93" s="101"/>
      <c r="I93" s="90">
        <f t="shared" si="48"/>
        <v>0</v>
      </c>
      <c r="J93" s="101">
        <v>9</v>
      </c>
      <c r="K93" s="90">
        <f t="shared" si="49"/>
        <v>121.5</v>
      </c>
      <c r="L93" s="94">
        <f t="shared" si="50"/>
        <v>0.3127962085308057</v>
      </c>
      <c r="M93" s="88">
        <f t="shared" si="42"/>
        <v>127.25</v>
      </c>
      <c r="N93" s="186"/>
      <c r="O93" s="152"/>
      <c r="P93" s="152"/>
      <c r="Q93" s="2"/>
      <c r="R93" s="2"/>
      <c r="S93" s="2"/>
      <c r="T93" s="2"/>
      <c r="U93" s="2"/>
      <c r="V93" s="2"/>
      <c r="W93" s="2"/>
      <c r="X93" s="2"/>
      <c r="Y93" s="2"/>
      <c r="Z93" s="1"/>
      <c r="AA93" s="1"/>
      <c r="AB93" s="1"/>
      <c r="AC93" s="1"/>
      <c r="AD93" s="1"/>
      <c r="AE93" s="1"/>
      <c r="AF93" s="1"/>
      <c r="AG93" s="1"/>
      <c r="AH93" s="1"/>
      <c r="AI93" s="1"/>
      <c r="AJ93" s="1"/>
    </row>
    <row r="94" spans="1:36" ht="17.25" thickBot="1" x14ac:dyDescent="0.35">
      <c r="A94" s="147">
        <v>28</v>
      </c>
      <c r="B94" s="105">
        <v>43654</v>
      </c>
      <c r="C94" s="102">
        <v>31.75</v>
      </c>
      <c r="D94" s="149">
        <f t="shared" ref="D94" si="61">SUM(G94:G99)+SUM(I94:I99)</f>
        <v>14504</v>
      </c>
      <c r="E94" s="149">
        <f t="shared" ref="E94" si="62">SUM(G94:G99,K94:K99,H94:H99)</f>
        <v>15044</v>
      </c>
      <c r="F94" s="99">
        <v>571</v>
      </c>
      <c r="G94" s="89">
        <f t="shared" si="47"/>
        <v>3997</v>
      </c>
      <c r="H94" s="99"/>
      <c r="I94" s="89">
        <f t="shared" si="48"/>
        <v>0</v>
      </c>
      <c r="J94" s="99">
        <v>10</v>
      </c>
      <c r="K94" s="89">
        <f t="shared" si="49"/>
        <v>135</v>
      </c>
      <c r="L94" s="93">
        <f t="shared" si="50"/>
        <v>0.33827014218009477</v>
      </c>
      <c r="M94" s="86">
        <f t="shared" si="42"/>
        <v>130.14173228346456</v>
      </c>
      <c r="N94" s="186">
        <f t="shared" ref="N94" si="63">AVERAGE(M94:M99)</f>
        <v>124.1028002382055</v>
      </c>
      <c r="O94" s="152">
        <f t="shared" ref="O94" si="64">SUM(L94:L99)</f>
        <v>1.2274881516587677</v>
      </c>
      <c r="P94" s="152">
        <v>1.0385071090047393</v>
      </c>
      <c r="Q94" s="2"/>
      <c r="R94" s="2"/>
      <c r="S94" s="2"/>
      <c r="T94" s="2"/>
      <c r="U94" s="2"/>
      <c r="V94" s="2"/>
      <c r="W94" s="2"/>
      <c r="X94" s="2"/>
      <c r="Y94" s="2"/>
      <c r="Z94" s="1"/>
      <c r="AA94" s="1"/>
      <c r="AB94" s="1"/>
      <c r="AC94" s="1"/>
      <c r="AD94" s="1"/>
      <c r="AE94" s="1"/>
      <c r="AF94" s="1"/>
      <c r="AG94" s="1"/>
      <c r="AH94" s="1"/>
      <c r="AI94" s="1"/>
      <c r="AJ94" s="1"/>
    </row>
    <row r="95" spans="1:36" ht="17.25" thickBot="1" x14ac:dyDescent="0.35">
      <c r="A95" s="147"/>
      <c r="B95" s="97">
        <v>43655</v>
      </c>
      <c r="C95" s="103">
        <v>21.25</v>
      </c>
      <c r="D95" s="150"/>
      <c r="E95" s="150"/>
      <c r="F95" s="100">
        <v>361</v>
      </c>
      <c r="G95" s="89">
        <f t="shared" si="47"/>
        <v>2527</v>
      </c>
      <c r="H95" s="100"/>
      <c r="I95" s="89">
        <f t="shared" si="48"/>
        <v>0</v>
      </c>
      <c r="J95" s="100">
        <v>6</v>
      </c>
      <c r="K95" s="89">
        <f t="shared" si="49"/>
        <v>81</v>
      </c>
      <c r="L95" s="93">
        <f t="shared" si="50"/>
        <v>0.21386255924170616</v>
      </c>
      <c r="M95" s="86">
        <f t="shared" si="42"/>
        <v>122.72941176470589</v>
      </c>
      <c r="N95" s="186"/>
      <c r="O95" s="152"/>
      <c r="P95" s="152"/>
      <c r="Q95" s="2"/>
      <c r="R95" s="2"/>
      <c r="S95" s="2"/>
      <c r="T95" s="2"/>
      <c r="U95" s="2"/>
      <c r="V95" s="2"/>
      <c r="W95" s="2"/>
      <c r="X95" s="2"/>
      <c r="Y95" s="2"/>
      <c r="Z95" s="1"/>
      <c r="AA95" s="1"/>
      <c r="AB95" s="1"/>
      <c r="AC95" s="1"/>
      <c r="AD95" s="1"/>
      <c r="AE95" s="1"/>
      <c r="AF95" s="1"/>
      <c r="AG95" s="1"/>
      <c r="AH95" s="1"/>
      <c r="AI95" s="1"/>
      <c r="AJ95" s="1"/>
    </row>
    <row r="96" spans="1:36" ht="17.25" thickBot="1" x14ac:dyDescent="0.35">
      <c r="A96" s="147"/>
      <c r="B96" s="97">
        <v>43656</v>
      </c>
      <c r="C96" s="103">
        <v>20</v>
      </c>
      <c r="D96" s="150"/>
      <c r="E96" s="150"/>
      <c r="F96" s="100">
        <v>360</v>
      </c>
      <c r="G96" s="89">
        <f t="shared" si="47"/>
        <v>2520</v>
      </c>
      <c r="H96" s="100"/>
      <c r="I96" s="89">
        <f t="shared" si="48"/>
        <v>0</v>
      </c>
      <c r="J96" s="100">
        <v>10</v>
      </c>
      <c r="K96" s="89">
        <f t="shared" si="49"/>
        <v>135</v>
      </c>
      <c r="L96" s="93">
        <f t="shared" si="50"/>
        <v>0.2132701421800948</v>
      </c>
      <c r="M96" s="86">
        <f t="shared" si="42"/>
        <v>132.75</v>
      </c>
      <c r="N96" s="186"/>
      <c r="O96" s="152"/>
      <c r="P96" s="152"/>
      <c r="Q96" s="2"/>
      <c r="R96" s="2"/>
      <c r="S96" s="2"/>
      <c r="T96" s="2"/>
      <c r="U96" s="2"/>
      <c r="V96" s="2"/>
      <c r="W96" s="2"/>
      <c r="X96" s="2"/>
      <c r="Y96" s="2"/>
      <c r="Z96" s="1"/>
      <c r="AA96" s="1"/>
      <c r="AB96" s="1"/>
      <c r="AC96" s="1"/>
      <c r="AD96" s="1"/>
      <c r="AE96" s="1"/>
      <c r="AF96" s="1"/>
      <c r="AG96" s="1"/>
      <c r="AH96" s="1"/>
      <c r="AI96" s="1"/>
      <c r="AJ96" s="1"/>
    </row>
    <row r="97" spans="1:36" ht="17.25" thickBot="1" x14ac:dyDescent="0.35">
      <c r="A97" s="147"/>
      <c r="B97" s="97">
        <v>43292</v>
      </c>
      <c r="C97" s="103">
        <v>20</v>
      </c>
      <c r="D97" s="150"/>
      <c r="E97" s="150"/>
      <c r="F97" s="100">
        <v>316</v>
      </c>
      <c r="G97" s="89">
        <f t="shared" si="47"/>
        <v>2212</v>
      </c>
      <c r="H97" s="100"/>
      <c r="I97" s="89">
        <f t="shared" si="48"/>
        <v>0</v>
      </c>
      <c r="J97" s="100">
        <v>8</v>
      </c>
      <c r="K97" s="89">
        <f t="shared" si="49"/>
        <v>108</v>
      </c>
      <c r="L97" s="93">
        <f t="shared" si="50"/>
        <v>0.1872037914691943</v>
      </c>
      <c r="M97" s="86">
        <f t="shared" si="42"/>
        <v>116</v>
      </c>
      <c r="N97" s="186"/>
      <c r="O97" s="152"/>
      <c r="P97" s="152"/>
      <c r="Q97" s="2"/>
      <c r="R97" s="2"/>
      <c r="S97" s="2"/>
      <c r="T97" s="2"/>
      <c r="U97" s="2"/>
      <c r="V97" s="2"/>
      <c r="W97" s="2"/>
      <c r="X97" s="2"/>
      <c r="Y97" s="2"/>
      <c r="Z97" s="1"/>
      <c r="AA97" s="1"/>
      <c r="AB97" s="1"/>
      <c r="AC97" s="1"/>
      <c r="AD97" s="1"/>
      <c r="AE97" s="1"/>
      <c r="AF97" s="1"/>
      <c r="AG97" s="1"/>
      <c r="AH97" s="1"/>
      <c r="AI97" s="1"/>
      <c r="AJ97" s="1"/>
    </row>
    <row r="98" spans="1:36" ht="17.25" thickBot="1" x14ac:dyDescent="0.35">
      <c r="A98" s="147"/>
      <c r="B98" s="97">
        <v>43658</v>
      </c>
      <c r="C98" s="103">
        <v>28</v>
      </c>
      <c r="D98" s="150"/>
      <c r="E98" s="150"/>
      <c r="F98" s="100">
        <v>464</v>
      </c>
      <c r="G98" s="89">
        <f t="shared" si="47"/>
        <v>3248</v>
      </c>
      <c r="H98" s="100"/>
      <c r="I98" s="89">
        <f t="shared" si="48"/>
        <v>0</v>
      </c>
      <c r="J98" s="100">
        <v>6</v>
      </c>
      <c r="K98" s="89">
        <f t="shared" si="49"/>
        <v>81</v>
      </c>
      <c r="L98" s="93">
        <f t="shared" si="50"/>
        <v>0.27488151658767773</v>
      </c>
      <c r="M98" s="86">
        <f t="shared" si="42"/>
        <v>118.89285714285714</v>
      </c>
      <c r="N98" s="186"/>
      <c r="O98" s="152"/>
      <c r="P98" s="152"/>
      <c r="Q98" s="2"/>
      <c r="R98" s="2"/>
      <c r="S98" s="2"/>
      <c r="T98" s="2"/>
      <c r="U98" s="2"/>
      <c r="V98" s="2"/>
      <c r="W98" s="2"/>
      <c r="X98" s="2"/>
      <c r="Y98" s="2"/>
      <c r="Z98" s="1"/>
      <c r="AA98" s="1"/>
      <c r="AB98" s="1"/>
      <c r="AC98" s="1"/>
      <c r="AD98" s="1"/>
      <c r="AE98" s="1"/>
      <c r="AF98" s="1"/>
      <c r="AG98" s="1"/>
      <c r="AH98" s="1"/>
      <c r="AI98" s="1"/>
      <c r="AJ98" s="1"/>
    </row>
    <row r="99" spans="1:36" ht="17.25" thickBot="1" x14ac:dyDescent="0.35">
      <c r="A99" s="147"/>
      <c r="B99" s="97"/>
      <c r="C99" s="104"/>
      <c r="D99" s="151"/>
      <c r="E99" s="151"/>
      <c r="F99" s="101"/>
      <c r="G99" s="89">
        <f t="shared" si="47"/>
        <v>0</v>
      </c>
      <c r="H99" s="101"/>
      <c r="I99" s="89">
        <f t="shared" si="48"/>
        <v>0</v>
      </c>
      <c r="J99" s="101"/>
      <c r="K99" s="89">
        <f t="shared" si="49"/>
        <v>0</v>
      </c>
      <c r="L99" s="93">
        <f t="shared" si="50"/>
        <v>0</v>
      </c>
      <c r="M99" s="86" t="str">
        <f t="shared" si="42"/>
        <v/>
      </c>
      <c r="N99" s="186"/>
      <c r="O99" s="152"/>
      <c r="P99" s="152"/>
      <c r="Q99" s="2"/>
      <c r="R99" s="2"/>
      <c r="S99" s="2"/>
      <c r="T99" s="2"/>
      <c r="U99" s="2"/>
      <c r="V99" s="2"/>
      <c r="W99" s="2"/>
      <c r="X99" s="2"/>
      <c r="Y99" s="2"/>
      <c r="Z99" s="1"/>
      <c r="AA99" s="1"/>
      <c r="AB99" s="1"/>
      <c r="AC99" s="1"/>
      <c r="AD99" s="1"/>
      <c r="AE99" s="1"/>
      <c r="AF99" s="1"/>
      <c r="AG99" s="1"/>
      <c r="AH99" s="1"/>
      <c r="AI99" s="1"/>
      <c r="AJ99" s="1"/>
    </row>
    <row r="100" spans="1:36" ht="17.25" thickBot="1" x14ac:dyDescent="0.35">
      <c r="A100" s="146">
        <v>29</v>
      </c>
      <c r="B100" s="105">
        <v>43661</v>
      </c>
      <c r="C100" s="102">
        <v>26.75</v>
      </c>
      <c r="D100" s="149">
        <f t="shared" ref="D100" si="65">SUM(G100:G105)+SUM(I100:I105)</f>
        <v>11116</v>
      </c>
      <c r="E100" s="149">
        <f t="shared" ref="E100" si="66">SUM(G100:G105,K100:K105,H100:H105)</f>
        <v>11993.5</v>
      </c>
      <c r="F100" s="99">
        <v>505</v>
      </c>
      <c r="G100" s="91">
        <f t="shared" si="47"/>
        <v>3535</v>
      </c>
      <c r="H100" s="99"/>
      <c r="I100" s="91">
        <f t="shared" si="48"/>
        <v>0</v>
      </c>
      <c r="J100" s="99">
        <v>6</v>
      </c>
      <c r="K100" s="91">
        <f t="shared" si="49"/>
        <v>81</v>
      </c>
      <c r="L100" s="92">
        <f t="shared" si="50"/>
        <v>0.29917061611374407</v>
      </c>
      <c r="M100" s="84">
        <f t="shared" si="42"/>
        <v>135.17757009345794</v>
      </c>
      <c r="N100" s="186">
        <f>AVERAGE(M100:M105)</f>
        <v>114.1125452000706</v>
      </c>
      <c r="O100" s="152">
        <f t="shared" ref="O100" si="67">SUM(L100:L105)</f>
        <v>0.94075829383886256</v>
      </c>
      <c r="P100" s="152">
        <v>0.64869668246445489</v>
      </c>
      <c r="Q100" s="2"/>
      <c r="R100" s="2"/>
      <c r="S100" s="2"/>
      <c r="T100" s="2"/>
      <c r="U100" s="2"/>
      <c r="V100" s="2"/>
      <c r="W100" s="2"/>
      <c r="X100" s="2"/>
      <c r="Y100" s="2"/>
      <c r="Z100" s="1"/>
      <c r="AA100" s="1"/>
      <c r="AB100" s="1"/>
      <c r="AC100" s="1"/>
      <c r="AD100" s="1"/>
      <c r="AE100" s="1"/>
      <c r="AF100" s="1"/>
      <c r="AG100" s="1"/>
      <c r="AH100" s="1"/>
      <c r="AI100" s="1"/>
      <c r="AJ100" s="1"/>
    </row>
    <row r="101" spans="1:36" ht="17.25" thickBot="1" x14ac:dyDescent="0.35">
      <c r="A101" s="147"/>
      <c r="B101" s="97">
        <v>43662</v>
      </c>
      <c r="C101" s="103">
        <v>23</v>
      </c>
      <c r="D101" s="150"/>
      <c r="E101" s="150"/>
      <c r="F101" s="100">
        <v>411</v>
      </c>
      <c r="G101" s="89">
        <f t="shared" si="47"/>
        <v>2877</v>
      </c>
      <c r="H101" s="100"/>
      <c r="I101" s="89">
        <f t="shared" si="48"/>
        <v>0</v>
      </c>
      <c r="J101" s="100">
        <v>14</v>
      </c>
      <c r="K101" s="89">
        <f t="shared" si="49"/>
        <v>189</v>
      </c>
      <c r="L101" s="93">
        <f t="shared" si="50"/>
        <v>0.24348341232227488</v>
      </c>
      <c r="M101" s="86">
        <f t="shared" si="42"/>
        <v>133.30434782608697</v>
      </c>
      <c r="N101" s="186"/>
      <c r="O101" s="152"/>
      <c r="P101" s="152"/>
      <c r="Q101" s="2"/>
      <c r="R101" s="2"/>
      <c r="S101" s="2"/>
      <c r="T101" s="2"/>
      <c r="U101" s="2"/>
      <c r="V101" s="2"/>
      <c r="W101" s="2"/>
      <c r="X101" s="2"/>
      <c r="Y101" s="2"/>
      <c r="Z101" s="1"/>
      <c r="AA101" s="1"/>
      <c r="AB101" s="1"/>
      <c r="AC101" s="1"/>
      <c r="AD101" s="1"/>
      <c r="AE101" s="1"/>
      <c r="AF101" s="1"/>
      <c r="AG101" s="1"/>
      <c r="AH101" s="1"/>
      <c r="AI101" s="1"/>
      <c r="AJ101" s="1"/>
    </row>
    <row r="102" spans="1:36" ht="17.25" thickBot="1" x14ac:dyDescent="0.35">
      <c r="A102" s="147"/>
      <c r="B102" s="97">
        <v>43663</v>
      </c>
      <c r="C102" s="103">
        <v>18</v>
      </c>
      <c r="D102" s="150"/>
      <c r="E102" s="150"/>
      <c r="F102" s="100">
        <v>283</v>
      </c>
      <c r="G102" s="89">
        <f t="shared" si="47"/>
        <v>1981</v>
      </c>
      <c r="H102" s="100"/>
      <c r="I102" s="89">
        <f t="shared" si="48"/>
        <v>0</v>
      </c>
      <c r="J102" s="100">
        <v>12</v>
      </c>
      <c r="K102" s="89">
        <f t="shared" si="49"/>
        <v>162</v>
      </c>
      <c r="L102" s="93">
        <f t="shared" si="50"/>
        <v>0.16765402843601895</v>
      </c>
      <c r="M102" s="86">
        <f t="shared" si="42"/>
        <v>119.05555555555556</v>
      </c>
      <c r="N102" s="186"/>
      <c r="O102" s="152"/>
      <c r="P102" s="152"/>
      <c r="Q102" s="2"/>
      <c r="R102" s="2"/>
      <c r="S102" s="2"/>
      <c r="T102" s="2"/>
      <c r="U102" s="2"/>
      <c r="V102" s="2"/>
      <c r="W102" s="2"/>
      <c r="X102" s="2"/>
      <c r="Y102" s="2"/>
      <c r="Z102" s="1"/>
      <c r="AA102" s="1"/>
      <c r="AB102" s="1"/>
      <c r="AC102" s="1"/>
      <c r="AD102" s="1"/>
      <c r="AE102" s="1"/>
      <c r="AF102" s="1"/>
      <c r="AG102" s="1"/>
      <c r="AH102" s="1"/>
      <c r="AI102" s="1"/>
      <c r="AJ102" s="1"/>
    </row>
    <row r="103" spans="1:36" ht="17.25" thickBot="1" x14ac:dyDescent="0.35">
      <c r="A103" s="147"/>
      <c r="B103" s="97">
        <v>43664</v>
      </c>
      <c r="C103" s="103">
        <v>18</v>
      </c>
      <c r="D103" s="150"/>
      <c r="E103" s="150"/>
      <c r="F103" s="100">
        <v>220</v>
      </c>
      <c r="G103" s="89">
        <f t="shared" si="47"/>
        <v>1540</v>
      </c>
      <c r="H103" s="100"/>
      <c r="I103" s="89">
        <f t="shared" si="48"/>
        <v>0</v>
      </c>
      <c r="J103" s="100">
        <v>18</v>
      </c>
      <c r="K103" s="89">
        <f t="shared" si="49"/>
        <v>243</v>
      </c>
      <c r="L103" s="93">
        <f t="shared" si="50"/>
        <v>0.13033175355450238</v>
      </c>
      <c r="M103" s="86">
        <f t="shared" si="42"/>
        <v>99.055555555555557</v>
      </c>
      <c r="N103" s="186"/>
      <c r="O103" s="152"/>
      <c r="P103" s="152"/>
      <c r="Q103" s="2"/>
      <c r="R103" s="2"/>
      <c r="S103" s="2"/>
      <c r="T103" s="2"/>
      <c r="U103" s="2"/>
      <c r="V103" s="2"/>
      <c r="W103" s="2"/>
      <c r="X103" s="2"/>
      <c r="Y103" s="2"/>
      <c r="Z103" s="1"/>
      <c r="AA103" s="1"/>
      <c r="AB103" s="1"/>
      <c r="AC103" s="1"/>
      <c r="AD103" s="1"/>
      <c r="AE103" s="1"/>
      <c r="AF103" s="1"/>
      <c r="AG103" s="1"/>
      <c r="AH103" s="1"/>
      <c r="AI103" s="1"/>
      <c r="AJ103" s="1"/>
    </row>
    <row r="104" spans="1:36" ht="17.25" thickBot="1" x14ac:dyDescent="0.35">
      <c r="A104" s="147"/>
      <c r="B104" s="97">
        <v>43665</v>
      </c>
      <c r="C104" s="103">
        <v>16.5</v>
      </c>
      <c r="D104" s="150"/>
      <c r="E104" s="150"/>
      <c r="F104" s="100">
        <v>169</v>
      </c>
      <c r="G104" s="89">
        <f t="shared" si="47"/>
        <v>1183</v>
      </c>
      <c r="H104" s="100"/>
      <c r="I104" s="89">
        <f t="shared" si="48"/>
        <v>0</v>
      </c>
      <c r="J104" s="100">
        <v>15</v>
      </c>
      <c r="K104" s="89">
        <f t="shared" si="49"/>
        <v>202.5</v>
      </c>
      <c r="L104" s="93">
        <f t="shared" si="50"/>
        <v>0.10011848341232228</v>
      </c>
      <c r="M104" s="86">
        <f t="shared" si="42"/>
        <v>83.969696969696969</v>
      </c>
      <c r="N104" s="186"/>
      <c r="O104" s="152"/>
      <c r="P104" s="152"/>
      <c r="Q104" s="2"/>
      <c r="R104" s="2"/>
      <c r="S104" s="2"/>
      <c r="T104" s="2"/>
      <c r="U104" s="2"/>
      <c r="V104" s="2"/>
      <c r="W104" s="2"/>
      <c r="X104" s="2"/>
      <c r="Y104" s="2"/>
      <c r="Z104" s="1"/>
      <c r="AA104" s="1"/>
      <c r="AB104" s="1"/>
      <c r="AC104" s="1"/>
      <c r="AD104" s="1"/>
      <c r="AE104" s="1"/>
      <c r="AF104" s="1"/>
      <c r="AG104" s="1"/>
      <c r="AH104" s="1"/>
      <c r="AI104" s="1"/>
      <c r="AJ104" s="1"/>
    </row>
    <row r="105" spans="1:36" ht="17.25" thickBot="1" x14ac:dyDescent="0.35">
      <c r="A105" s="148"/>
      <c r="B105" s="98"/>
      <c r="C105" s="104"/>
      <c r="D105" s="151"/>
      <c r="E105" s="151"/>
      <c r="F105" s="101"/>
      <c r="G105" s="90">
        <f t="shared" si="47"/>
        <v>0</v>
      </c>
      <c r="H105" s="101"/>
      <c r="I105" s="90">
        <f t="shared" si="48"/>
        <v>0</v>
      </c>
      <c r="J105" s="101"/>
      <c r="K105" s="90">
        <f t="shared" si="49"/>
        <v>0</v>
      </c>
      <c r="L105" s="94">
        <f t="shared" si="50"/>
        <v>0</v>
      </c>
      <c r="M105" s="88" t="str">
        <f t="shared" si="42"/>
        <v/>
      </c>
      <c r="N105" s="186"/>
      <c r="O105" s="152"/>
      <c r="P105" s="152"/>
      <c r="Q105" s="2"/>
      <c r="R105" s="2"/>
      <c r="S105" s="2"/>
      <c r="T105" s="2"/>
      <c r="U105" s="2"/>
      <c r="V105" s="2"/>
      <c r="W105" s="2"/>
      <c r="X105" s="2"/>
      <c r="Y105" s="2"/>
      <c r="Z105" s="1"/>
      <c r="AA105" s="1"/>
      <c r="AB105" s="1"/>
      <c r="AC105" s="1"/>
      <c r="AD105" s="1"/>
      <c r="AE105" s="1"/>
      <c r="AF105" s="1"/>
      <c r="AG105" s="1"/>
      <c r="AH105" s="1"/>
      <c r="AI105" s="1"/>
      <c r="AJ105" s="1"/>
    </row>
    <row r="106" spans="1:36" ht="17.25" thickBot="1" x14ac:dyDescent="0.35">
      <c r="A106" s="147">
        <v>30</v>
      </c>
      <c r="B106" s="105">
        <v>43668</v>
      </c>
      <c r="C106" s="102">
        <v>16</v>
      </c>
      <c r="D106" s="149">
        <f t="shared" ref="D106" si="68">SUM(G106:G111)+SUM(I106:I111)</f>
        <v>3423</v>
      </c>
      <c r="E106" s="149">
        <f t="shared" ref="E106" si="69">SUM(G106:G111,K106:K111,H106:H111)</f>
        <v>4260</v>
      </c>
      <c r="F106" s="99">
        <v>193</v>
      </c>
      <c r="G106" s="89">
        <f t="shared" si="47"/>
        <v>1351</v>
      </c>
      <c r="H106" s="99"/>
      <c r="I106" s="89">
        <f t="shared" si="48"/>
        <v>0</v>
      </c>
      <c r="J106" s="99">
        <v>21</v>
      </c>
      <c r="K106" s="89">
        <f t="shared" si="49"/>
        <v>283.5</v>
      </c>
      <c r="L106" s="93">
        <f t="shared" si="50"/>
        <v>0.11433649289099526</v>
      </c>
      <c r="M106" s="86">
        <f t="shared" si="42"/>
        <v>102.15625</v>
      </c>
      <c r="N106" s="186">
        <f t="shared" ref="N106" si="70">AVERAGE(M106:M111)</f>
        <v>86.068749999999994</v>
      </c>
      <c r="O106" s="152">
        <f t="shared" ref="O106" si="71">SUM(L106:L111)</f>
        <v>0.28969194312796209</v>
      </c>
      <c r="P106" s="152">
        <v>0.72571090047393372</v>
      </c>
      <c r="Q106" s="2"/>
      <c r="R106" s="2"/>
      <c r="S106" s="2"/>
      <c r="T106" s="2"/>
      <c r="U106" s="2"/>
      <c r="V106" s="2"/>
      <c r="W106" s="2"/>
      <c r="X106" s="2"/>
      <c r="Y106" s="2"/>
      <c r="Z106" s="1"/>
      <c r="AA106" s="1"/>
      <c r="AB106" s="1"/>
      <c r="AC106" s="1"/>
      <c r="AD106" s="1"/>
      <c r="AE106" s="1"/>
      <c r="AF106" s="1"/>
      <c r="AG106" s="1"/>
      <c r="AH106" s="1"/>
      <c r="AI106" s="1"/>
      <c r="AJ106" s="1"/>
    </row>
    <row r="107" spans="1:36" ht="17.25" thickBot="1" x14ac:dyDescent="0.35">
      <c r="A107" s="147"/>
      <c r="B107" s="105">
        <v>43669</v>
      </c>
      <c r="C107" s="103">
        <v>8</v>
      </c>
      <c r="D107" s="150"/>
      <c r="E107" s="150"/>
      <c r="F107" s="100">
        <v>80</v>
      </c>
      <c r="G107" s="89">
        <f t="shared" si="47"/>
        <v>560</v>
      </c>
      <c r="H107" s="100"/>
      <c r="I107" s="89">
        <f t="shared" si="48"/>
        <v>0</v>
      </c>
      <c r="J107" s="100">
        <v>8</v>
      </c>
      <c r="K107" s="89">
        <f t="shared" si="49"/>
        <v>108</v>
      </c>
      <c r="L107" s="93">
        <f t="shared" si="50"/>
        <v>4.7393364928909949E-2</v>
      </c>
      <c r="M107" s="86">
        <f t="shared" si="42"/>
        <v>83.5</v>
      </c>
      <c r="N107" s="186"/>
      <c r="O107" s="152"/>
      <c r="P107" s="152"/>
      <c r="Q107" s="2"/>
      <c r="R107" s="2"/>
      <c r="S107" s="2"/>
      <c r="T107" s="2"/>
      <c r="U107" s="2"/>
      <c r="V107" s="2"/>
      <c r="W107" s="2"/>
      <c r="X107" s="2"/>
      <c r="Y107" s="2"/>
      <c r="Z107" s="1"/>
      <c r="AA107" s="1"/>
      <c r="AB107" s="1"/>
      <c r="AC107" s="1"/>
      <c r="AD107" s="1"/>
      <c r="AE107" s="1"/>
      <c r="AF107" s="1"/>
      <c r="AG107" s="1"/>
      <c r="AH107" s="1"/>
      <c r="AI107" s="1"/>
      <c r="AJ107" s="1"/>
    </row>
    <row r="108" spans="1:36" ht="17.25" thickBot="1" x14ac:dyDescent="0.35">
      <c r="A108" s="147"/>
      <c r="B108" s="105">
        <v>43670</v>
      </c>
      <c r="C108" s="103">
        <v>8</v>
      </c>
      <c r="D108" s="150"/>
      <c r="E108" s="150"/>
      <c r="F108" s="100">
        <v>77</v>
      </c>
      <c r="G108" s="89">
        <f t="shared" si="47"/>
        <v>539</v>
      </c>
      <c r="H108" s="100"/>
      <c r="I108" s="89">
        <f t="shared" si="48"/>
        <v>0</v>
      </c>
      <c r="J108" s="100">
        <v>11</v>
      </c>
      <c r="K108" s="89">
        <f t="shared" si="49"/>
        <v>148.5</v>
      </c>
      <c r="L108" s="93">
        <f t="shared" si="50"/>
        <v>4.5616113744075829E-2</v>
      </c>
      <c r="M108" s="86">
        <f t="shared" si="42"/>
        <v>85.9375</v>
      </c>
      <c r="N108" s="186"/>
      <c r="O108" s="152"/>
      <c r="P108" s="152"/>
      <c r="Q108" s="2"/>
      <c r="R108" s="2"/>
      <c r="S108" s="2"/>
      <c r="T108" s="2"/>
      <c r="U108" s="2"/>
      <c r="V108" s="2"/>
      <c r="W108" s="2"/>
      <c r="X108" s="2"/>
      <c r="Y108" s="2"/>
      <c r="Z108" s="1"/>
      <c r="AA108" s="1"/>
      <c r="AB108" s="1"/>
      <c r="AC108" s="1"/>
      <c r="AD108" s="1"/>
      <c r="AE108" s="1"/>
      <c r="AF108" s="1"/>
      <c r="AG108" s="1"/>
      <c r="AH108" s="1"/>
      <c r="AI108" s="1"/>
      <c r="AJ108" s="1"/>
    </row>
    <row r="109" spans="1:36" ht="17.25" thickBot="1" x14ac:dyDescent="0.35">
      <c r="A109" s="147"/>
      <c r="B109" s="105">
        <v>43671</v>
      </c>
      <c r="C109" s="103">
        <v>8</v>
      </c>
      <c r="D109" s="150"/>
      <c r="E109" s="150"/>
      <c r="F109" s="100">
        <v>67</v>
      </c>
      <c r="G109" s="89">
        <f t="shared" si="47"/>
        <v>469</v>
      </c>
      <c r="H109" s="100"/>
      <c r="I109" s="89">
        <f t="shared" si="48"/>
        <v>0</v>
      </c>
      <c r="J109" s="100">
        <v>10</v>
      </c>
      <c r="K109" s="89">
        <f t="shared" si="49"/>
        <v>135</v>
      </c>
      <c r="L109" s="93">
        <f t="shared" si="50"/>
        <v>3.9691943127962086E-2</v>
      </c>
      <c r="M109" s="86">
        <f t="shared" si="42"/>
        <v>75.5</v>
      </c>
      <c r="N109" s="186"/>
      <c r="O109" s="152"/>
      <c r="P109" s="152"/>
      <c r="Q109" s="2"/>
      <c r="R109" s="2"/>
      <c r="S109" s="2"/>
      <c r="T109" s="2"/>
      <c r="U109" s="2"/>
      <c r="V109" s="2"/>
      <c r="W109" s="2"/>
      <c r="X109" s="2"/>
      <c r="Y109" s="2"/>
      <c r="Z109" s="1"/>
      <c r="AA109" s="1"/>
      <c r="AB109" s="1"/>
      <c r="AC109" s="1"/>
      <c r="AD109" s="1"/>
      <c r="AE109" s="1"/>
      <c r="AF109" s="1"/>
      <c r="AG109" s="1"/>
      <c r="AH109" s="1"/>
      <c r="AI109" s="1"/>
      <c r="AJ109" s="1"/>
    </row>
    <row r="110" spans="1:36" ht="17.25" thickBot="1" x14ac:dyDescent="0.35">
      <c r="A110" s="147"/>
      <c r="B110" s="105">
        <v>43672</v>
      </c>
      <c r="C110" s="103">
        <f>8</f>
        <v>8</v>
      </c>
      <c r="D110" s="150"/>
      <c r="E110" s="150"/>
      <c r="F110" s="100">
        <v>72</v>
      </c>
      <c r="G110" s="89">
        <f t="shared" si="47"/>
        <v>504</v>
      </c>
      <c r="H110" s="100"/>
      <c r="I110" s="89">
        <f t="shared" si="48"/>
        <v>0</v>
      </c>
      <c r="J110" s="100">
        <v>12</v>
      </c>
      <c r="K110" s="89">
        <f t="shared" si="49"/>
        <v>162</v>
      </c>
      <c r="L110" s="93">
        <f t="shared" si="50"/>
        <v>4.2654028436018961E-2</v>
      </c>
      <c r="M110" s="86">
        <f t="shared" si="42"/>
        <v>83.25</v>
      </c>
      <c r="N110" s="186"/>
      <c r="O110" s="152"/>
      <c r="P110" s="152"/>
      <c r="Q110" s="2"/>
      <c r="R110" s="2"/>
      <c r="S110" s="2"/>
      <c r="T110" s="2"/>
      <c r="U110" s="2"/>
      <c r="V110" s="2"/>
      <c r="W110" s="2"/>
      <c r="X110" s="2"/>
      <c r="Y110" s="2"/>
      <c r="Z110" s="1"/>
      <c r="AA110" s="1"/>
      <c r="AB110" s="1"/>
      <c r="AC110" s="1"/>
      <c r="AD110" s="1"/>
      <c r="AE110" s="1"/>
      <c r="AF110" s="1"/>
      <c r="AG110" s="1"/>
      <c r="AH110" s="1"/>
      <c r="AI110" s="1"/>
      <c r="AJ110" s="1"/>
    </row>
    <row r="111" spans="1:36" ht="17.25" thickBot="1" x14ac:dyDescent="0.35">
      <c r="A111" s="147"/>
      <c r="B111" s="97"/>
      <c r="C111" s="104"/>
      <c r="D111" s="151"/>
      <c r="E111" s="151"/>
      <c r="F111" s="101"/>
      <c r="G111" s="89">
        <f t="shared" si="47"/>
        <v>0</v>
      </c>
      <c r="H111" s="101"/>
      <c r="I111" s="89">
        <f t="shared" si="48"/>
        <v>0</v>
      </c>
      <c r="J111" s="101"/>
      <c r="K111" s="89">
        <f t="shared" si="49"/>
        <v>0</v>
      </c>
      <c r="L111" s="93">
        <f t="shared" si="50"/>
        <v>0</v>
      </c>
      <c r="M111" s="86" t="str">
        <f t="shared" si="42"/>
        <v/>
      </c>
      <c r="N111" s="186"/>
      <c r="O111" s="152"/>
      <c r="P111" s="152"/>
      <c r="Q111" s="2"/>
      <c r="R111" s="2"/>
      <c r="S111" s="2"/>
      <c r="T111" s="2"/>
      <c r="U111" s="2"/>
      <c r="V111" s="2"/>
      <c r="W111" s="2"/>
      <c r="X111" s="2"/>
      <c r="Y111" s="2"/>
      <c r="Z111" s="1"/>
      <c r="AA111" s="1"/>
      <c r="AB111" s="1"/>
      <c r="AC111" s="1"/>
      <c r="AD111" s="1"/>
      <c r="AE111" s="1"/>
      <c r="AF111" s="1"/>
      <c r="AG111" s="1"/>
      <c r="AH111" s="1"/>
      <c r="AI111" s="1"/>
      <c r="AJ111" s="1"/>
    </row>
    <row r="112" spans="1:36" ht="17.25" thickBot="1" x14ac:dyDescent="0.35">
      <c r="A112" s="146">
        <v>31</v>
      </c>
      <c r="B112" s="105">
        <v>43675</v>
      </c>
      <c r="C112" s="102">
        <v>20</v>
      </c>
      <c r="D112" s="149">
        <f t="shared" ref="D112" si="72">SUM(G112:G117)+SUM(I112:I117)</f>
        <v>11732</v>
      </c>
      <c r="E112" s="149">
        <f t="shared" ref="E112" si="73">SUM(G112:G117,K112:K117,H112:H117)</f>
        <v>13095.5</v>
      </c>
      <c r="F112" s="99">
        <v>266</v>
      </c>
      <c r="G112" s="91">
        <f t="shared" si="47"/>
        <v>1862</v>
      </c>
      <c r="H112" s="99"/>
      <c r="I112" s="91">
        <f t="shared" si="48"/>
        <v>0</v>
      </c>
      <c r="J112" s="99">
        <v>18</v>
      </c>
      <c r="K112" s="91">
        <f t="shared" si="49"/>
        <v>243</v>
      </c>
      <c r="L112" s="92">
        <f t="shared" si="50"/>
        <v>0.15758293838862558</v>
      </c>
      <c r="M112" s="84">
        <f t="shared" si="42"/>
        <v>105.25</v>
      </c>
      <c r="N112" s="186">
        <f t="shared" ref="N112" si="74">AVERAGE(M112:M117)</f>
        <v>135.41855714906563</v>
      </c>
      <c r="O112" s="152">
        <f t="shared" ref="O112" si="75">SUM(L112:L117)</f>
        <v>0.99289099526066349</v>
      </c>
      <c r="P112" s="152">
        <v>1.3311611374407584</v>
      </c>
      <c r="Q112" s="2"/>
      <c r="R112" s="2"/>
      <c r="S112" s="2"/>
      <c r="T112" s="2"/>
      <c r="U112" s="2"/>
      <c r="V112" s="2"/>
      <c r="W112" s="2"/>
      <c r="X112" s="2"/>
      <c r="Y112" s="2"/>
      <c r="Z112" s="1"/>
      <c r="AA112" s="1"/>
      <c r="AB112" s="1"/>
      <c r="AC112" s="1"/>
      <c r="AD112" s="1"/>
      <c r="AE112" s="1"/>
      <c r="AF112" s="1"/>
      <c r="AG112" s="1"/>
      <c r="AH112" s="1"/>
      <c r="AI112" s="1"/>
      <c r="AJ112" s="1"/>
    </row>
    <row r="113" spans="1:36" ht="17.25" thickBot="1" x14ac:dyDescent="0.35">
      <c r="A113" s="147"/>
      <c r="B113" s="97">
        <v>43676</v>
      </c>
      <c r="C113" s="100">
        <v>18</v>
      </c>
      <c r="D113" s="150"/>
      <c r="E113" s="150"/>
      <c r="F113" s="100">
        <v>338</v>
      </c>
      <c r="G113" s="89">
        <f t="shared" si="47"/>
        <v>2366</v>
      </c>
      <c r="H113" s="100"/>
      <c r="I113" s="89">
        <f t="shared" si="48"/>
        <v>0</v>
      </c>
      <c r="J113" s="133">
        <v>17</v>
      </c>
      <c r="K113" s="89">
        <f t="shared" si="49"/>
        <v>229.5</v>
      </c>
      <c r="L113" s="93">
        <f t="shared" si="50"/>
        <v>0.20023696682464456</v>
      </c>
      <c r="M113" s="86">
        <f t="shared" si="42"/>
        <v>144.19444444444446</v>
      </c>
      <c r="N113" s="186"/>
      <c r="O113" s="152"/>
      <c r="P113" s="152"/>
      <c r="Q113" s="2"/>
      <c r="R113" s="2"/>
      <c r="S113" s="2"/>
      <c r="T113" s="2"/>
      <c r="U113" s="2"/>
      <c r="V113" s="2"/>
      <c r="W113" s="2"/>
      <c r="X113" s="2"/>
      <c r="Y113" s="2"/>
      <c r="Z113" s="1"/>
      <c r="AA113" s="1"/>
      <c r="AB113" s="1"/>
      <c r="AC113" s="1"/>
      <c r="AD113" s="1"/>
      <c r="AE113" s="1"/>
      <c r="AF113" s="1"/>
      <c r="AG113" s="1"/>
      <c r="AH113" s="1"/>
      <c r="AI113" s="1"/>
      <c r="AJ113" s="1"/>
    </row>
    <row r="114" spans="1:36" ht="17.25" thickBot="1" x14ac:dyDescent="0.35">
      <c r="A114" s="147"/>
      <c r="B114" s="97">
        <v>43677</v>
      </c>
      <c r="C114" s="103">
        <v>14.75</v>
      </c>
      <c r="D114" s="150"/>
      <c r="E114" s="150"/>
      <c r="F114" s="100">
        <v>262</v>
      </c>
      <c r="G114" s="89">
        <f t="shared" si="47"/>
        <v>1834</v>
      </c>
      <c r="H114" s="100"/>
      <c r="I114" s="89">
        <f t="shared" si="48"/>
        <v>0</v>
      </c>
      <c r="J114" s="100">
        <v>20</v>
      </c>
      <c r="K114" s="89">
        <f t="shared" si="49"/>
        <v>270</v>
      </c>
      <c r="L114" s="93">
        <f t="shared" si="50"/>
        <v>0.15521327014218009</v>
      </c>
      <c r="M114" s="86">
        <f t="shared" si="42"/>
        <v>142.64406779661016</v>
      </c>
      <c r="N114" s="186"/>
      <c r="O114" s="152"/>
      <c r="P114" s="152"/>
      <c r="Q114" s="2"/>
      <c r="R114" s="2"/>
      <c r="S114" s="2"/>
      <c r="T114" s="2"/>
      <c r="U114" s="2"/>
      <c r="V114" s="2"/>
      <c r="W114" s="2"/>
      <c r="X114" s="2"/>
      <c r="Y114" s="2"/>
      <c r="Z114" s="1"/>
      <c r="AA114" s="1"/>
      <c r="AB114" s="1"/>
      <c r="AC114" s="1"/>
      <c r="AD114" s="1"/>
      <c r="AE114" s="1"/>
      <c r="AF114" s="1"/>
      <c r="AG114" s="1"/>
      <c r="AH114" s="1"/>
      <c r="AI114" s="1"/>
      <c r="AJ114" s="1"/>
    </row>
    <row r="115" spans="1:36" ht="17.25" thickBot="1" x14ac:dyDescent="0.35">
      <c r="A115" s="147"/>
      <c r="B115" s="97">
        <v>43678</v>
      </c>
      <c r="C115" s="103">
        <v>18</v>
      </c>
      <c r="D115" s="150"/>
      <c r="E115" s="150"/>
      <c r="F115" s="100">
        <f>75*4+25</f>
        <v>325</v>
      </c>
      <c r="G115" s="89">
        <f t="shared" si="47"/>
        <v>2275</v>
      </c>
      <c r="H115" s="100"/>
      <c r="I115" s="89">
        <f t="shared" si="48"/>
        <v>0</v>
      </c>
      <c r="J115" s="100">
        <v>18</v>
      </c>
      <c r="K115" s="89">
        <f t="shared" si="49"/>
        <v>243</v>
      </c>
      <c r="L115" s="93">
        <f t="shared" si="50"/>
        <v>0.19253554502369669</v>
      </c>
      <c r="M115" s="86">
        <f t="shared" si="42"/>
        <v>139.88888888888889</v>
      </c>
      <c r="N115" s="186"/>
      <c r="O115" s="152"/>
      <c r="P115" s="152"/>
      <c r="Q115" s="2"/>
      <c r="R115" s="2"/>
      <c r="S115" s="2"/>
      <c r="T115" s="2"/>
      <c r="U115" s="2"/>
      <c r="V115" s="2"/>
      <c r="W115" s="2"/>
      <c r="X115" s="2"/>
      <c r="Y115" s="2"/>
      <c r="Z115" s="1"/>
      <c r="AA115" s="1"/>
      <c r="AB115" s="1"/>
      <c r="AC115" s="1"/>
      <c r="AD115" s="1"/>
      <c r="AE115" s="1"/>
      <c r="AF115" s="1"/>
      <c r="AG115" s="1"/>
      <c r="AH115" s="1"/>
      <c r="AI115" s="1"/>
      <c r="AJ115" s="1"/>
    </row>
    <row r="116" spans="1:36" ht="17.25" thickBot="1" x14ac:dyDescent="0.35">
      <c r="A116" s="147"/>
      <c r="B116" s="97">
        <v>43679</v>
      </c>
      <c r="C116" s="103">
        <f>8+18</f>
        <v>26</v>
      </c>
      <c r="D116" s="150"/>
      <c r="E116" s="150"/>
      <c r="F116" s="100">
        <f>75*5+60+50</f>
        <v>485</v>
      </c>
      <c r="G116" s="89">
        <f t="shared" si="47"/>
        <v>3395</v>
      </c>
      <c r="H116" s="100"/>
      <c r="I116" s="89">
        <f t="shared" si="48"/>
        <v>0</v>
      </c>
      <c r="J116" s="100">
        <f>13+15</f>
        <v>28</v>
      </c>
      <c r="K116" s="89">
        <f t="shared" si="49"/>
        <v>378</v>
      </c>
      <c r="L116" s="93">
        <f t="shared" si="50"/>
        <v>0.28732227488151657</v>
      </c>
      <c r="M116" s="86">
        <f t="shared" si="42"/>
        <v>145.11538461538461</v>
      </c>
      <c r="N116" s="186"/>
      <c r="O116" s="152"/>
      <c r="P116" s="152"/>
      <c r="Q116" s="2"/>
      <c r="R116" s="2"/>
      <c r="S116" s="2"/>
      <c r="T116" s="2"/>
      <c r="U116" s="2"/>
      <c r="V116" s="2"/>
      <c r="W116" s="2"/>
      <c r="X116" s="2"/>
      <c r="Y116" s="2"/>
      <c r="Z116" s="1"/>
      <c r="AA116" s="1"/>
      <c r="AB116" s="1"/>
      <c r="AC116" s="1"/>
      <c r="AD116" s="1"/>
      <c r="AE116" s="1"/>
      <c r="AF116" s="1"/>
      <c r="AG116" s="1"/>
      <c r="AH116" s="1"/>
      <c r="AI116" s="1"/>
      <c r="AJ116" s="1"/>
    </row>
    <row r="117" spans="1:36" ht="17.25" thickBot="1" x14ac:dyDescent="0.35">
      <c r="A117" s="148"/>
      <c r="B117" s="97"/>
      <c r="C117" s="103"/>
      <c r="D117" s="151"/>
      <c r="E117" s="151"/>
      <c r="F117" s="100"/>
      <c r="G117" s="90">
        <f t="shared" si="47"/>
        <v>0</v>
      </c>
      <c r="H117" s="101"/>
      <c r="I117" s="90">
        <f t="shared" si="48"/>
        <v>0</v>
      </c>
      <c r="J117" s="100"/>
      <c r="K117" s="90">
        <f t="shared" si="49"/>
        <v>0</v>
      </c>
      <c r="L117" s="94">
        <f t="shared" si="50"/>
        <v>0</v>
      </c>
      <c r="M117" s="88" t="str">
        <f t="shared" si="42"/>
        <v/>
      </c>
      <c r="N117" s="186"/>
      <c r="O117" s="152"/>
      <c r="P117" s="152"/>
      <c r="Q117" s="2"/>
      <c r="R117" s="2"/>
      <c r="S117" s="2"/>
      <c r="T117" s="2"/>
      <c r="U117" s="2"/>
      <c r="V117" s="2"/>
      <c r="W117" s="2"/>
      <c r="X117" s="2"/>
      <c r="Y117" s="2"/>
      <c r="Z117" s="1"/>
      <c r="AA117" s="1"/>
      <c r="AB117" s="1"/>
      <c r="AC117" s="1"/>
      <c r="AD117" s="1"/>
      <c r="AE117" s="1"/>
      <c r="AF117" s="1"/>
      <c r="AG117" s="1"/>
      <c r="AH117" s="1"/>
      <c r="AI117" s="1"/>
      <c r="AJ117" s="1"/>
    </row>
    <row r="118" spans="1:36" ht="17.25" thickBot="1" x14ac:dyDescent="0.35">
      <c r="A118" s="147">
        <v>32</v>
      </c>
      <c r="B118" s="105">
        <v>43682</v>
      </c>
      <c r="C118" s="102">
        <v>21</v>
      </c>
      <c r="D118" s="149">
        <f t="shared" ref="D118" si="76">SUM(G118:G123)+SUM(I118:I123)</f>
        <v>17353</v>
      </c>
      <c r="E118" s="149">
        <f t="shared" ref="E118" si="77">SUM(G118:G123,K118:K123,H118:H123)</f>
        <v>18446.5</v>
      </c>
      <c r="F118" s="102">
        <f>75*7+21</f>
        <v>546</v>
      </c>
      <c r="G118" s="89">
        <f t="shared" si="47"/>
        <v>3822</v>
      </c>
      <c r="H118" s="99"/>
      <c r="I118" s="89">
        <f t="shared" si="48"/>
        <v>0</v>
      </c>
      <c r="J118" s="99">
        <v>20</v>
      </c>
      <c r="K118" s="89">
        <f t="shared" si="49"/>
        <v>270</v>
      </c>
      <c r="L118" s="93">
        <f t="shared" si="50"/>
        <v>0.32345971563981041</v>
      </c>
      <c r="M118" s="86">
        <f t="shared" si="42"/>
        <v>194.85714285714286</v>
      </c>
      <c r="N118" s="186">
        <f>AVERAGE(M118:M123)</f>
        <v>143.33159106593888</v>
      </c>
      <c r="O118" s="152">
        <f t="shared" ref="O118" si="78">SUM(L118:L123)</f>
        <v>1.4686018957345972</v>
      </c>
      <c r="P118" s="152">
        <v>1.4680094786729856</v>
      </c>
      <c r="Q118" s="2"/>
      <c r="R118" s="2"/>
      <c r="S118" s="2"/>
      <c r="T118" s="2"/>
      <c r="U118" s="2"/>
      <c r="V118" s="2"/>
      <c r="W118" s="2"/>
      <c r="X118" s="2"/>
      <c r="Y118" s="2"/>
      <c r="Z118" s="1"/>
      <c r="AA118" s="1"/>
      <c r="AB118" s="1"/>
      <c r="AC118" s="1"/>
      <c r="AD118" s="1"/>
      <c r="AE118" s="1"/>
      <c r="AF118" s="1"/>
      <c r="AG118" s="1"/>
      <c r="AH118" s="1"/>
      <c r="AI118" s="1"/>
      <c r="AJ118" s="1"/>
    </row>
    <row r="119" spans="1:36" ht="17.25" thickBot="1" x14ac:dyDescent="0.35">
      <c r="A119" s="147"/>
      <c r="B119" s="97">
        <v>43683</v>
      </c>
      <c r="C119" s="103">
        <f>9*5</f>
        <v>45</v>
      </c>
      <c r="D119" s="150"/>
      <c r="E119" s="150"/>
      <c r="F119" s="100">
        <f>75*8+25+53+69+54</f>
        <v>801</v>
      </c>
      <c r="G119" s="89">
        <f t="shared" si="47"/>
        <v>5607</v>
      </c>
      <c r="H119" s="100"/>
      <c r="I119" s="89">
        <f t="shared" si="48"/>
        <v>0</v>
      </c>
      <c r="J119" s="100">
        <v>20</v>
      </c>
      <c r="K119" s="89">
        <f t="shared" si="49"/>
        <v>270</v>
      </c>
      <c r="L119" s="93">
        <f t="shared" si="50"/>
        <v>0.47452606635071087</v>
      </c>
      <c r="M119" s="86">
        <f t="shared" si="42"/>
        <v>130.6</v>
      </c>
      <c r="N119" s="186"/>
      <c r="O119" s="152"/>
      <c r="P119" s="152"/>
      <c r="Q119" s="2"/>
      <c r="R119" s="2"/>
      <c r="S119" s="2"/>
      <c r="T119" s="2"/>
      <c r="U119" s="2"/>
      <c r="V119" s="2"/>
      <c r="W119" s="2"/>
      <c r="X119" s="2"/>
      <c r="Y119" s="2"/>
      <c r="Z119" s="1"/>
      <c r="AA119" s="1"/>
      <c r="AB119" s="1"/>
      <c r="AC119" s="1"/>
      <c r="AD119" s="1"/>
      <c r="AE119" s="1"/>
      <c r="AF119" s="1"/>
      <c r="AG119" s="1"/>
      <c r="AH119" s="1"/>
      <c r="AI119" s="1"/>
      <c r="AJ119" s="1"/>
    </row>
    <row r="120" spans="1:36" ht="17.25" thickBot="1" x14ac:dyDescent="0.35">
      <c r="A120" s="147"/>
      <c r="B120" s="97">
        <v>43684</v>
      </c>
      <c r="C120" s="103">
        <f>18+5</f>
        <v>23</v>
      </c>
      <c r="D120" s="150"/>
      <c r="E120" s="150"/>
      <c r="F120" s="100">
        <f>75*5+36</f>
        <v>411</v>
      </c>
      <c r="G120" s="89">
        <f t="shared" si="47"/>
        <v>2877</v>
      </c>
      <c r="H120" s="100"/>
      <c r="I120" s="89">
        <f t="shared" si="48"/>
        <v>0</v>
      </c>
      <c r="J120" s="100">
        <v>14</v>
      </c>
      <c r="K120" s="89">
        <f t="shared" si="49"/>
        <v>189</v>
      </c>
      <c r="L120" s="93">
        <f t="shared" si="50"/>
        <v>0.24348341232227488</v>
      </c>
      <c r="M120" s="86">
        <f t="shared" si="42"/>
        <v>133.30434782608697</v>
      </c>
      <c r="N120" s="186"/>
      <c r="O120" s="152"/>
      <c r="P120" s="152"/>
      <c r="Q120" s="2"/>
      <c r="R120" s="2"/>
      <c r="S120" s="2"/>
      <c r="T120" s="2"/>
      <c r="U120" s="2"/>
      <c r="V120" s="2"/>
      <c r="W120" s="2"/>
      <c r="X120" s="2"/>
      <c r="Y120" s="2"/>
      <c r="Z120" s="1"/>
      <c r="AA120" s="1"/>
      <c r="AB120" s="1"/>
      <c r="AC120" s="1"/>
      <c r="AD120" s="1"/>
      <c r="AE120" s="1"/>
      <c r="AF120" s="1"/>
      <c r="AG120" s="1"/>
      <c r="AH120" s="1"/>
      <c r="AI120" s="1"/>
      <c r="AJ120" s="1"/>
    </row>
    <row r="121" spans="1:36" ht="17.25" thickBot="1" x14ac:dyDescent="0.35">
      <c r="A121" s="147"/>
      <c r="B121" s="97">
        <v>43685</v>
      </c>
      <c r="C121" s="103">
        <v>18</v>
      </c>
      <c r="D121" s="150"/>
      <c r="E121" s="150"/>
      <c r="F121" s="100">
        <f>75*4+45</f>
        <v>345</v>
      </c>
      <c r="G121" s="89">
        <f t="shared" si="47"/>
        <v>2415</v>
      </c>
      <c r="H121" s="100"/>
      <c r="I121" s="89">
        <f t="shared" si="48"/>
        <v>0</v>
      </c>
      <c r="J121" s="100">
        <v>13</v>
      </c>
      <c r="K121" s="89">
        <f t="shared" si="49"/>
        <v>175.5</v>
      </c>
      <c r="L121" s="93">
        <f t="shared" si="50"/>
        <v>0.20438388625592416</v>
      </c>
      <c r="M121" s="86">
        <f t="shared" si="42"/>
        <v>143.91666666666666</v>
      </c>
      <c r="N121" s="186"/>
      <c r="O121" s="152"/>
      <c r="P121" s="152"/>
      <c r="Q121" s="2"/>
      <c r="R121" s="2"/>
      <c r="S121" s="2"/>
      <c r="T121" s="2"/>
      <c r="U121" s="2"/>
      <c r="V121" s="2"/>
      <c r="W121" s="2"/>
      <c r="X121" s="2"/>
      <c r="Y121" s="2"/>
      <c r="Z121" s="1"/>
      <c r="AA121" s="1"/>
      <c r="AB121" s="1"/>
      <c r="AC121" s="1"/>
      <c r="AD121" s="1"/>
      <c r="AE121" s="1"/>
      <c r="AF121" s="1"/>
      <c r="AG121" s="1"/>
      <c r="AH121" s="1"/>
      <c r="AI121" s="1"/>
      <c r="AJ121" s="1"/>
    </row>
    <row r="122" spans="1:36" ht="17.25" thickBot="1" x14ac:dyDescent="0.35">
      <c r="A122" s="147"/>
      <c r="B122" s="97">
        <v>43686</v>
      </c>
      <c r="C122" s="103">
        <f>9+4.75+4+2+1+4</f>
        <v>24.75</v>
      </c>
      <c r="D122" s="150"/>
      <c r="E122" s="150"/>
      <c r="F122" s="100">
        <f>75*4+76</f>
        <v>376</v>
      </c>
      <c r="G122" s="89">
        <f t="shared" si="47"/>
        <v>2632</v>
      </c>
      <c r="H122" s="100"/>
      <c r="I122" s="89">
        <f t="shared" si="48"/>
        <v>0</v>
      </c>
      <c r="J122" s="100">
        <v>14</v>
      </c>
      <c r="K122" s="89">
        <f t="shared" si="49"/>
        <v>189</v>
      </c>
      <c r="L122" s="93">
        <f t="shared" si="50"/>
        <v>0.22274881516587677</v>
      </c>
      <c r="M122" s="86">
        <f t="shared" si="42"/>
        <v>113.97979797979798</v>
      </c>
      <c r="N122" s="186"/>
      <c r="O122" s="152"/>
      <c r="P122" s="152"/>
      <c r="Q122" s="2"/>
      <c r="R122" s="2"/>
      <c r="S122" s="2"/>
      <c r="T122" s="2"/>
      <c r="U122" s="2"/>
      <c r="V122" s="2"/>
      <c r="W122" s="2"/>
      <c r="X122" s="2"/>
      <c r="Y122" s="2"/>
      <c r="Z122" s="1"/>
      <c r="AA122" s="1"/>
      <c r="AB122" s="1"/>
      <c r="AC122" s="1"/>
      <c r="AD122" s="1"/>
      <c r="AE122" s="1"/>
      <c r="AF122" s="1"/>
      <c r="AG122" s="1"/>
      <c r="AH122" s="1"/>
      <c r="AI122" s="1"/>
      <c r="AJ122" s="1"/>
    </row>
    <row r="123" spans="1:36" ht="17.25" thickBot="1" x14ac:dyDescent="0.35">
      <c r="A123" s="147"/>
      <c r="B123" s="97"/>
      <c r="C123" s="141"/>
      <c r="D123" s="151"/>
      <c r="E123" s="151"/>
      <c r="F123" s="100"/>
      <c r="G123" s="89">
        <f>F123*F$3</f>
        <v>0</v>
      </c>
      <c r="H123" s="101"/>
      <c r="I123" s="89">
        <f t="shared" si="48"/>
        <v>0</v>
      </c>
      <c r="J123" s="101"/>
      <c r="K123" s="89">
        <f t="shared" si="49"/>
        <v>0</v>
      </c>
      <c r="L123" s="93">
        <f t="shared" si="50"/>
        <v>0</v>
      </c>
      <c r="M123" s="86" t="str">
        <f t="shared" si="42"/>
        <v/>
      </c>
      <c r="N123" s="186"/>
      <c r="O123" s="152"/>
      <c r="P123" s="152"/>
      <c r="Q123" s="2"/>
      <c r="R123" s="2"/>
      <c r="S123" s="2"/>
      <c r="T123" s="2"/>
      <c r="U123" s="2"/>
      <c r="V123" s="2"/>
      <c r="W123" s="2"/>
      <c r="X123" s="2"/>
      <c r="Y123" s="2"/>
      <c r="Z123" s="1"/>
      <c r="AA123" s="1"/>
      <c r="AB123" s="1"/>
      <c r="AC123" s="1"/>
      <c r="AD123" s="1"/>
      <c r="AE123" s="1"/>
      <c r="AF123" s="1"/>
      <c r="AG123" s="1"/>
      <c r="AH123" s="1"/>
      <c r="AI123" s="1"/>
      <c r="AJ123" s="1"/>
    </row>
    <row r="124" spans="1:36" ht="17.25" thickBot="1" x14ac:dyDescent="0.35">
      <c r="A124" s="146">
        <v>33</v>
      </c>
      <c r="B124" s="105">
        <v>43689</v>
      </c>
      <c r="C124" s="102">
        <v>27</v>
      </c>
      <c r="D124" s="149">
        <f t="shared" ref="D124" si="79">SUM(G124:G129)+SUM(I124:I129)</f>
        <v>8953</v>
      </c>
      <c r="E124" s="149">
        <f t="shared" ref="E124" si="80">SUM(G124:G129,K124:K129,H124:H129)</f>
        <v>10100.5</v>
      </c>
      <c r="F124" s="99">
        <f>75*6+56</f>
        <v>506</v>
      </c>
      <c r="G124" s="91">
        <f t="shared" si="47"/>
        <v>3542</v>
      </c>
      <c r="H124" s="99"/>
      <c r="I124" s="91">
        <f t="shared" si="48"/>
        <v>0</v>
      </c>
      <c r="J124" s="99">
        <v>20</v>
      </c>
      <c r="K124" s="91">
        <f t="shared" si="49"/>
        <v>270</v>
      </c>
      <c r="L124" s="92">
        <f t="shared" si="50"/>
        <v>0.29976303317535546</v>
      </c>
      <c r="M124" s="83">
        <f t="shared" si="42"/>
        <v>141.18518518518519</v>
      </c>
      <c r="N124" s="186">
        <f t="shared" ref="N124" si="81">AVERAGE(M124:M129)</f>
        <v>112.40459456609543</v>
      </c>
      <c r="O124" s="152">
        <f t="shared" ref="O124" si="82">SUM(L124:L129)</f>
        <v>0.75770142180094791</v>
      </c>
      <c r="P124" s="152">
        <v>0.40758293838862564</v>
      </c>
      <c r="Q124" s="2"/>
      <c r="R124" s="2"/>
      <c r="S124" s="2"/>
      <c r="T124" s="2"/>
      <c r="U124" s="2"/>
      <c r="V124" s="2"/>
      <c r="W124" s="2"/>
      <c r="X124" s="2"/>
      <c r="Y124" s="2"/>
      <c r="Z124" s="1"/>
      <c r="AA124" s="1"/>
      <c r="AB124" s="1"/>
      <c r="AC124" s="1"/>
      <c r="AD124" s="1"/>
      <c r="AE124" s="1"/>
      <c r="AF124" s="1"/>
      <c r="AG124" s="1"/>
      <c r="AH124" s="1"/>
      <c r="AI124" s="1"/>
      <c r="AJ124" s="1"/>
    </row>
    <row r="125" spans="1:36" ht="17.25" thickBot="1" x14ac:dyDescent="0.35">
      <c r="A125" s="147"/>
      <c r="B125" s="97">
        <v>43690</v>
      </c>
      <c r="C125" s="103">
        <v>19</v>
      </c>
      <c r="D125" s="150"/>
      <c r="E125" s="150"/>
      <c r="F125" s="100">
        <f>75*4+8+19</f>
        <v>327</v>
      </c>
      <c r="G125" s="89">
        <f t="shared" si="47"/>
        <v>2289</v>
      </c>
      <c r="H125" s="100"/>
      <c r="I125" s="89">
        <f t="shared" si="48"/>
        <v>0</v>
      </c>
      <c r="J125" s="100">
        <v>16</v>
      </c>
      <c r="K125" s="89">
        <f t="shared" si="49"/>
        <v>216</v>
      </c>
      <c r="L125" s="93">
        <f t="shared" si="50"/>
        <v>0.19372037914691942</v>
      </c>
      <c r="M125" s="85">
        <f t="shared" si="42"/>
        <v>131.84210526315789</v>
      </c>
      <c r="N125" s="186"/>
      <c r="O125" s="152"/>
      <c r="P125" s="152"/>
      <c r="Q125" s="2"/>
      <c r="R125" s="2"/>
      <c r="S125" s="2"/>
      <c r="T125" s="2"/>
      <c r="U125" s="2"/>
      <c r="V125" s="2"/>
      <c r="W125" s="2"/>
      <c r="X125" s="2"/>
      <c r="Y125" s="2"/>
      <c r="Z125" s="1"/>
      <c r="AA125" s="1"/>
      <c r="AB125" s="1"/>
      <c r="AC125" s="1"/>
      <c r="AD125" s="1"/>
      <c r="AE125" s="1"/>
      <c r="AF125" s="1"/>
      <c r="AG125" s="1"/>
      <c r="AH125" s="1"/>
      <c r="AI125" s="1"/>
      <c r="AJ125" s="1"/>
    </row>
    <row r="126" spans="1:36" ht="17.25" thickBot="1" x14ac:dyDescent="0.35">
      <c r="A126" s="147"/>
      <c r="B126" s="97">
        <v>43691</v>
      </c>
      <c r="C126" s="103">
        <v>7.75</v>
      </c>
      <c r="D126" s="150"/>
      <c r="E126" s="150"/>
      <c r="F126" s="100">
        <f>65+24</f>
        <v>89</v>
      </c>
      <c r="G126" s="89">
        <f t="shared" si="47"/>
        <v>623</v>
      </c>
      <c r="H126" s="100"/>
      <c r="I126" s="89">
        <f t="shared" si="48"/>
        <v>0</v>
      </c>
      <c r="J126" s="100">
        <v>10</v>
      </c>
      <c r="K126" s="89">
        <f t="shared" si="49"/>
        <v>135</v>
      </c>
      <c r="L126" s="93">
        <f t="shared" si="50"/>
        <v>5.2725118483412325E-2</v>
      </c>
      <c r="M126" s="85">
        <f t="shared" si="42"/>
        <v>97.806451612903231</v>
      </c>
      <c r="N126" s="186"/>
      <c r="O126" s="152"/>
      <c r="P126" s="152"/>
      <c r="Q126" s="2"/>
      <c r="R126" s="2"/>
      <c r="S126" s="2"/>
      <c r="T126" s="2"/>
      <c r="U126" s="2"/>
      <c r="V126" s="2"/>
      <c r="W126" s="2"/>
      <c r="X126" s="2"/>
      <c r="Y126" s="2"/>
      <c r="Z126" s="1"/>
      <c r="AA126" s="1"/>
      <c r="AB126" s="1"/>
      <c r="AC126" s="1"/>
      <c r="AD126" s="1"/>
      <c r="AE126" s="1"/>
      <c r="AF126" s="1"/>
      <c r="AG126" s="1"/>
      <c r="AH126" s="1"/>
      <c r="AI126" s="1"/>
      <c r="AJ126" s="1"/>
    </row>
    <row r="127" spans="1:36" ht="17.25" thickBot="1" x14ac:dyDescent="0.35">
      <c r="A127" s="147"/>
      <c r="B127" s="97"/>
      <c r="C127" s="103"/>
      <c r="D127" s="150"/>
      <c r="E127" s="150"/>
      <c r="F127" s="100"/>
      <c r="G127" s="89">
        <f t="shared" si="47"/>
        <v>0</v>
      </c>
      <c r="H127" s="100"/>
      <c r="I127" s="89">
        <f t="shared" si="48"/>
        <v>0</v>
      </c>
      <c r="J127" s="100"/>
      <c r="K127" s="89">
        <f t="shared" si="49"/>
        <v>0</v>
      </c>
      <c r="L127" s="93">
        <f t="shared" si="50"/>
        <v>0</v>
      </c>
      <c r="M127" s="85" t="str">
        <f t="shared" si="42"/>
        <v/>
      </c>
      <c r="N127" s="186"/>
      <c r="O127" s="152"/>
      <c r="P127" s="152"/>
      <c r="Q127" s="2"/>
      <c r="R127" s="2"/>
      <c r="S127" s="2"/>
      <c r="T127" s="2"/>
      <c r="U127" s="2"/>
      <c r="V127" s="2"/>
      <c r="W127" s="2"/>
      <c r="X127" s="2"/>
      <c r="Y127" s="2"/>
      <c r="Z127" s="1"/>
      <c r="AA127" s="1"/>
      <c r="AB127" s="1"/>
      <c r="AC127" s="1"/>
      <c r="AD127" s="1"/>
      <c r="AE127" s="1"/>
      <c r="AF127" s="1"/>
      <c r="AG127" s="1"/>
      <c r="AH127" s="1"/>
      <c r="AI127" s="1"/>
      <c r="AJ127" s="1"/>
    </row>
    <row r="128" spans="1:36" ht="17.25" thickBot="1" x14ac:dyDescent="0.35">
      <c r="A128" s="147"/>
      <c r="B128" s="97">
        <v>43693</v>
      </c>
      <c r="C128" s="103">
        <f>9.25+5+4.5</f>
        <v>18.75</v>
      </c>
      <c r="D128" s="150"/>
      <c r="E128" s="150"/>
      <c r="F128" s="100">
        <f>75+46+29+63</f>
        <v>213</v>
      </c>
      <c r="G128" s="89">
        <f t="shared" si="47"/>
        <v>1491</v>
      </c>
      <c r="H128" s="100"/>
      <c r="I128" s="89">
        <f t="shared" si="48"/>
        <v>0</v>
      </c>
      <c r="J128" s="100">
        <v>20</v>
      </c>
      <c r="K128" s="89">
        <f t="shared" si="49"/>
        <v>270</v>
      </c>
      <c r="L128" s="93">
        <f t="shared" si="50"/>
        <v>0.12618483412322276</v>
      </c>
      <c r="M128" s="85">
        <f t="shared" si="42"/>
        <v>93.92</v>
      </c>
      <c r="N128" s="186"/>
      <c r="O128" s="152"/>
      <c r="P128" s="152"/>
      <c r="Q128" s="2"/>
      <c r="R128" s="2"/>
      <c r="S128" s="2"/>
      <c r="T128" s="2"/>
      <c r="U128" s="2"/>
      <c r="V128" s="2"/>
      <c r="W128" s="2"/>
      <c r="X128" s="2"/>
      <c r="Y128" s="2"/>
      <c r="Z128" s="1"/>
      <c r="AA128" s="1"/>
      <c r="AB128" s="1"/>
      <c r="AC128" s="1"/>
      <c r="AD128" s="1"/>
      <c r="AE128" s="1"/>
      <c r="AF128" s="1"/>
      <c r="AG128" s="1"/>
      <c r="AH128" s="1"/>
      <c r="AI128" s="1"/>
      <c r="AJ128" s="1"/>
    </row>
    <row r="129" spans="1:36" ht="17.25" thickBot="1" x14ac:dyDescent="0.35">
      <c r="A129" s="148"/>
      <c r="B129" s="98">
        <v>43694</v>
      </c>
      <c r="C129" s="104">
        <f>5+8</f>
        <v>13</v>
      </c>
      <c r="D129" s="151"/>
      <c r="E129" s="151"/>
      <c r="F129" s="101">
        <f>12+75+57</f>
        <v>144</v>
      </c>
      <c r="G129" s="90">
        <f t="shared" si="47"/>
        <v>1008</v>
      </c>
      <c r="H129" s="101"/>
      <c r="I129" s="90">
        <f t="shared" si="48"/>
        <v>0</v>
      </c>
      <c r="J129" s="101">
        <v>19</v>
      </c>
      <c r="K129" s="90">
        <f t="shared" si="49"/>
        <v>256.5</v>
      </c>
      <c r="L129" s="94">
        <f t="shared" si="50"/>
        <v>8.5308056872037921E-2</v>
      </c>
      <c r="M129" s="87">
        <f t="shared" si="42"/>
        <v>97.269230769230774</v>
      </c>
      <c r="N129" s="186"/>
      <c r="O129" s="152"/>
      <c r="P129" s="152"/>
      <c r="Q129" s="2"/>
      <c r="R129" s="2"/>
      <c r="S129" s="2"/>
      <c r="T129" s="2"/>
      <c r="U129" s="2"/>
      <c r="V129" s="2"/>
      <c r="W129" s="2"/>
      <c r="X129" s="2"/>
      <c r="Y129" s="2"/>
      <c r="Z129" s="1"/>
      <c r="AA129" s="1"/>
      <c r="AB129" s="1"/>
      <c r="AC129" s="1"/>
      <c r="AD129" s="1"/>
      <c r="AE129" s="1"/>
      <c r="AF129" s="1"/>
      <c r="AG129" s="1"/>
      <c r="AH129" s="1"/>
      <c r="AI129" s="1"/>
      <c r="AJ129" s="1"/>
    </row>
    <row r="130" spans="1:36" ht="17.25" thickBot="1" x14ac:dyDescent="0.35">
      <c r="A130" s="147">
        <v>34</v>
      </c>
      <c r="B130" s="105">
        <v>43727</v>
      </c>
      <c r="C130" s="102">
        <v>18</v>
      </c>
      <c r="D130" s="149">
        <f t="shared" ref="D130" si="83">SUM(G130:G135)+SUM(I130:I135)</f>
        <v>6181</v>
      </c>
      <c r="E130" s="149">
        <f t="shared" ref="E130" si="84">SUM(G130:G135,K130:K135,H130:H135)</f>
        <v>7733.5</v>
      </c>
      <c r="F130" s="99">
        <v>246</v>
      </c>
      <c r="G130" s="89">
        <f t="shared" si="47"/>
        <v>1722</v>
      </c>
      <c r="H130" s="99"/>
      <c r="I130" s="89">
        <f t="shared" si="48"/>
        <v>0</v>
      </c>
      <c r="J130" s="99">
        <v>16</v>
      </c>
      <c r="K130" s="89">
        <f t="shared" si="49"/>
        <v>216</v>
      </c>
      <c r="L130" s="93">
        <f t="shared" si="50"/>
        <v>0.14573459715639811</v>
      </c>
      <c r="M130" s="83">
        <f t="shared" si="42"/>
        <v>107.66666666666667</v>
      </c>
      <c r="N130" s="186">
        <f>AVERAGE(M130:M135)</f>
        <v>112.86125356125358</v>
      </c>
      <c r="O130" s="152">
        <f t="shared" ref="O130" si="85">SUM(L130:L135)</f>
        <v>0.5231042654028436</v>
      </c>
      <c r="P130" s="152">
        <v>0.52369668246445489</v>
      </c>
      <c r="Q130" s="2"/>
      <c r="R130" s="2"/>
      <c r="S130" s="2"/>
      <c r="T130" s="2"/>
      <c r="U130" s="2"/>
      <c r="V130" s="2"/>
      <c r="W130" s="2"/>
      <c r="X130" s="2"/>
      <c r="Y130" s="2"/>
      <c r="Z130" s="1"/>
      <c r="AA130" s="1"/>
      <c r="AB130" s="1"/>
      <c r="AC130" s="1"/>
      <c r="AD130" s="1"/>
      <c r="AE130" s="1"/>
      <c r="AF130" s="1"/>
      <c r="AG130" s="1"/>
      <c r="AH130" s="1"/>
      <c r="AI130" s="1"/>
      <c r="AJ130" s="1"/>
    </row>
    <row r="131" spans="1:36" ht="17.25" thickBot="1" x14ac:dyDescent="0.35">
      <c r="A131" s="147"/>
      <c r="B131" s="97">
        <v>43728</v>
      </c>
      <c r="C131" s="103">
        <v>16.25</v>
      </c>
      <c r="D131" s="150"/>
      <c r="E131" s="150"/>
      <c r="F131" s="100">
        <v>199</v>
      </c>
      <c r="G131" s="89">
        <f t="shared" si="47"/>
        <v>1393</v>
      </c>
      <c r="H131" s="100"/>
      <c r="I131" s="89">
        <f t="shared" si="48"/>
        <v>0</v>
      </c>
      <c r="J131" s="100">
        <v>25</v>
      </c>
      <c r="K131" s="89">
        <f t="shared" si="49"/>
        <v>337.5</v>
      </c>
      <c r="L131" s="93">
        <f t="shared" si="50"/>
        <v>0.1178909952606635</v>
      </c>
      <c r="M131" s="85">
        <f t="shared" si="42"/>
        <v>106.49230769230769</v>
      </c>
      <c r="N131" s="186"/>
      <c r="O131" s="152"/>
      <c r="P131" s="152"/>
      <c r="Q131" s="2"/>
      <c r="R131" s="2"/>
      <c r="S131" s="2"/>
      <c r="T131" s="2"/>
      <c r="U131" s="2"/>
      <c r="V131" s="2"/>
      <c r="W131" s="2"/>
      <c r="X131" s="2"/>
      <c r="Y131" s="2"/>
      <c r="Z131" s="1"/>
      <c r="AA131" s="1"/>
      <c r="AB131" s="1"/>
      <c r="AC131" s="1"/>
      <c r="AD131" s="1"/>
      <c r="AE131" s="1"/>
      <c r="AF131" s="1"/>
      <c r="AG131" s="1"/>
      <c r="AH131" s="1"/>
      <c r="AI131" s="1"/>
      <c r="AJ131" s="1"/>
    </row>
    <row r="132" spans="1:36" ht="17.25" thickBot="1" x14ac:dyDescent="0.35">
      <c r="A132" s="147"/>
      <c r="B132" s="97">
        <v>43729</v>
      </c>
      <c r="C132" s="103">
        <v>5</v>
      </c>
      <c r="D132" s="150"/>
      <c r="E132" s="150"/>
      <c r="F132" s="100">
        <v>54</v>
      </c>
      <c r="G132" s="89">
        <f t="shared" si="47"/>
        <v>378</v>
      </c>
      <c r="H132" s="100"/>
      <c r="I132" s="89">
        <f t="shared" si="48"/>
        <v>0</v>
      </c>
      <c r="J132" s="100">
        <v>7</v>
      </c>
      <c r="K132" s="89">
        <f t="shared" si="49"/>
        <v>94.5</v>
      </c>
      <c r="L132" s="93">
        <f t="shared" si="50"/>
        <v>3.1990521327014215E-2</v>
      </c>
      <c r="M132" s="85">
        <f t="shared" si="42"/>
        <v>94.5</v>
      </c>
      <c r="N132" s="186"/>
      <c r="O132" s="152"/>
      <c r="P132" s="152"/>
      <c r="Q132" s="2"/>
      <c r="R132" s="2"/>
      <c r="S132" s="2"/>
      <c r="T132" s="2"/>
      <c r="U132" s="2"/>
      <c r="V132" s="2"/>
      <c r="W132" s="2"/>
      <c r="X132" s="2"/>
      <c r="Y132" s="2"/>
      <c r="Z132" s="1"/>
      <c r="AA132" s="1"/>
      <c r="AB132" s="1"/>
      <c r="AC132" s="1"/>
      <c r="AD132" s="1"/>
      <c r="AE132" s="1"/>
      <c r="AF132" s="1"/>
      <c r="AG132" s="1"/>
      <c r="AH132" s="1"/>
      <c r="AI132" s="1"/>
      <c r="AJ132" s="1"/>
    </row>
    <row r="133" spans="1:36" ht="17.25" thickBot="1" x14ac:dyDescent="0.35">
      <c r="A133" s="147"/>
      <c r="B133" s="97">
        <v>43730</v>
      </c>
      <c r="C133" s="103">
        <v>9</v>
      </c>
      <c r="D133" s="150"/>
      <c r="E133" s="150"/>
      <c r="F133" s="100">
        <v>127</v>
      </c>
      <c r="G133" s="89">
        <f t="shared" si="47"/>
        <v>889</v>
      </c>
      <c r="H133" s="100"/>
      <c r="I133" s="89">
        <f t="shared" si="48"/>
        <v>0</v>
      </c>
      <c r="J133" s="100">
        <v>15</v>
      </c>
      <c r="K133" s="89">
        <f t="shared" si="49"/>
        <v>202.5</v>
      </c>
      <c r="L133" s="93">
        <f t="shared" si="50"/>
        <v>7.5236966824644549E-2</v>
      </c>
      <c r="M133" s="85">
        <f t="shared" ref="M133:M196" si="86">IF(C133=0,"",(G133+K133+I133)/C133)</f>
        <v>121.27777777777777</v>
      </c>
      <c r="N133" s="186"/>
      <c r="O133" s="152"/>
      <c r="P133" s="152"/>
      <c r="Q133" s="2"/>
      <c r="R133" s="2"/>
      <c r="S133" s="2"/>
      <c r="T133" s="2"/>
      <c r="U133" s="2"/>
      <c r="V133" s="2"/>
      <c r="W133" s="2"/>
      <c r="X133" s="2"/>
      <c r="Y133" s="2"/>
      <c r="Z133" s="1"/>
      <c r="AA133" s="1"/>
      <c r="AB133" s="1"/>
      <c r="AC133" s="1"/>
      <c r="AD133" s="1"/>
      <c r="AE133" s="1"/>
      <c r="AF133" s="1"/>
      <c r="AG133" s="1"/>
      <c r="AH133" s="1"/>
      <c r="AI133" s="1"/>
      <c r="AJ133" s="1"/>
    </row>
    <row r="134" spans="1:36" ht="17.25" thickBot="1" x14ac:dyDescent="0.35">
      <c r="A134" s="147"/>
      <c r="B134" s="97">
        <v>43731</v>
      </c>
      <c r="C134" s="103">
        <v>16.25</v>
      </c>
      <c r="D134" s="150"/>
      <c r="E134" s="150"/>
      <c r="F134" s="100">
        <v>180</v>
      </c>
      <c r="G134" s="89">
        <f t="shared" si="47"/>
        <v>1260</v>
      </c>
      <c r="H134" s="100"/>
      <c r="I134" s="89">
        <f t="shared" si="48"/>
        <v>0</v>
      </c>
      <c r="J134" s="100">
        <v>42</v>
      </c>
      <c r="K134" s="89">
        <f t="shared" si="49"/>
        <v>567</v>
      </c>
      <c r="L134" s="93">
        <f t="shared" si="50"/>
        <v>0.1066350710900474</v>
      </c>
      <c r="M134" s="85">
        <f t="shared" si="86"/>
        <v>112.43076923076923</v>
      </c>
      <c r="N134" s="186"/>
      <c r="O134" s="152"/>
      <c r="P134" s="152"/>
      <c r="Q134" s="2"/>
      <c r="R134" s="2"/>
      <c r="S134" s="2"/>
      <c r="T134" s="2"/>
      <c r="U134" s="2"/>
      <c r="V134" s="2"/>
      <c r="W134" s="2"/>
      <c r="X134" s="2"/>
      <c r="Y134" s="2"/>
      <c r="Z134" s="1"/>
      <c r="AA134" s="1"/>
      <c r="AB134" s="1"/>
      <c r="AC134" s="1"/>
      <c r="AD134" s="1"/>
      <c r="AE134" s="1"/>
      <c r="AF134" s="1"/>
      <c r="AG134" s="1"/>
      <c r="AH134" s="1"/>
      <c r="AI134" s="1"/>
      <c r="AJ134" s="1"/>
    </row>
    <row r="135" spans="1:36" ht="17.25" thickBot="1" x14ac:dyDescent="0.35">
      <c r="A135" s="147"/>
      <c r="B135" s="98">
        <v>43732</v>
      </c>
      <c r="C135" s="104">
        <v>5</v>
      </c>
      <c r="D135" s="151"/>
      <c r="E135" s="151"/>
      <c r="F135" s="101">
        <v>77</v>
      </c>
      <c r="G135" s="89">
        <f t="shared" si="47"/>
        <v>539</v>
      </c>
      <c r="H135" s="101"/>
      <c r="I135" s="89">
        <f t="shared" si="48"/>
        <v>0</v>
      </c>
      <c r="J135" s="101">
        <v>10</v>
      </c>
      <c r="K135" s="89">
        <f t="shared" si="49"/>
        <v>135</v>
      </c>
      <c r="L135" s="93">
        <f t="shared" si="50"/>
        <v>4.5616113744075829E-2</v>
      </c>
      <c r="M135" s="87">
        <f t="shared" si="86"/>
        <v>134.80000000000001</v>
      </c>
      <c r="N135" s="186"/>
      <c r="O135" s="152"/>
      <c r="P135" s="152"/>
      <c r="Q135" s="2"/>
      <c r="R135" s="2"/>
      <c r="S135" s="2"/>
      <c r="T135" s="2"/>
      <c r="U135" s="2"/>
      <c r="V135" s="2"/>
      <c r="W135" s="2"/>
      <c r="X135" s="2"/>
      <c r="Y135" s="2"/>
      <c r="Z135" s="1"/>
      <c r="AA135" s="1"/>
      <c r="AB135" s="1"/>
      <c r="AC135" s="1"/>
      <c r="AD135" s="1"/>
      <c r="AE135" s="1"/>
      <c r="AF135" s="1"/>
      <c r="AG135" s="1"/>
      <c r="AH135" s="1"/>
      <c r="AI135" s="1"/>
      <c r="AJ135" s="1"/>
    </row>
    <row r="136" spans="1:36" ht="17.25" thickBot="1" x14ac:dyDescent="0.35">
      <c r="A136" s="146">
        <v>35</v>
      </c>
      <c r="B136" s="105">
        <v>43703</v>
      </c>
      <c r="C136" s="102">
        <v>19</v>
      </c>
      <c r="D136" s="149">
        <f t="shared" ref="D136" si="87">SUM(G136:G141)+SUM(I136:I141)</f>
        <v>9254</v>
      </c>
      <c r="E136" s="149">
        <f t="shared" ref="E136" si="88">SUM(G136:G141,K136:K141,H136:H141)</f>
        <v>13682</v>
      </c>
      <c r="F136" s="99">
        <v>300</v>
      </c>
      <c r="G136" s="91">
        <f t="shared" si="47"/>
        <v>2100</v>
      </c>
      <c r="H136" s="99"/>
      <c r="I136" s="91">
        <f t="shared" si="48"/>
        <v>0</v>
      </c>
      <c r="J136" s="99">
        <v>29</v>
      </c>
      <c r="K136" s="91">
        <f t="shared" si="49"/>
        <v>391.5</v>
      </c>
      <c r="L136" s="92">
        <f t="shared" si="50"/>
        <v>0.17772511848341233</v>
      </c>
      <c r="M136" s="83">
        <f t="shared" si="86"/>
        <v>131.13157894736841</v>
      </c>
      <c r="N136" s="186">
        <f t="shared" ref="N136" si="89">AVERAGE(M136:M141)</f>
        <v>120.73362472138662</v>
      </c>
      <c r="O136" s="152">
        <f t="shared" ref="O136" si="90">SUM(L136:L141)</f>
        <v>0.78317535545023698</v>
      </c>
      <c r="P136" s="152">
        <v>0.95438388625592419</v>
      </c>
      <c r="Q136" s="2"/>
      <c r="R136" s="2"/>
      <c r="S136" s="2"/>
      <c r="T136" s="2"/>
      <c r="U136" s="2"/>
      <c r="V136" s="2"/>
      <c r="W136" s="2"/>
      <c r="X136" s="2"/>
      <c r="Y136" s="2"/>
      <c r="Z136" s="1"/>
      <c r="AA136" s="1"/>
      <c r="AB136" s="1"/>
      <c r="AC136" s="1"/>
      <c r="AD136" s="1"/>
      <c r="AE136" s="1"/>
      <c r="AF136" s="1"/>
      <c r="AG136" s="1"/>
      <c r="AH136" s="1"/>
      <c r="AI136" s="1"/>
      <c r="AJ136" s="1"/>
    </row>
    <row r="137" spans="1:36" ht="17.25" thickBot="1" x14ac:dyDescent="0.35">
      <c r="A137" s="147"/>
      <c r="B137" s="97">
        <v>43370</v>
      </c>
      <c r="C137" s="103">
        <v>25.75</v>
      </c>
      <c r="D137" s="150"/>
      <c r="E137" s="150"/>
      <c r="F137" s="100">
        <v>381</v>
      </c>
      <c r="G137" s="89">
        <f t="shared" si="47"/>
        <v>2667</v>
      </c>
      <c r="H137" s="100"/>
      <c r="I137" s="89">
        <f t="shared" si="48"/>
        <v>0</v>
      </c>
      <c r="J137" s="100">
        <v>60</v>
      </c>
      <c r="K137" s="89">
        <f t="shared" si="49"/>
        <v>810</v>
      </c>
      <c r="L137" s="93">
        <f t="shared" si="50"/>
        <v>0.22571090047393366</v>
      </c>
      <c r="M137" s="85">
        <f t="shared" si="86"/>
        <v>135.02912621359224</v>
      </c>
      <c r="N137" s="186"/>
      <c r="O137" s="152"/>
      <c r="P137" s="152"/>
      <c r="Q137" s="2"/>
      <c r="R137" s="2"/>
      <c r="S137" s="2"/>
      <c r="T137" s="2"/>
      <c r="U137" s="2"/>
      <c r="V137" s="2"/>
      <c r="W137" s="2"/>
      <c r="X137" s="2"/>
      <c r="Y137" s="2"/>
      <c r="Z137" s="1"/>
      <c r="AA137" s="1"/>
      <c r="AB137" s="1"/>
      <c r="AC137" s="1"/>
      <c r="AD137" s="1"/>
      <c r="AE137" s="1"/>
      <c r="AF137" s="1"/>
      <c r="AG137" s="1"/>
      <c r="AH137" s="1"/>
      <c r="AI137" s="1"/>
      <c r="AJ137" s="1"/>
    </row>
    <row r="138" spans="1:36" ht="17.25" thickBot="1" x14ac:dyDescent="0.35">
      <c r="A138" s="147"/>
      <c r="B138" s="97">
        <v>43371</v>
      </c>
      <c r="C138" s="103">
        <v>9.5</v>
      </c>
      <c r="D138" s="150"/>
      <c r="E138" s="150"/>
      <c r="F138" s="100">
        <v>129</v>
      </c>
      <c r="G138" s="89">
        <f t="shared" si="47"/>
        <v>903</v>
      </c>
      <c r="H138" s="100"/>
      <c r="I138" s="89">
        <f t="shared" si="48"/>
        <v>0</v>
      </c>
      <c r="J138" s="100">
        <v>38</v>
      </c>
      <c r="K138" s="89">
        <f t="shared" si="49"/>
        <v>513</v>
      </c>
      <c r="L138" s="93">
        <f t="shared" si="50"/>
        <v>7.6421800947867297E-2</v>
      </c>
      <c r="M138" s="85">
        <f t="shared" si="86"/>
        <v>149.05263157894737</v>
      </c>
      <c r="N138" s="186"/>
      <c r="O138" s="152"/>
      <c r="P138" s="152"/>
      <c r="Q138" s="2"/>
      <c r="R138" s="2"/>
      <c r="S138" s="2"/>
      <c r="T138" s="2"/>
      <c r="U138" s="2"/>
      <c r="V138" s="2"/>
      <c r="W138" s="2"/>
      <c r="X138" s="2"/>
      <c r="Y138" s="2"/>
      <c r="Z138" s="1"/>
      <c r="AA138" s="1"/>
      <c r="AB138" s="1"/>
      <c r="AC138" s="1"/>
      <c r="AD138" s="1"/>
      <c r="AE138" s="1"/>
      <c r="AF138" s="1"/>
      <c r="AG138" s="1"/>
      <c r="AH138" s="1"/>
      <c r="AI138" s="1"/>
      <c r="AJ138" s="1"/>
    </row>
    <row r="139" spans="1:36" ht="17.25" thickBot="1" x14ac:dyDescent="0.35">
      <c r="A139" s="147"/>
      <c r="B139" s="97">
        <v>43706</v>
      </c>
      <c r="C139" s="103">
        <v>14</v>
      </c>
      <c r="D139" s="150"/>
      <c r="E139" s="150"/>
      <c r="F139" s="100">
        <v>66</v>
      </c>
      <c r="G139" s="89">
        <f t="shared" ref="G139:G202" si="91">F139*F$3</f>
        <v>462</v>
      </c>
      <c r="H139" s="100"/>
      <c r="I139" s="89">
        <f t="shared" ref="I139:I202" si="92">H139*H$3</f>
        <v>0</v>
      </c>
      <c r="J139" s="100">
        <v>50</v>
      </c>
      <c r="K139" s="89">
        <f t="shared" ref="K139:K202" si="93">J139*J$3</f>
        <v>675</v>
      </c>
      <c r="L139" s="93">
        <f t="shared" ref="L139:L202" si="94">(G139+I139)/F$1</f>
        <v>3.9099526066350712E-2</v>
      </c>
      <c r="M139" s="85">
        <f t="shared" si="86"/>
        <v>81.214285714285708</v>
      </c>
      <c r="N139" s="186"/>
      <c r="O139" s="152"/>
      <c r="P139" s="152"/>
      <c r="Q139" s="2"/>
      <c r="R139" s="2"/>
      <c r="S139" s="2"/>
      <c r="T139" s="2"/>
      <c r="U139" s="2"/>
      <c r="V139" s="2"/>
      <c r="W139" s="2"/>
      <c r="X139" s="2"/>
      <c r="Y139" s="2"/>
      <c r="Z139" s="1"/>
      <c r="AA139" s="1"/>
      <c r="AB139" s="1"/>
      <c r="AC139" s="1"/>
      <c r="AD139" s="1"/>
      <c r="AE139" s="1"/>
      <c r="AF139" s="1"/>
      <c r="AG139" s="1"/>
      <c r="AH139" s="1"/>
      <c r="AI139" s="1"/>
      <c r="AJ139" s="1"/>
    </row>
    <row r="140" spans="1:36" ht="17.25" thickBot="1" x14ac:dyDescent="0.35">
      <c r="A140" s="147"/>
      <c r="B140" s="97">
        <v>43707</v>
      </c>
      <c r="C140" s="103">
        <v>35.75</v>
      </c>
      <c r="D140" s="150"/>
      <c r="E140" s="150"/>
      <c r="F140" s="100">
        <v>338</v>
      </c>
      <c r="G140" s="89">
        <f t="shared" si="91"/>
        <v>2366</v>
      </c>
      <c r="H140" s="100"/>
      <c r="I140" s="89">
        <f t="shared" si="92"/>
        <v>0</v>
      </c>
      <c r="J140" s="100">
        <v>121</v>
      </c>
      <c r="K140" s="89">
        <f t="shared" si="93"/>
        <v>1633.5</v>
      </c>
      <c r="L140" s="93">
        <f t="shared" si="94"/>
        <v>0.20023696682464456</v>
      </c>
      <c r="M140" s="85">
        <f t="shared" si="86"/>
        <v>111.87412587412588</v>
      </c>
      <c r="N140" s="186"/>
      <c r="O140" s="152"/>
      <c r="P140" s="152"/>
      <c r="Q140" s="2"/>
      <c r="R140" s="2"/>
      <c r="S140" s="2"/>
      <c r="T140" s="2"/>
      <c r="U140" s="2"/>
      <c r="V140" s="2"/>
      <c r="W140" s="2"/>
      <c r="X140" s="2"/>
      <c r="Y140" s="2"/>
      <c r="Z140" s="1"/>
      <c r="AA140" s="1"/>
      <c r="AB140" s="1"/>
      <c r="AC140" s="1"/>
      <c r="AD140" s="1"/>
      <c r="AE140" s="1"/>
      <c r="AF140" s="1"/>
      <c r="AG140" s="1"/>
      <c r="AH140" s="1"/>
      <c r="AI140" s="1"/>
      <c r="AJ140" s="1"/>
    </row>
    <row r="141" spans="1:36" ht="17.25" thickBot="1" x14ac:dyDescent="0.35">
      <c r="A141" s="148"/>
      <c r="B141" s="98">
        <v>43708</v>
      </c>
      <c r="C141" s="104">
        <v>10</v>
      </c>
      <c r="D141" s="151"/>
      <c r="E141" s="151"/>
      <c r="F141" s="101">
        <v>108</v>
      </c>
      <c r="G141" s="90">
        <f t="shared" si="91"/>
        <v>756</v>
      </c>
      <c r="H141" s="101"/>
      <c r="I141" s="90">
        <f t="shared" si="92"/>
        <v>0</v>
      </c>
      <c r="J141" s="101">
        <v>30</v>
      </c>
      <c r="K141" s="90">
        <f t="shared" si="93"/>
        <v>405</v>
      </c>
      <c r="L141" s="94">
        <f t="shared" si="94"/>
        <v>6.398104265402843E-2</v>
      </c>
      <c r="M141" s="87">
        <f t="shared" si="86"/>
        <v>116.1</v>
      </c>
      <c r="N141" s="186"/>
      <c r="O141" s="152"/>
      <c r="P141" s="152"/>
      <c r="Q141" s="2"/>
      <c r="R141" s="2"/>
      <c r="S141" s="2"/>
      <c r="T141" s="2"/>
      <c r="U141" s="2"/>
      <c r="V141" s="2"/>
      <c r="W141" s="2"/>
      <c r="X141" s="2"/>
      <c r="Y141" s="2"/>
      <c r="Z141" s="1"/>
      <c r="AA141" s="1"/>
      <c r="AB141" s="1"/>
      <c r="AC141" s="1"/>
      <c r="AD141" s="1"/>
      <c r="AE141" s="1"/>
      <c r="AF141" s="1"/>
      <c r="AG141" s="1"/>
      <c r="AH141" s="1"/>
      <c r="AI141" s="1"/>
      <c r="AJ141" s="1"/>
    </row>
    <row r="142" spans="1:36" ht="17.25" thickBot="1" x14ac:dyDescent="0.35">
      <c r="A142" s="147">
        <v>36</v>
      </c>
      <c r="B142" s="105">
        <v>43710</v>
      </c>
      <c r="C142" s="102">
        <v>41.75</v>
      </c>
      <c r="D142" s="149">
        <f t="shared" ref="D142" si="95">SUM(G142:G147)+SUM(I142:I147)</f>
        <v>15554</v>
      </c>
      <c r="E142" s="149">
        <f t="shared" ref="E142" si="96">SUM(G142:G147,K142:K147,H142:H147)</f>
        <v>16308.5</v>
      </c>
      <c r="F142" s="99">
        <v>649</v>
      </c>
      <c r="G142" s="89">
        <f t="shared" si="91"/>
        <v>4543</v>
      </c>
      <c r="H142" s="99"/>
      <c r="I142" s="89">
        <f t="shared" si="92"/>
        <v>0</v>
      </c>
      <c r="J142" s="99">
        <v>86</v>
      </c>
      <c r="K142" s="89">
        <f t="shared" si="93"/>
        <v>1161</v>
      </c>
      <c r="L142" s="93">
        <f t="shared" si="94"/>
        <v>0.38447867298578198</v>
      </c>
      <c r="M142" s="83">
        <f t="shared" si="86"/>
        <v>136.62275449101796</v>
      </c>
      <c r="N142" s="186">
        <f>AVERAGE(M142:M147)</f>
        <v>126.75551042692591</v>
      </c>
      <c r="O142" s="152">
        <f t="shared" ref="O142" si="97">SUM(L142:L147)</f>
        <v>1.316350710900474</v>
      </c>
      <c r="P142" s="152">
        <v>0.62026066350710907</v>
      </c>
      <c r="Q142" s="2"/>
      <c r="R142" s="2"/>
      <c r="S142" s="2"/>
      <c r="T142" s="2"/>
      <c r="U142" s="2"/>
      <c r="V142" s="2"/>
      <c r="W142" s="2"/>
      <c r="X142" s="2"/>
      <c r="Y142" s="2"/>
      <c r="Z142" s="1"/>
      <c r="AA142" s="1"/>
      <c r="AB142" s="1"/>
      <c r="AC142" s="1"/>
      <c r="AD142" s="1"/>
      <c r="AE142" s="1"/>
      <c r="AF142" s="1"/>
      <c r="AG142" s="1"/>
      <c r="AH142" s="1"/>
      <c r="AI142" s="1"/>
      <c r="AJ142" s="1"/>
    </row>
    <row r="143" spans="1:36" ht="17.25" thickBot="1" x14ac:dyDescent="0.35">
      <c r="A143" s="147"/>
      <c r="B143" s="97">
        <v>43711</v>
      </c>
      <c r="C143" s="103">
        <v>25.75</v>
      </c>
      <c r="D143" s="150"/>
      <c r="E143" s="150"/>
      <c r="F143" s="100">
        <v>401</v>
      </c>
      <c r="G143" s="89">
        <f t="shared" si="91"/>
        <v>2807</v>
      </c>
      <c r="H143" s="100"/>
      <c r="I143" s="89">
        <f t="shared" si="92"/>
        <v>0</v>
      </c>
      <c r="J143" s="100">
        <v>42</v>
      </c>
      <c r="K143" s="89">
        <f t="shared" si="93"/>
        <v>567</v>
      </c>
      <c r="L143" s="93">
        <f t="shared" si="94"/>
        <v>0.23755924170616113</v>
      </c>
      <c r="M143" s="85">
        <f t="shared" si="86"/>
        <v>131.02912621359224</v>
      </c>
      <c r="N143" s="186"/>
      <c r="O143" s="152"/>
      <c r="P143" s="152"/>
      <c r="Q143" s="2"/>
      <c r="R143" s="2"/>
      <c r="S143" s="2"/>
      <c r="T143" s="2"/>
      <c r="U143" s="2"/>
      <c r="V143" s="2"/>
      <c r="W143" s="2"/>
      <c r="X143" s="2"/>
      <c r="Y143" s="2"/>
      <c r="Z143" s="1"/>
      <c r="AA143" s="1"/>
      <c r="AB143" s="1"/>
      <c r="AC143" s="1"/>
      <c r="AD143" s="1"/>
      <c r="AE143" s="1"/>
      <c r="AF143" s="1"/>
      <c r="AG143" s="1"/>
      <c r="AH143" s="1"/>
      <c r="AI143" s="1"/>
      <c r="AJ143" s="1"/>
    </row>
    <row r="144" spans="1:36" ht="17.25" thickBot="1" x14ac:dyDescent="0.35">
      <c r="A144" s="147"/>
      <c r="B144" s="97">
        <v>43712</v>
      </c>
      <c r="C144" s="103">
        <v>17.25</v>
      </c>
      <c r="D144" s="150"/>
      <c r="E144" s="150"/>
      <c r="F144" s="100">
        <v>241</v>
      </c>
      <c r="G144" s="89">
        <f t="shared" si="91"/>
        <v>1687</v>
      </c>
      <c r="H144" s="100">
        <v>67</v>
      </c>
      <c r="I144" s="89">
        <f t="shared" si="92"/>
        <v>469</v>
      </c>
      <c r="J144" s="100">
        <v>11</v>
      </c>
      <c r="K144" s="89">
        <f t="shared" si="93"/>
        <v>148.5</v>
      </c>
      <c r="L144" s="93">
        <f t="shared" si="94"/>
        <v>0.18246445497630331</v>
      </c>
      <c r="M144" s="85">
        <f t="shared" si="86"/>
        <v>133.59420289855072</v>
      </c>
      <c r="N144" s="186"/>
      <c r="O144" s="152"/>
      <c r="P144" s="152"/>
      <c r="Q144" s="2"/>
      <c r="R144" s="2"/>
      <c r="S144" s="2"/>
      <c r="T144" s="2"/>
      <c r="U144" s="2"/>
      <c r="V144" s="2"/>
      <c r="W144" s="2"/>
      <c r="X144" s="2"/>
      <c r="Y144" s="2"/>
      <c r="Z144" s="1"/>
      <c r="AA144" s="1"/>
      <c r="AB144" s="1"/>
      <c r="AC144" s="1"/>
      <c r="AD144" s="1"/>
      <c r="AE144" s="1"/>
      <c r="AF144" s="1"/>
      <c r="AG144" s="1"/>
      <c r="AH144" s="1"/>
      <c r="AI144" s="1"/>
      <c r="AJ144" s="1"/>
    </row>
    <row r="145" spans="1:36" ht="17.25" thickBot="1" x14ac:dyDescent="0.35">
      <c r="A145" s="147"/>
      <c r="B145" s="97">
        <v>43713</v>
      </c>
      <c r="C145" s="103">
        <v>22</v>
      </c>
      <c r="D145" s="150"/>
      <c r="E145" s="150"/>
      <c r="F145" s="100">
        <v>321</v>
      </c>
      <c r="G145" s="89">
        <f t="shared" si="91"/>
        <v>2247</v>
      </c>
      <c r="H145" s="100">
        <v>83</v>
      </c>
      <c r="I145" s="89">
        <f t="shared" si="92"/>
        <v>581</v>
      </c>
      <c r="J145" s="100">
        <v>8</v>
      </c>
      <c r="K145" s="89">
        <f t="shared" si="93"/>
        <v>108</v>
      </c>
      <c r="L145" s="93">
        <f t="shared" si="94"/>
        <v>0.23933649289099526</v>
      </c>
      <c r="M145" s="85">
        <f t="shared" si="86"/>
        <v>133.45454545454547</v>
      </c>
      <c r="N145" s="186"/>
      <c r="O145" s="152"/>
      <c r="P145" s="152"/>
      <c r="Q145" s="2"/>
      <c r="R145" s="2"/>
      <c r="S145" s="2"/>
      <c r="T145" s="2"/>
      <c r="U145" s="2"/>
      <c r="V145" s="2"/>
      <c r="W145" s="2"/>
      <c r="X145" s="2"/>
      <c r="Y145" s="2"/>
      <c r="Z145" s="1"/>
      <c r="AA145" s="1"/>
      <c r="AB145" s="1"/>
      <c r="AC145" s="1"/>
      <c r="AD145" s="1"/>
      <c r="AE145" s="1"/>
      <c r="AF145" s="1"/>
      <c r="AG145" s="1"/>
      <c r="AH145" s="1"/>
      <c r="AI145" s="1"/>
      <c r="AJ145" s="1"/>
    </row>
    <row r="146" spans="1:36" ht="17.25" thickBot="1" x14ac:dyDescent="0.35">
      <c r="A146" s="147"/>
      <c r="B146" s="97">
        <v>43714</v>
      </c>
      <c r="C146" s="103">
        <v>32.5</v>
      </c>
      <c r="D146" s="150"/>
      <c r="E146" s="150"/>
      <c r="F146" s="100">
        <v>405</v>
      </c>
      <c r="G146" s="89">
        <f t="shared" si="91"/>
        <v>2835</v>
      </c>
      <c r="H146" s="100">
        <v>55</v>
      </c>
      <c r="I146" s="89">
        <f t="shared" si="92"/>
        <v>385</v>
      </c>
      <c r="J146" s="100"/>
      <c r="K146" s="89">
        <f t="shared" si="93"/>
        <v>0</v>
      </c>
      <c r="L146" s="93">
        <f t="shared" si="94"/>
        <v>0.27251184834123221</v>
      </c>
      <c r="M146" s="85">
        <f t="shared" si="86"/>
        <v>99.07692307692308</v>
      </c>
      <c r="N146" s="186"/>
      <c r="O146" s="152"/>
      <c r="P146" s="152"/>
      <c r="Q146" s="2"/>
      <c r="R146" s="2"/>
      <c r="S146" s="2"/>
      <c r="T146" s="2"/>
      <c r="U146" s="2"/>
      <c r="V146" s="2"/>
      <c r="W146" s="2"/>
      <c r="X146" s="2"/>
      <c r="Y146" s="2"/>
      <c r="Z146" s="1"/>
      <c r="AA146" s="1"/>
      <c r="AB146" s="1"/>
      <c r="AC146" s="1"/>
      <c r="AD146" s="1"/>
      <c r="AE146" s="1"/>
      <c r="AF146" s="1"/>
      <c r="AG146" s="1"/>
      <c r="AH146" s="1"/>
      <c r="AI146" s="1"/>
      <c r="AJ146" s="1"/>
    </row>
    <row r="147" spans="1:36" ht="17.25" thickBot="1" x14ac:dyDescent="0.35">
      <c r="A147" s="147"/>
      <c r="B147" s="98"/>
      <c r="C147" s="104"/>
      <c r="D147" s="151"/>
      <c r="E147" s="151"/>
      <c r="F147" s="101"/>
      <c r="G147" s="89">
        <f t="shared" si="91"/>
        <v>0</v>
      </c>
      <c r="H147" s="101"/>
      <c r="I147" s="89">
        <f t="shared" si="92"/>
        <v>0</v>
      </c>
      <c r="J147" s="101"/>
      <c r="K147" s="89">
        <f t="shared" si="93"/>
        <v>0</v>
      </c>
      <c r="L147" s="93">
        <f t="shared" si="94"/>
        <v>0</v>
      </c>
      <c r="M147" s="87" t="str">
        <f t="shared" si="86"/>
        <v/>
      </c>
      <c r="N147" s="186"/>
      <c r="O147" s="152"/>
      <c r="P147" s="152"/>
      <c r="Q147" s="2"/>
      <c r="R147" s="2"/>
      <c r="S147" s="2"/>
      <c r="T147" s="2"/>
      <c r="U147" s="2"/>
      <c r="V147" s="2"/>
      <c r="W147" s="2"/>
      <c r="X147" s="2"/>
      <c r="Y147" s="2"/>
      <c r="Z147" s="1"/>
      <c r="AA147" s="1"/>
      <c r="AB147" s="1"/>
      <c r="AC147" s="1"/>
      <c r="AD147" s="1"/>
      <c r="AE147" s="1"/>
      <c r="AF147" s="1"/>
      <c r="AG147" s="1"/>
      <c r="AH147" s="1"/>
      <c r="AI147" s="1"/>
      <c r="AJ147" s="1"/>
    </row>
    <row r="148" spans="1:36" ht="17.25" thickBot="1" x14ac:dyDescent="0.35">
      <c r="A148" s="146">
        <v>37</v>
      </c>
      <c r="B148" s="105">
        <v>43717</v>
      </c>
      <c r="C148" s="102">
        <v>14</v>
      </c>
      <c r="D148" s="149">
        <f t="shared" ref="D148" si="98">SUM(G148:G153)+SUM(I148:I153)</f>
        <v>4074</v>
      </c>
      <c r="E148" s="149">
        <f t="shared" ref="E148" si="99">SUM(G148:G153,K148:K153,H148:H153)</f>
        <v>4279.5</v>
      </c>
      <c r="F148" s="99">
        <v>133</v>
      </c>
      <c r="G148" s="91">
        <f t="shared" si="91"/>
        <v>931</v>
      </c>
      <c r="H148" s="99">
        <v>14</v>
      </c>
      <c r="I148" s="91">
        <f t="shared" si="92"/>
        <v>98</v>
      </c>
      <c r="J148" s="99">
        <v>10</v>
      </c>
      <c r="K148" s="91">
        <f t="shared" si="93"/>
        <v>135</v>
      </c>
      <c r="L148" s="92">
        <f t="shared" si="94"/>
        <v>8.7085308056872035E-2</v>
      </c>
      <c r="M148" s="83">
        <f t="shared" si="86"/>
        <v>83.142857142857139</v>
      </c>
      <c r="N148" s="186">
        <f t="shared" ref="N148" si="100">AVERAGE(M148:M153)</f>
        <v>95.525695611577959</v>
      </c>
      <c r="O148" s="152">
        <f t="shared" ref="O148" si="101">SUM(L148:L153)</f>
        <v>0.34478672985781988</v>
      </c>
      <c r="P148" s="152">
        <v>0.39336492890995262</v>
      </c>
      <c r="Q148" s="2"/>
      <c r="R148" s="2"/>
      <c r="S148" s="2"/>
      <c r="T148" s="2"/>
      <c r="U148" s="2"/>
      <c r="V148" s="2"/>
      <c r="W148" s="2"/>
      <c r="X148" s="2"/>
      <c r="Y148" s="2"/>
      <c r="Z148" s="1"/>
      <c r="AA148" s="1"/>
      <c r="AB148" s="1"/>
      <c r="AC148" s="1"/>
      <c r="AD148" s="1"/>
      <c r="AE148" s="1"/>
      <c r="AF148" s="1"/>
      <c r="AG148" s="1"/>
      <c r="AH148" s="1"/>
      <c r="AI148" s="1"/>
      <c r="AJ148" s="1"/>
    </row>
    <row r="149" spans="1:36" ht="17.25" thickBot="1" x14ac:dyDescent="0.35">
      <c r="A149" s="147"/>
      <c r="B149" s="97">
        <v>43718</v>
      </c>
      <c r="C149" s="103">
        <v>9</v>
      </c>
      <c r="D149" s="150"/>
      <c r="E149" s="150"/>
      <c r="F149" s="100">
        <v>82</v>
      </c>
      <c r="G149" s="89">
        <f t="shared" si="91"/>
        <v>574</v>
      </c>
      <c r="H149" s="100">
        <v>51</v>
      </c>
      <c r="I149" s="89">
        <f t="shared" si="92"/>
        <v>357</v>
      </c>
      <c r="J149" s="100">
        <v>12</v>
      </c>
      <c r="K149" s="89">
        <f t="shared" si="93"/>
        <v>162</v>
      </c>
      <c r="L149" s="93">
        <f t="shared" si="94"/>
        <v>7.8791469194312791E-2</v>
      </c>
      <c r="M149" s="85">
        <f t="shared" si="86"/>
        <v>121.44444444444444</v>
      </c>
      <c r="N149" s="186"/>
      <c r="O149" s="152"/>
      <c r="P149" s="152"/>
      <c r="Q149" s="2"/>
      <c r="R149" s="2"/>
      <c r="S149" s="2"/>
      <c r="T149" s="2"/>
      <c r="U149" s="2"/>
      <c r="V149" s="2"/>
      <c r="W149" s="2"/>
      <c r="X149" s="2"/>
      <c r="Y149" s="2"/>
      <c r="Z149" s="1"/>
      <c r="AA149" s="1"/>
      <c r="AB149" s="1"/>
      <c r="AC149" s="1"/>
      <c r="AD149" s="1"/>
      <c r="AE149" s="1"/>
      <c r="AF149" s="1"/>
      <c r="AG149" s="1"/>
      <c r="AH149" s="1"/>
      <c r="AI149" s="1"/>
      <c r="AJ149" s="1"/>
    </row>
    <row r="150" spans="1:36" ht="17.25" thickBot="1" x14ac:dyDescent="0.35">
      <c r="A150" s="147"/>
      <c r="B150" s="97">
        <v>43719</v>
      </c>
      <c r="C150" s="103">
        <v>8.5</v>
      </c>
      <c r="D150" s="150"/>
      <c r="E150" s="150"/>
      <c r="F150" s="100">
        <v>85</v>
      </c>
      <c r="G150" s="89">
        <f t="shared" si="91"/>
        <v>595</v>
      </c>
      <c r="H150" s="100">
        <v>15</v>
      </c>
      <c r="I150" s="89">
        <f t="shared" si="92"/>
        <v>105</v>
      </c>
      <c r="J150" s="100">
        <v>13</v>
      </c>
      <c r="K150" s="89">
        <f t="shared" si="93"/>
        <v>175.5</v>
      </c>
      <c r="L150" s="93">
        <f t="shared" si="94"/>
        <v>5.9241706161137442E-2</v>
      </c>
      <c r="M150" s="85">
        <f t="shared" si="86"/>
        <v>103</v>
      </c>
      <c r="N150" s="186"/>
      <c r="O150" s="152"/>
      <c r="P150" s="152"/>
      <c r="Q150" s="2"/>
      <c r="R150" s="2"/>
      <c r="S150" s="2"/>
      <c r="T150" s="2"/>
      <c r="U150" s="2"/>
      <c r="V150" s="2"/>
      <c r="W150" s="2"/>
      <c r="X150" s="2"/>
      <c r="Y150" s="2"/>
      <c r="Z150" s="1"/>
      <c r="AA150" s="1"/>
      <c r="AB150" s="1"/>
      <c r="AC150" s="1"/>
      <c r="AD150" s="1"/>
      <c r="AE150" s="1"/>
      <c r="AF150" s="1"/>
      <c r="AG150" s="1"/>
      <c r="AH150" s="1"/>
      <c r="AI150" s="1"/>
      <c r="AJ150" s="1"/>
    </row>
    <row r="151" spans="1:36" ht="17.25" thickBot="1" x14ac:dyDescent="0.35">
      <c r="A151" s="147"/>
      <c r="B151" s="97">
        <v>43720</v>
      </c>
      <c r="C151" s="103">
        <v>8.5</v>
      </c>
      <c r="D151" s="150"/>
      <c r="E151" s="150"/>
      <c r="F151" s="100">
        <v>59</v>
      </c>
      <c r="G151" s="89">
        <f t="shared" si="91"/>
        <v>413</v>
      </c>
      <c r="H151" s="100">
        <v>17</v>
      </c>
      <c r="I151" s="89">
        <f t="shared" si="92"/>
        <v>119</v>
      </c>
      <c r="J151" s="100">
        <v>21</v>
      </c>
      <c r="K151" s="89">
        <f t="shared" si="93"/>
        <v>283.5</v>
      </c>
      <c r="L151" s="93">
        <f t="shared" si="94"/>
        <v>4.5023696682464455E-2</v>
      </c>
      <c r="M151" s="85">
        <f t="shared" si="86"/>
        <v>95.941176470588232</v>
      </c>
      <c r="N151" s="186"/>
      <c r="O151" s="152"/>
      <c r="P151" s="152"/>
      <c r="Q151" s="2"/>
      <c r="R151" s="2"/>
      <c r="S151" s="2"/>
      <c r="T151" s="2"/>
      <c r="U151" s="2"/>
      <c r="V151" s="2"/>
      <c r="W151" s="2"/>
      <c r="X151" s="2"/>
      <c r="Y151" s="2"/>
      <c r="Z151" s="1"/>
      <c r="AA151" s="1"/>
      <c r="AB151" s="1"/>
      <c r="AC151" s="1"/>
      <c r="AD151" s="1"/>
      <c r="AE151" s="1"/>
      <c r="AF151" s="1"/>
      <c r="AG151" s="1"/>
      <c r="AH151" s="1"/>
      <c r="AI151" s="1"/>
      <c r="AJ151" s="1"/>
    </row>
    <row r="152" spans="1:36" ht="17.25" thickBot="1" x14ac:dyDescent="0.35">
      <c r="A152" s="147"/>
      <c r="B152" s="97">
        <v>43721</v>
      </c>
      <c r="C152" s="103">
        <v>15</v>
      </c>
      <c r="D152" s="150"/>
      <c r="E152" s="150"/>
      <c r="F152" s="100">
        <v>93</v>
      </c>
      <c r="G152" s="89">
        <f t="shared" si="91"/>
        <v>651</v>
      </c>
      <c r="H152" s="100">
        <v>33</v>
      </c>
      <c r="I152" s="89">
        <f t="shared" si="92"/>
        <v>231</v>
      </c>
      <c r="J152" s="100">
        <v>17</v>
      </c>
      <c r="K152" s="89">
        <f t="shared" si="93"/>
        <v>229.5</v>
      </c>
      <c r="L152" s="93">
        <f t="shared" si="94"/>
        <v>7.4644549763033169E-2</v>
      </c>
      <c r="M152" s="85">
        <f t="shared" si="86"/>
        <v>74.099999999999994</v>
      </c>
      <c r="N152" s="186"/>
      <c r="O152" s="152"/>
      <c r="P152" s="152"/>
      <c r="Q152" s="2"/>
      <c r="R152" s="2"/>
      <c r="S152" s="2"/>
      <c r="T152" s="2"/>
      <c r="U152" s="2"/>
      <c r="V152" s="2"/>
      <c r="W152" s="2"/>
      <c r="X152" s="2"/>
      <c r="Y152" s="2"/>
      <c r="Z152" s="1"/>
      <c r="AA152" s="1"/>
      <c r="AB152" s="1"/>
      <c r="AC152" s="1"/>
      <c r="AD152" s="1"/>
      <c r="AE152" s="1"/>
      <c r="AF152" s="1"/>
      <c r="AG152" s="1"/>
      <c r="AH152" s="1"/>
      <c r="AI152" s="1"/>
      <c r="AJ152" s="1"/>
    </row>
    <row r="153" spans="1:36" ht="17.25" thickBot="1" x14ac:dyDescent="0.35">
      <c r="A153" s="148"/>
      <c r="B153" s="98"/>
      <c r="C153" s="104"/>
      <c r="D153" s="151"/>
      <c r="E153" s="151"/>
      <c r="F153" s="101"/>
      <c r="G153" s="90">
        <f t="shared" si="91"/>
        <v>0</v>
      </c>
      <c r="H153" s="101"/>
      <c r="I153" s="90">
        <f t="shared" si="92"/>
        <v>0</v>
      </c>
      <c r="J153" s="101"/>
      <c r="K153" s="90">
        <f t="shared" si="93"/>
        <v>0</v>
      </c>
      <c r="L153" s="94">
        <f t="shared" si="94"/>
        <v>0</v>
      </c>
      <c r="M153" s="87" t="str">
        <f t="shared" si="86"/>
        <v/>
      </c>
      <c r="N153" s="186"/>
      <c r="O153" s="152"/>
      <c r="P153" s="152"/>
      <c r="Q153" s="2"/>
      <c r="R153" s="2"/>
      <c r="S153" s="2"/>
      <c r="T153" s="2"/>
      <c r="U153" s="2"/>
      <c r="V153" s="2"/>
      <c r="W153" s="2"/>
      <c r="X153" s="2"/>
      <c r="Y153" s="2"/>
      <c r="Z153" s="1"/>
      <c r="AA153" s="1"/>
      <c r="AB153" s="1"/>
      <c r="AC153" s="1"/>
      <c r="AD153" s="1"/>
      <c r="AE153" s="1"/>
      <c r="AF153" s="1"/>
      <c r="AG153" s="1"/>
      <c r="AH153" s="1"/>
      <c r="AI153" s="1"/>
      <c r="AJ153" s="1"/>
    </row>
    <row r="154" spans="1:36" ht="17.25" thickBot="1" x14ac:dyDescent="0.35">
      <c r="A154" s="147">
        <v>38</v>
      </c>
      <c r="B154" s="105">
        <v>43724</v>
      </c>
      <c r="C154" s="102">
        <v>23.5</v>
      </c>
      <c r="D154" s="149">
        <f t="shared" ref="D154" si="102">SUM(G154:G159)+SUM(I154:I159)</f>
        <v>17773</v>
      </c>
      <c r="E154" s="149">
        <f t="shared" ref="E154" si="103">SUM(G154:G159,K154:K159,H154:H159)</f>
        <v>17984.5</v>
      </c>
      <c r="F154" s="99">
        <v>253</v>
      </c>
      <c r="G154" s="89">
        <f t="shared" si="91"/>
        <v>1771</v>
      </c>
      <c r="H154" s="99">
        <v>40</v>
      </c>
      <c r="I154" s="89">
        <f t="shared" si="92"/>
        <v>280</v>
      </c>
      <c r="J154" s="99">
        <v>23</v>
      </c>
      <c r="K154" s="89">
        <f t="shared" si="93"/>
        <v>310.5</v>
      </c>
      <c r="L154" s="93">
        <f t="shared" si="94"/>
        <v>0.1735781990521327</v>
      </c>
      <c r="M154" s="83">
        <f t="shared" si="86"/>
        <v>100.48936170212765</v>
      </c>
      <c r="N154" s="186">
        <f t="shared" ref="N154" si="104">AVERAGE(M154:M159)</f>
        <v>126.05505455594881</v>
      </c>
      <c r="O154" s="152">
        <f t="shared" ref="O154" si="105">SUM(L154:L159)</f>
        <v>1.5041469194312795</v>
      </c>
      <c r="P154" s="152">
        <v>0.40462085308056872</v>
      </c>
      <c r="Q154" s="2"/>
      <c r="R154" s="2"/>
      <c r="S154" s="2"/>
      <c r="T154" s="2"/>
      <c r="U154" s="2"/>
      <c r="V154" s="2"/>
      <c r="W154" s="2"/>
      <c r="X154" s="2"/>
      <c r="Y154" s="2"/>
      <c r="Z154" s="1"/>
      <c r="AA154" s="1"/>
      <c r="AB154" s="1"/>
      <c r="AC154" s="1"/>
      <c r="AD154" s="1"/>
      <c r="AE154" s="1"/>
      <c r="AF154" s="1"/>
      <c r="AG154" s="1"/>
      <c r="AH154" s="1"/>
      <c r="AI154" s="1"/>
      <c r="AJ154" s="1"/>
    </row>
    <row r="155" spans="1:36" ht="17.25" thickBot="1" x14ac:dyDescent="0.35">
      <c r="A155" s="147"/>
      <c r="B155" s="97">
        <v>43725</v>
      </c>
      <c r="C155" s="103">
        <v>17</v>
      </c>
      <c r="D155" s="150"/>
      <c r="E155" s="150"/>
      <c r="F155" s="100">
        <v>221</v>
      </c>
      <c r="G155" s="89">
        <f t="shared" si="91"/>
        <v>1547</v>
      </c>
      <c r="H155" s="100">
        <v>35</v>
      </c>
      <c r="I155" s="89">
        <f t="shared" si="92"/>
        <v>245</v>
      </c>
      <c r="J155" s="100">
        <v>23</v>
      </c>
      <c r="K155" s="89">
        <f t="shared" si="93"/>
        <v>310.5</v>
      </c>
      <c r="L155" s="93">
        <f t="shared" si="94"/>
        <v>0.15165876777251186</v>
      </c>
      <c r="M155" s="85">
        <f t="shared" si="86"/>
        <v>123.67647058823529</v>
      </c>
      <c r="N155" s="186"/>
      <c r="O155" s="152"/>
      <c r="P155" s="152"/>
      <c r="Q155" s="2"/>
      <c r="R155" s="2"/>
      <c r="S155" s="2"/>
      <c r="T155" s="2"/>
      <c r="U155" s="2"/>
      <c r="V155" s="2"/>
      <c r="W155" s="2"/>
      <c r="X155" s="2"/>
      <c r="Y155" s="2"/>
      <c r="Z155" s="1"/>
      <c r="AA155" s="1"/>
      <c r="AB155" s="1"/>
      <c r="AC155" s="1"/>
      <c r="AD155" s="1"/>
      <c r="AE155" s="1"/>
      <c r="AF155" s="1"/>
      <c r="AG155" s="1"/>
      <c r="AH155" s="1"/>
      <c r="AI155" s="1"/>
      <c r="AJ155" s="1"/>
    </row>
    <row r="156" spans="1:36" ht="17.25" thickBot="1" x14ac:dyDescent="0.35">
      <c r="A156" s="147"/>
      <c r="B156" s="97">
        <v>43726</v>
      </c>
      <c r="C156" s="103">
        <v>17</v>
      </c>
      <c r="D156" s="150"/>
      <c r="E156" s="150"/>
      <c r="F156" s="100">
        <v>260</v>
      </c>
      <c r="G156" s="89">
        <f t="shared" si="91"/>
        <v>1820</v>
      </c>
      <c r="H156" s="100">
        <v>26</v>
      </c>
      <c r="I156" s="89">
        <f t="shared" si="92"/>
        <v>182</v>
      </c>
      <c r="J156" s="100">
        <v>12</v>
      </c>
      <c r="K156" s="89">
        <f t="shared" si="93"/>
        <v>162</v>
      </c>
      <c r="L156" s="93">
        <f t="shared" si="94"/>
        <v>0.16943127962085308</v>
      </c>
      <c r="M156" s="85">
        <f t="shared" si="86"/>
        <v>127.29411764705883</v>
      </c>
      <c r="N156" s="186"/>
      <c r="O156" s="152"/>
      <c r="P156" s="152"/>
      <c r="Q156" s="2"/>
      <c r="R156" s="2"/>
      <c r="S156" s="2"/>
      <c r="T156" s="2"/>
      <c r="U156" s="2"/>
      <c r="V156" s="2"/>
      <c r="W156" s="2"/>
      <c r="X156" s="2"/>
      <c r="Y156" s="2"/>
      <c r="Z156" s="1"/>
      <c r="AA156" s="1"/>
      <c r="AB156" s="1"/>
      <c r="AC156" s="1"/>
      <c r="AD156" s="1"/>
      <c r="AE156" s="1"/>
      <c r="AF156" s="1"/>
      <c r="AG156" s="1"/>
      <c r="AH156" s="1"/>
      <c r="AI156" s="1"/>
      <c r="AJ156" s="1"/>
    </row>
    <row r="157" spans="1:36" ht="17.25" thickBot="1" x14ac:dyDescent="0.35">
      <c r="A157" s="147"/>
      <c r="B157" s="97">
        <v>43727</v>
      </c>
      <c r="C157" s="103">
        <v>23.25</v>
      </c>
      <c r="D157" s="150"/>
      <c r="E157" s="150"/>
      <c r="F157" s="100">
        <v>405</v>
      </c>
      <c r="G157" s="89">
        <f t="shared" si="91"/>
        <v>2835</v>
      </c>
      <c r="H157" s="100">
        <v>22</v>
      </c>
      <c r="I157" s="89">
        <f t="shared" si="92"/>
        <v>154</v>
      </c>
      <c r="J157" s="100">
        <v>16</v>
      </c>
      <c r="K157" s="89">
        <f t="shared" si="93"/>
        <v>216</v>
      </c>
      <c r="L157" s="93">
        <f t="shared" si="94"/>
        <v>0.25296208530805686</v>
      </c>
      <c r="M157" s="85">
        <f t="shared" si="86"/>
        <v>137.84946236559139</v>
      </c>
      <c r="N157" s="186"/>
      <c r="O157" s="152"/>
      <c r="P157" s="152"/>
      <c r="Q157" s="2"/>
      <c r="R157" s="2"/>
      <c r="S157" s="2"/>
      <c r="T157" s="2"/>
      <c r="U157" s="2"/>
      <c r="V157" s="2"/>
      <c r="W157" s="2"/>
      <c r="X157" s="2"/>
      <c r="Y157" s="2"/>
      <c r="Z157" s="1"/>
      <c r="AA157" s="1"/>
      <c r="AB157" s="1"/>
      <c r="AC157" s="1"/>
      <c r="AD157" s="1"/>
      <c r="AE157" s="1"/>
      <c r="AF157" s="1"/>
      <c r="AG157" s="1"/>
      <c r="AH157" s="1"/>
      <c r="AI157" s="1"/>
      <c r="AJ157" s="1"/>
    </row>
    <row r="158" spans="1:36" ht="17.25" thickBot="1" x14ac:dyDescent="0.35">
      <c r="A158" s="147"/>
      <c r="B158" s="97">
        <v>43728</v>
      </c>
      <c r="C158" s="103">
        <v>42.5</v>
      </c>
      <c r="D158" s="150"/>
      <c r="E158" s="150"/>
      <c r="F158" s="100">
        <v>749</v>
      </c>
      <c r="G158" s="89">
        <f t="shared" si="91"/>
        <v>5243</v>
      </c>
      <c r="H158" s="100">
        <v>48</v>
      </c>
      <c r="I158" s="89">
        <f t="shared" si="92"/>
        <v>336</v>
      </c>
      <c r="J158" s="100">
        <v>23</v>
      </c>
      <c r="K158" s="89">
        <f t="shared" si="93"/>
        <v>310.5</v>
      </c>
      <c r="L158" s="93">
        <f t="shared" si="94"/>
        <v>0.47215639810426541</v>
      </c>
      <c r="M158" s="85">
        <f t="shared" si="86"/>
        <v>138.57647058823528</v>
      </c>
      <c r="N158" s="186"/>
      <c r="O158" s="152"/>
      <c r="P158" s="152"/>
      <c r="Q158" s="2"/>
      <c r="R158" s="2"/>
      <c r="S158" s="2"/>
      <c r="T158" s="2"/>
      <c r="U158" s="2"/>
      <c r="V158" s="2"/>
      <c r="W158" s="2"/>
      <c r="X158" s="2"/>
      <c r="Y158" s="2"/>
      <c r="Z158" s="1"/>
      <c r="AA158" s="1"/>
      <c r="AB158" s="1"/>
      <c r="AC158" s="1"/>
      <c r="AD158" s="1"/>
      <c r="AE158" s="1"/>
      <c r="AF158" s="1"/>
      <c r="AG158" s="1"/>
      <c r="AH158" s="1"/>
      <c r="AI158" s="1"/>
      <c r="AJ158" s="1"/>
    </row>
    <row r="159" spans="1:36" ht="17.25" thickBot="1" x14ac:dyDescent="0.35">
      <c r="A159" s="147"/>
      <c r="B159" s="98">
        <v>43729</v>
      </c>
      <c r="C159" s="104">
        <v>27</v>
      </c>
      <c r="D159" s="151"/>
      <c r="E159" s="151"/>
      <c r="F159" s="101">
        <v>450</v>
      </c>
      <c r="G159" s="89">
        <f t="shared" si="91"/>
        <v>3150</v>
      </c>
      <c r="H159" s="101">
        <v>30</v>
      </c>
      <c r="I159" s="89">
        <f t="shared" si="92"/>
        <v>210</v>
      </c>
      <c r="J159" s="101">
        <v>8</v>
      </c>
      <c r="K159" s="89">
        <f t="shared" si="93"/>
        <v>108</v>
      </c>
      <c r="L159" s="93">
        <f t="shared" si="94"/>
        <v>0.28436018957345971</v>
      </c>
      <c r="M159" s="87">
        <f t="shared" si="86"/>
        <v>128.44444444444446</v>
      </c>
      <c r="N159" s="186"/>
      <c r="O159" s="152"/>
      <c r="P159" s="152"/>
      <c r="Q159" s="2"/>
      <c r="R159" s="2"/>
      <c r="S159" s="2"/>
      <c r="T159" s="2"/>
      <c r="U159" s="2"/>
      <c r="V159" s="2"/>
      <c r="W159" s="2"/>
      <c r="X159" s="2"/>
      <c r="Y159" s="2"/>
      <c r="Z159" s="1"/>
      <c r="AA159" s="1"/>
      <c r="AB159" s="1"/>
      <c r="AC159" s="1"/>
      <c r="AD159" s="1"/>
      <c r="AE159" s="1"/>
      <c r="AF159" s="1"/>
      <c r="AG159" s="1"/>
      <c r="AH159" s="1"/>
      <c r="AI159" s="1"/>
      <c r="AJ159" s="1"/>
    </row>
    <row r="160" spans="1:36" ht="17.25" thickBot="1" x14ac:dyDescent="0.35">
      <c r="A160" s="146">
        <v>39</v>
      </c>
      <c r="B160" s="105">
        <v>43731</v>
      </c>
      <c r="C160" s="102">
        <v>41.75</v>
      </c>
      <c r="D160" s="149">
        <f t="shared" ref="D160" si="106">SUM(G160:G165)+SUM(I160:I165)</f>
        <v>13426</v>
      </c>
      <c r="E160" s="149">
        <f t="shared" ref="E160" si="107">SUM(G160:G165,K160:K165,H160:H165)</f>
        <v>14270.5</v>
      </c>
      <c r="F160" s="99">
        <v>709</v>
      </c>
      <c r="G160" s="91">
        <f t="shared" si="91"/>
        <v>4963</v>
      </c>
      <c r="H160" s="99">
        <v>59</v>
      </c>
      <c r="I160" s="91">
        <f t="shared" si="92"/>
        <v>413</v>
      </c>
      <c r="J160" s="99">
        <v>37</v>
      </c>
      <c r="K160" s="91">
        <f t="shared" si="93"/>
        <v>499.5</v>
      </c>
      <c r="L160" s="92">
        <f t="shared" si="94"/>
        <v>0.45497630331753552</v>
      </c>
      <c r="M160" s="83">
        <f t="shared" si="86"/>
        <v>140.73053892215569</v>
      </c>
      <c r="N160" s="186">
        <f>AVERAGE(M160:M165)</f>
        <v>132.89762293594632</v>
      </c>
      <c r="O160" s="152">
        <f t="shared" ref="O160" si="108">SUM(L160:L165)</f>
        <v>1.136255924170616</v>
      </c>
      <c r="P160" s="152">
        <v>0.61137440758293837</v>
      </c>
      <c r="Q160" s="2"/>
      <c r="R160" s="2"/>
      <c r="S160" s="2"/>
      <c r="T160" s="2"/>
      <c r="U160" s="2"/>
      <c r="V160" s="2"/>
      <c r="W160" s="2"/>
      <c r="X160" s="2"/>
      <c r="Y160" s="2"/>
      <c r="Z160" s="1"/>
      <c r="AA160" s="1"/>
      <c r="AB160" s="1"/>
      <c r="AC160" s="1"/>
      <c r="AD160" s="1"/>
      <c r="AE160" s="1"/>
      <c r="AF160" s="1"/>
      <c r="AG160" s="1"/>
      <c r="AH160" s="1"/>
      <c r="AI160" s="1"/>
      <c r="AJ160" s="1"/>
    </row>
    <row r="161" spans="1:36" ht="17.25" thickBot="1" x14ac:dyDescent="0.35">
      <c r="A161" s="147"/>
      <c r="B161" s="97">
        <v>43732</v>
      </c>
      <c r="C161" s="103">
        <v>25.5</v>
      </c>
      <c r="D161" s="150"/>
      <c r="E161" s="150"/>
      <c r="F161" s="100">
        <v>450</v>
      </c>
      <c r="G161" s="89">
        <f t="shared" si="91"/>
        <v>3150</v>
      </c>
      <c r="H161" s="100">
        <v>41</v>
      </c>
      <c r="I161" s="89">
        <f t="shared" si="92"/>
        <v>287</v>
      </c>
      <c r="J161" s="100">
        <v>23</v>
      </c>
      <c r="K161" s="89">
        <f t="shared" si="93"/>
        <v>310.5</v>
      </c>
      <c r="L161" s="93">
        <f t="shared" si="94"/>
        <v>0.29087677725118483</v>
      </c>
      <c r="M161" s="85">
        <f t="shared" si="86"/>
        <v>146.9607843137255</v>
      </c>
      <c r="N161" s="186"/>
      <c r="O161" s="152"/>
      <c r="P161" s="152"/>
      <c r="Q161" s="2"/>
      <c r="R161" s="2"/>
      <c r="S161" s="2"/>
      <c r="T161" s="2"/>
      <c r="U161" s="2"/>
      <c r="V161" s="2"/>
      <c r="W161" s="2"/>
      <c r="X161" s="2"/>
      <c r="Y161" s="2"/>
      <c r="Z161" s="1"/>
      <c r="AA161" s="1"/>
      <c r="AB161" s="1"/>
      <c r="AC161" s="1"/>
      <c r="AD161" s="1"/>
      <c r="AE161" s="1"/>
      <c r="AF161" s="1"/>
      <c r="AG161" s="1"/>
      <c r="AH161" s="1"/>
      <c r="AI161" s="1"/>
      <c r="AJ161" s="1"/>
    </row>
    <row r="162" spans="1:36" ht="17.25" thickBot="1" x14ac:dyDescent="0.35">
      <c r="A162" s="147"/>
      <c r="B162" s="97">
        <v>43733</v>
      </c>
      <c r="C162" s="103">
        <v>8.5</v>
      </c>
      <c r="D162" s="150"/>
      <c r="E162" s="150"/>
      <c r="F162" s="100">
        <v>150</v>
      </c>
      <c r="G162" s="89">
        <f t="shared" si="91"/>
        <v>1050</v>
      </c>
      <c r="H162" s="100">
        <v>17</v>
      </c>
      <c r="I162" s="89">
        <f t="shared" si="92"/>
        <v>119</v>
      </c>
      <c r="J162" s="100">
        <v>8</v>
      </c>
      <c r="K162" s="89">
        <f t="shared" si="93"/>
        <v>108</v>
      </c>
      <c r="L162" s="93">
        <f t="shared" si="94"/>
        <v>9.8933649289099521E-2</v>
      </c>
      <c r="M162" s="85">
        <f t="shared" si="86"/>
        <v>150.23529411764707</v>
      </c>
      <c r="N162" s="186"/>
      <c r="O162" s="152"/>
      <c r="P162" s="152"/>
      <c r="Q162" s="2"/>
      <c r="R162" s="2"/>
      <c r="S162" s="2"/>
      <c r="T162" s="2"/>
      <c r="U162" s="2"/>
      <c r="V162" s="2"/>
      <c r="W162" s="2"/>
      <c r="X162" s="2"/>
      <c r="Y162" s="2"/>
      <c r="Z162" s="1"/>
      <c r="AA162" s="1"/>
      <c r="AB162" s="1"/>
      <c r="AC162" s="1"/>
      <c r="AD162" s="1"/>
      <c r="AE162" s="1"/>
      <c r="AF162" s="1"/>
      <c r="AG162" s="1"/>
      <c r="AH162" s="1"/>
      <c r="AI162" s="1"/>
      <c r="AJ162" s="1"/>
    </row>
    <row r="163" spans="1:36" ht="17.25" thickBot="1" x14ac:dyDescent="0.35">
      <c r="A163" s="147"/>
      <c r="B163" s="97">
        <v>43734</v>
      </c>
      <c r="C163" s="103">
        <v>8.5</v>
      </c>
      <c r="D163" s="150"/>
      <c r="E163" s="150"/>
      <c r="F163" s="100">
        <v>121</v>
      </c>
      <c r="G163" s="89">
        <f t="shared" si="91"/>
        <v>847</v>
      </c>
      <c r="H163" s="100">
        <v>14</v>
      </c>
      <c r="I163" s="89">
        <f t="shared" si="92"/>
        <v>98</v>
      </c>
      <c r="J163" s="100">
        <v>9</v>
      </c>
      <c r="K163" s="89">
        <f t="shared" si="93"/>
        <v>121.5</v>
      </c>
      <c r="L163" s="93">
        <f t="shared" si="94"/>
        <v>7.9976303317535538E-2</v>
      </c>
      <c r="M163" s="85">
        <f t="shared" si="86"/>
        <v>125.47058823529412</v>
      </c>
      <c r="N163" s="186"/>
      <c r="O163" s="152"/>
      <c r="P163" s="152"/>
      <c r="Q163" s="2"/>
      <c r="R163" s="2"/>
      <c r="S163" s="2"/>
      <c r="T163" s="2"/>
      <c r="U163" s="2"/>
      <c r="V163" s="2"/>
      <c r="W163" s="2"/>
      <c r="X163" s="2"/>
      <c r="Y163" s="2"/>
      <c r="Z163" s="1"/>
      <c r="AA163" s="1"/>
      <c r="AB163" s="1"/>
      <c r="AC163" s="1"/>
      <c r="AD163" s="1"/>
      <c r="AE163" s="1"/>
      <c r="AF163" s="1"/>
      <c r="AG163" s="1"/>
      <c r="AH163" s="1"/>
      <c r="AI163" s="1"/>
      <c r="AJ163" s="1"/>
    </row>
    <row r="164" spans="1:36" ht="17.25" thickBot="1" x14ac:dyDescent="0.35">
      <c r="A164" s="147"/>
      <c r="B164" s="97">
        <v>43735</v>
      </c>
      <c r="C164" s="103">
        <v>33</v>
      </c>
      <c r="D164" s="150"/>
      <c r="E164" s="150"/>
      <c r="F164" s="100">
        <v>316</v>
      </c>
      <c r="G164" s="89">
        <f t="shared" si="91"/>
        <v>2212</v>
      </c>
      <c r="H164" s="100">
        <v>41</v>
      </c>
      <c r="I164" s="89">
        <f t="shared" si="92"/>
        <v>287</v>
      </c>
      <c r="J164" s="100">
        <v>62</v>
      </c>
      <c r="K164" s="89">
        <f t="shared" si="93"/>
        <v>837</v>
      </c>
      <c r="L164" s="93">
        <f t="shared" si="94"/>
        <v>0.21149289099526067</v>
      </c>
      <c r="M164" s="85">
        <f t="shared" si="86"/>
        <v>101.09090909090909</v>
      </c>
      <c r="N164" s="186"/>
      <c r="O164" s="152"/>
      <c r="P164" s="152"/>
      <c r="Q164" s="2"/>
      <c r="R164" s="2"/>
      <c r="S164" s="2"/>
      <c r="T164" s="2"/>
      <c r="U164" s="2"/>
      <c r="V164" s="2"/>
      <c r="W164" s="2"/>
      <c r="X164" s="2"/>
      <c r="Y164" s="2"/>
      <c r="Z164" s="1"/>
      <c r="AA164" s="1"/>
      <c r="AB164" s="1"/>
      <c r="AC164" s="1"/>
      <c r="AD164" s="1"/>
      <c r="AE164" s="1"/>
      <c r="AF164" s="1"/>
      <c r="AG164" s="1"/>
      <c r="AH164" s="1"/>
      <c r="AI164" s="1"/>
      <c r="AJ164" s="1"/>
    </row>
    <row r="165" spans="1:36" ht="17.25" thickBot="1" x14ac:dyDescent="0.35">
      <c r="A165" s="148"/>
      <c r="B165" s="98"/>
      <c r="C165" s="104"/>
      <c r="D165" s="151"/>
      <c r="E165" s="151"/>
      <c r="F165" s="101"/>
      <c r="G165" s="90">
        <f t="shared" si="91"/>
        <v>0</v>
      </c>
      <c r="H165" s="101"/>
      <c r="I165" s="90">
        <f t="shared" si="92"/>
        <v>0</v>
      </c>
      <c r="J165" s="101"/>
      <c r="K165" s="90">
        <f t="shared" si="93"/>
        <v>0</v>
      </c>
      <c r="L165" s="94">
        <f t="shared" si="94"/>
        <v>0</v>
      </c>
      <c r="M165" s="87" t="str">
        <f t="shared" si="86"/>
        <v/>
      </c>
      <c r="N165" s="186"/>
      <c r="O165" s="152"/>
      <c r="P165" s="152"/>
      <c r="Q165" s="2"/>
      <c r="R165" s="2"/>
      <c r="S165" s="2"/>
      <c r="T165" s="2"/>
      <c r="U165" s="2"/>
      <c r="V165" s="2"/>
      <c r="W165" s="2"/>
      <c r="X165" s="2"/>
      <c r="Y165" s="2"/>
      <c r="Z165" s="1"/>
      <c r="AA165" s="1"/>
      <c r="AB165" s="1"/>
      <c r="AC165" s="1"/>
      <c r="AD165" s="1"/>
      <c r="AE165" s="1"/>
      <c r="AF165" s="1"/>
      <c r="AG165" s="1"/>
      <c r="AH165" s="1"/>
      <c r="AI165" s="1"/>
      <c r="AJ165" s="1"/>
    </row>
    <row r="166" spans="1:36" ht="17.25" thickBot="1" x14ac:dyDescent="0.35">
      <c r="A166" s="147">
        <v>40</v>
      </c>
      <c r="B166" s="105">
        <v>43738</v>
      </c>
      <c r="C166" s="102">
        <v>17</v>
      </c>
      <c r="D166" s="149">
        <f t="shared" ref="D166" si="109">SUM(G166:G171)+SUM(I166:I171)</f>
        <v>4494</v>
      </c>
      <c r="E166" s="149">
        <f t="shared" ref="E166" si="110">SUM(G166:G171,K166:K171,H166:H171)</f>
        <v>7038</v>
      </c>
      <c r="F166" s="99">
        <v>121</v>
      </c>
      <c r="G166" s="89">
        <f t="shared" si="91"/>
        <v>847</v>
      </c>
      <c r="H166" s="99">
        <v>22</v>
      </c>
      <c r="I166" s="89">
        <f t="shared" si="92"/>
        <v>154</v>
      </c>
      <c r="J166" s="99">
        <v>50</v>
      </c>
      <c r="K166" s="89">
        <f t="shared" si="93"/>
        <v>675</v>
      </c>
      <c r="L166" s="93">
        <f t="shared" si="94"/>
        <v>8.4715639810426541E-2</v>
      </c>
      <c r="M166" s="83">
        <f t="shared" si="86"/>
        <v>98.588235294117652</v>
      </c>
      <c r="N166" s="186">
        <f t="shared" ref="N166" si="111">AVERAGE(M166:M171)</f>
        <v>97.535986743993362</v>
      </c>
      <c r="O166" s="152">
        <f t="shared" ref="O166" si="112">SUM(L166:L171)</f>
        <v>0.38033175355450238</v>
      </c>
      <c r="P166" s="152">
        <v>0.75829383886255919</v>
      </c>
      <c r="Q166" s="2"/>
      <c r="R166" s="2"/>
      <c r="S166" s="2"/>
      <c r="T166" s="2"/>
      <c r="U166" s="2"/>
      <c r="V166" s="2"/>
      <c r="W166" s="2"/>
      <c r="X166" s="2"/>
      <c r="Y166" s="2"/>
      <c r="Z166" s="1"/>
      <c r="AA166" s="1"/>
      <c r="AB166" s="1"/>
      <c r="AC166" s="1"/>
      <c r="AD166" s="1"/>
      <c r="AE166" s="1"/>
      <c r="AF166" s="1"/>
      <c r="AG166" s="1"/>
      <c r="AH166" s="1"/>
      <c r="AI166" s="1"/>
      <c r="AJ166" s="1"/>
    </row>
    <row r="167" spans="1:36" ht="17.25" thickBot="1" x14ac:dyDescent="0.35">
      <c r="A167" s="147"/>
      <c r="B167" s="97">
        <v>43739</v>
      </c>
      <c r="C167" s="103">
        <v>8.5</v>
      </c>
      <c r="D167" s="150"/>
      <c r="E167" s="150"/>
      <c r="F167" s="100">
        <v>44</v>
      </c>
      <c r="G167" s="89">
        <f t="shared" si="91"/>
        <v>308</v>
      </c>
      <c r="H167" s="100">
        <v>15</v>
      </c>
      <c r="I167" s="89">
        <f t="shared" si="92"/>
        <v>105</v>
      </c>
      <c r="J167" s="100">
        <v>30</v>
      </c>
      <c r="K167" s="89">
        <f t="shared" si="93"/>
        <v>405</v>
      </c>
      <c r="L167" s="93">
        <f t="shared" si="94"/>
        <v>3.495260663507109E-2</v>
      </c>
      <c r="M167" s="85">
        <f t="shared" si="86"/>
        <v>96.235294117647058</v>
      </c>
      <c r="N167" s="186"/>
      <c r="O167" s="152"/>
      <c r="P167" s="152"/>
      <c r="Q167" s="2"/>
      <c r="R167" s="2"/>
      <c r="S167" s="2"/>
      <c r="T167" s="2"/>
      <c r="U167" s="2"/>
      <c r="V167" s="2"/>
      <c r="W167" s="2"/>
      <c r="X167" s="2"/>
      <c r="Y167" s="2"/>
      <c r="Z167" s="1"/>
      <c r="AA167" s="1"/>
      <c r="AB167" s="1"/>
      <c r="AC167" s="1"/>
      <c r="AD167" s="1"/>
      <c r="AE167" s="1"/>
      <c r="AF167" s="1"/>
      <c r="AG167" s="1"/>
      <c r="AH167" s="1"/>
      <c r="AI167" s="1"/>
      <c r="AJ167" s="1"/>
    </row>
    <row r="168" spans="1:36" ht="17.25" thickBot="1" x14ac:dyDescent="0.35">
      <c r="A168" s="147"/>
      <c r="B168" s="97">
        <v>43740</v>
      </c>
      <c r="C168" s="103">
        <v>8.5</v>
      </c>
      <c r="D168" s="150"/>
      <c r="E168" s="150"/>
      <c r="F168" s="100">
        <v>51</v>
      </c>
      <c r="G168" s="89">
        <f t="shared" si="91"/>
        <v>357</v>
      </c>
      <c r="H168" s="100">
        <v>16</v>
      </c>
      <c r="I168" s="89">
        <f t="shared" si="92"/>
        <v>112</v>
      </c>
      <c r="J168" s="100">
        <v>33</v>
      </c>
      <c r="K168" s="89">
        <f t="shared" si="93"/>
        <v>445.5</v>
      </c>
      <c r="L168" s="93">
        <f t="shared" si="94"/>
        <v>3.9691943127962086E-2</v>
      </c>
      <c r="M168" s="85">
        <f t="shared" si="86"/>
        <v>107.58823529411765</v>
      </c>
      <c r="N168" s="186"/>
      <c r="O168" s="152"/>
      <c r="P168" s="152"/>
      <c r="Q168" s="2"/>
      <c r="R168" s="2"/>
      <c r="S168" s="2"/>
      <c r="T168" s="2"/>
      <c r="U168" s="2"/>
      <c r="V168" s="2"/>
      <c r="W168" s="2"/>
      <c r="X168" s="2"/>
      <c r="Y168" s="2"/>
      <c r="Z168" s="1"/>
      <c r="AA168" s="1"/>
      <c r="AB168" s="1"/>
      <c r="AC168" s="1"/>
      <c r="AD168" s="1"/>
      <c r="AE168" s="1"/>
      <c r="AF168" s="1"/>
      <c r="AG168" s="1"/>
      <c r="AH168" s="1"/>
      <c r="AI168" s="1"/>
      <c r="AJ168" s="1"/>
    </row>
    <row r="169" spans="1:36" ht="17.25" thickBot="1" x14ac:dyDescent="0.35">
      <c r="A169" s="147"/>
      <c r="B169" s="97">
        <v>43741</v>
      </c>
      <c r="C169" s="103">
        <v>12.5</v>
      </c>
      <c r="D169" s="150"/>
      <c r="E169" s="150"/>
      <c r="F169" s="100">
        <v>80</v>
      </c>
      <c r="G169" s="89">
        <f t="shared" si="91"/>
        <v>560</v>
      </c>
      <c r="H169" s="100">
        <v>18</v>
      </c>
      <c r="I169" s="89">
        <f t="shared" si="92"/>
        <v>126</v>
      </c>
      <c r="J169" s="100">
        <v>42</v>
      </c>
      <c r="K169" s="89">
        <f t="shared" si="93"/>
        <v>567</v>
      </c>
      <c r="L169" s="93">
        <f t="shared" si="94"/>
        <v>5.8056872037914695E-2</v>
      </c>
      <c r="M169" s="85">
        <f t="shared" si="86"/>
        <v>100.24</v>
      </c>
      <c r="N169" s="186"/>
      <c r="O169" s="152"/>
      <c r="P169" s="152"/>
      <c r="Q169" s="2"/>
      <c r="R169" s="2"/>
      <c r="S169" s="2"/>
      <c r="T169" s="2"/>
      <c r="U169" s="2"/>
      <c r="V169" s="2"/>
      <c r="W169" s="2"/>
      <c r="X169" s="2"/>
      <c r="Y169" s="2"/>
      <c r="Z169" s="1"/>
      <c r="AA169" s="1"/>
      <c r="AB169" s="1"/>
      <c r="AC169" s="1"/>
      <c r="AD169" s="1"/>
      <c r="AE169" s="1"/>
      <c r="AF169" s="1"/>
      <c r="AG169" s="1"/>
      <c r="AH169" s="1"/>
      <c r="AI169" s="1"/>
      <c r="AJ169" s="1"/>
    </row>
    <row r="170" spans="1:36" ht="17.25" thickBot="1" x14ac:dyDescent="0.35">
      <c r="A170" s="147"/>
      <c r="B170" s="97">
        <v>43742</v>
      </c>
      <c r="C170" s="103">
        <v>35.5</v>
      </c>
      <c r="D170" s="150"/>
      <c r="E170" s="150"/>
      <c r="F170" s="100">
        <v>239</v>
      </c>
      <c r="G170" s="89">
        <f t="shared" si="91"/>
        <v>1673</v>
      </c>
      <c r="H170" s="100">
        <v>36</v>
      </c>
      <c r="I170" s="89">
        <f t="shared" si="92"/>
        <v>252</v>
      </c>
      <c r="J170" s="100">
        <v>81</v>
      </c>
      <c r="K170" s="89">
        <f t="shared" si="93"/>
        <v>1093.5</v>
      </c>
      <c r="L170" s="93">
        <f t="shared" si="94"/>
        <v>0.16291469194312796</v>
      </c>
      <c r="M170" s="85">
        <f t="shared" si="86"/>
        <v>85.028169014084511</v>
      </c>
      <c r="N170" s="186"/>
      <c r="O170" s="152"/>
      <c r="P170" s="152"/>
      <c r="Q170" s="2"/>
      <c r="R170" s="2"/>
      <c r="S170" s="2"/>
      <c r="T170" s="2"/>
      <c r="U170" s="2"/>
      <c r="V170" s="2"/>
      <c r="W170" s="2"/>
      <c r="X170" s="2"/>
      <c r="Y170" s="2"/>
      <c r="Z170" s="1"/>
      <c r="AA170" s="1"/>
      <c r="AB170" s="1"/>
      <c r="AC170" s="1"/>
      <c r="AD170" s="1"/>
      <c r="AE170" s="1"/>
      <c r="AF170" s="1"/>
      <c r="AG170" s="1"/>
      <c r="AH170" s="1"/>
      <c r="AI170" s="1"/>
      <c r="AJ170" s="1"/>
    </row>
    <row r="171" spans="1:36" ht="17.25" thickBot="1" x14ac:dyDescent="0.35">
      <c r="A171" s="147"/>
      <c r="B171" s="98"/>
      <c r="C171" s="104"/>
      <c r="D171" s="151"/>
      <c r="E171" s="151"/>
      <c r="F171" s="101"/>
      <c r="G171" s="89">
        <f t="shared" si="91"/>
        <v>0</v>
      </c>
      <c r="H171" s="101"/>
      <c r="I171" s="89">
        <f t="shared" si="92"/>
        <v>0</v>
      </c>
      <c r="J171" s="101"/>
      <c r="K171" s="89">
        <f t="shared" si="93"/>
        <v>0</v>
      </c>
      <c r="L171" s="93">
        <f t="shared" si="94"/>
        <v>0</v>
      </c>
      <c r="M171" s="87" t="str">
        <f t="shared" si="86"/>
        <v/>
      </c>
      <c r="N171" s="186"/>
      <c r="O171" s="152"/>
      <c r="P171" s="152"/>
      <c r="Q171" s="2"/>
      <c r="R171" s="2"/>
      <c r="S171" s="2"/>
      <c r="T171" s="2"/>
      <c r="U171" s="2"/>
      <c r="V171" s="2"/>
      <c r="W171" s="2"/>
      <c r="X171" s="2"/>
      <c r="Y171" s="2"/>
      <c r="Z171" s="1"/>
      <c r="AA171" s="1"/>
      <c r="AB171" s="1"/>
      <c r="AC171" s="1"/>
      <c r="AD171" s="1"/>
      <c r="AE171" s="1"/>
      <c r="AF171" s="1"/>
      <c r="AG171" s="1"/>
      <c r="AH171" s="1"/>
      <c r="AI171" s="1"/>
      <c r="AJ171" s="1"/>
    </row>
    <row r="172" spans="1:36" ht="17.25" thickBot="1" x14ac:dyDescent="0.35">
      <c r="A172" s="146">
        <v>41</v>
      </c>
      <c r="B172" s="105">
        <v>43745</v>
      </c>
      <c r="C172" s="102">
        <v>31.25</v>
      </c>
      <c r="D172" s="149">
        <f t="shared" ref="D172" si="113">SUM(G172:G177)+SUM(I172:I177)</f>
        <v>10514</v>
      </c>
      <c r="E172" s="149">
        <f t="shared" ref="E172" si="114">SUM(G172:G177,K172:K177,H172:H177)</f>
        <v>14682.5</v>
      </c>
      <c r="F172" s="99">
        <v>430</v>
      </c>
      <c r="G172" s="91">
        <f t="shared" si="91"/>
        <v>3010</v>
      </c>
      <c r="H172" s="99">
        <v>28</v>
      </c>
      <c r="I172" s="91">
        <f t="shared" si="92"/>
        <v>196</v>
      </c>
      <c r="J172" s="99">
        <v>28</v>
      </c>
      <c r="K172" s="91">
        <f t="shared" si="93"/>
        <v>378</v>
      </c>
      <c r="L172" s="92">
        <f t="shared" si="94"/>
        <v>0.27132701421800948</v>
      </c>
      <c r="M172" s="83">
        <f t="shared" si="86"/>
        <v>114.688</v>
      </c>
      <c r="N172" s="186">
        <f>AVERAGE(M172:M177)</f>
        <v>114.3168182821119</v>
      </c>
      <c r="O172" s="152">
        <f t="shared" ref="O172" si="115">SUM(L172:L177)</f>
        <v>0.88981042654028442</v>
      </c>
      <c r="P172" s="152">
        <v>0.45082938388625593</v>
      </c>
      <c r="Q172" s="2"/>
      <c r="R172" s="2"/>
      <c r="S172" s="2"/>
      <c r="T172" s="2"/>
      <c r="U172" s="2"/>
      <c r="V172" s="2"/>
      <c r="W172" s="2"/>
      <c r="X172" s="2"/>
      <c r="Y172" s="2"/>
      <c r="Z172" s="1"/>
      <c r="AA172" s="1"/>
      <c r="AB172" s="1"/>
      <c r="AC172" s="1"/>
      <c r="AD172" s="1"/>
      <c r="AE172" s="1"/>
      <c r="AF172" s="1"/>
      <c r="AG172" s="1"/>
      <c r="AH172" s="1"/>
      <c r="AI172" s="1"/>
      <c r="AJ172" s="1"/>
    </row>
    <row r="173" spans="1:36" ht="17.25" thickBot="1" x14ac:dyDescent="0.35">
      <c r="A173" s="147"/>
      <c r="B173" s="97">
        <v>43746</v>
      </c>
      <c r="C173" s="103">
        <v>25</v>
      </c>
      <c r="D173" s="150"/>
      <c r="E173" s="150"/>
      <c r="F173" s="100">
        <v>275</v>
      </c>
      <c r="G173" s="89">
        <f t="shared" si="91"/>
        <v>1925</v>
      </c>
      <c r="H173" s="100">
        <v>18</v>
      </c>
      <c r="I173" s="89">
        <f t="shared" si="92"/>
        <v>126</v>
      </c>
      <c r="J173" s="100">
        <v>38</v>
      </c>
      <c r="K173" s="89">
        <f t="shared" si="93"/>
        <v>513</v>
      </c>
      <c r="L173" s="93">
        <f t="shared" si="94"/>
        <v>0.1735781990521327</v>
      </c>
      <c r="M173" s="85">
        <f t="shared" si="86"/>
        <v>102.56</v>
      </c>
      <c r="N173" s="186"/>
      <c r="O173" s="152"/>
      <c r="P173" s="152"/>
      <c r="Q173" s="2"/>
      <c r="R173" s="2"/>
      <c r="S173" s="2"/>
      <c r="T173" s="2"/>
      <c r="U173" s="2"/>
      <c r="V173" s="2"/>
      <c r="W173" s="2"/>
      <c r="X173" s="2"/>
      <c r="Y173" s="2"/>
      <c r="Z173" s="1"/>
      <c r="AA173" s="1"/>
      <c r="AB173" s="1"/>
      <c r="AC173" s="1"/>
      <c r="AD173" s="1"/>
      <c r="AE173" s="1"/>
      <c r="AF173" s="1"/>
      <c r="AG173" s="1"/>
      <c r="AH173" s="1"/>
      <c r="AI173" s="1"/>
      <c r="AJ173" s="1"/>
    </row>
    <row r="174" spans="1:36" ht="17.25" thickBot="1" x14ac:dyDescent="0.35">
      <c r="A174" s="147"/>
      <c r="B174" s="97">
        <v>43747</v>
      </c>
      <c r="C174" s="103">
        <v>9</v>
      </c>
      <c r="D174" s="150"/>
      <c r="E174" s="150"/>
      <c r="F174" s="100">
        <v>117</v>
      </c>
      <c r="G174" s="89">
        <f t="shared" si="91"/>
        <v>819</v>
      </c>
      <c r="H174" s="100">
        <v>11</v>
      </c>
      <c r="I174" s="89">
        <f t="shared" si="92"/>
        <v>77</v>
      </c>
      <c r="J174" s="100">
        <v>25</v>
      </c>
      <c r="K174" s="89">
        <f t="shared" si="93"/>
        <v>337.5</v>
      </c>
      <c r="L174" s="93">
        <f t="shared" si="94"/>
        <v>7.582938388625593E-2</v>
      </c>
      <c r="M174" s="85">
        <f t="shared" si="86"/>
        <v>137.05555555555554</v>
      </c>
      <c r="N174" s="186"/>
      <c r="O174" s="152"/>
      <c r="P174" s="152"/>
      <c r="Q174" s="2"/>
      <c r="R174" s="2"/>
      <c r="S174" s="2"/>
      <c r="T174" s="2"/>
      <c r="U174" s="2"/>
      <c r="V174" s="2"/>
      <c r="W174" s="2"/>
      <c r="X174" s="2"/>
      <c r="Y174" s="2"/>
      <c r="Z174" s="1"/>
      <c r="AA174" s="1"/>
      <c r="AB174" s="1"/>
      <c r="AC174" s="1"/>
      <c r="AD174" s="1"/>
      <c r="AE174" s="1"/>
      <c r="AF174" s="1"/>
      <c r="AG174" s="1"/>
      <c r="AH174" s="1"/>
      <c r="AI174" s="1"/>
      <c r="AJ174" s="1"/>
    </row>
    <row r="175" spans="1:36" ht="17.25" thickBot="1" x14ac:dyDescent="0.35">
      <c r="A175" s="147"/>
      <c r="B175" s="97">
        <v>43748</v>
      </c>
      <c r="C175" s="103">
        <v>27</v>
      </c>
      <c r="D175" s="150"/>
      <c r="E175" s="150"/>
      <c r="F175" s="100">
        <v>208</v>
      </c>
      <c r="G175" s="89">
        <f t="shared" si="91"/>
        <v>1456</v>
      </c>
      <c r="H175" s="100">
        <v>9</v>
      </c>
      <c r="I175" s="89">
        <f t="shared" si="92"/>
        <v>63</v>
      </c>
      <c r="J175" s="100">
        <v>127</v>
      </c>
      <c r="K175" s="89">
        <f t="shared" si="93"/>
        <v>1714.5</v>
      </c>
      <c r="L175" s="93">
        <f t="shared" si="94"/>
        <v>0.12855450236966826</v>
      </c>
      <c r="M175" s="85">
        <f t="shared" si="86"/>
        <v>119.75925925925925</v>
      </c>
      <c r="N175" s="186"/>
      <c r="O175" s="152"/>
      <c r="P175" s="152"/>
      <c r="Q175" s="2"/>
      <c r="R175" s="2"/>
      <c r="S175" s="2"/>
      <c r="T175" s="2"/>
      <c r="U175" s="2"/>
      <c r="V175" s="2"/>
      <c r="W175" s="2"/>
      <c r="X175" s="2"/>
      <c r="Y175" s="2"/>
      <c r="Z175" s="1"/>
      <c r="AA175" s="1"/>
      <c r="AB175" s="1"/>
      <c r="AC175" s="1"/>
      <c r="AD175" s="1"/>
      <c r="AE175" s="1"/>
      <c r="AF175" s="1"/>
      <c r="AG175" s="1"/>
      <c r="AH175" s="1"/>
      <c r="AI175" s="1"/>
      <c r="AJ175" s="1"/>
    </row>
    <row r="176" spans="1:36" ht="17.25" thickBot="1" x14ac:dyDescent="0.35">
      <c r="A176" s="147"/>
      <c r="B176" s="97">
        <v>43749</v>
      </c>
      <c r="C176" s="103">
        <v>47</v>
      </c>
      <c r="D176" s="150"/>
      <c r="E176" s="150"/>
      <c r="F176" s="100">
        <v>386</v>
      </c>
      <c r="G176" s="89">
        <f t="shared" si="91"/>
        <v>2702</v>
      </c>
      <c r="H176" s="100">
        <v>20</v>
      </c>
      <c r="I176" s="89">
        <f t="shared" si="92"/>
        <v>140</v>
      </c>
      <c r="J176" s="100">
        <v>129</v>
      </c>
      <c r="K176" s="89">
        <f t="shared" si="93"/>
        <v>1741.5</v>
      </c>
      <c r="L176" s="93">
        <f t="shared" si="94"/>
        <v>0.24052132701421802</v>
      </c>
      <c r="M176" s="85">
        <f t="shared" si="86"/>
        <v>97.521276595744681</v>
      </c>
      <c r="N176" s="186"/>
      <c r="O176" s="152"/>
      <c r="P176" s="152"/>
      <c r="Q176" s="2"/>
      <c r="R176" s="2"/>
      <c r="S176" s="2"/>
      <c r="T176" s="2"/>
      <c r="U176" s="2"/>
      <c r="V176" s="2"/>
      <c r="W176" s="2"/>
      <c r="X176" s="2"/>
      <c r="Y176" s="2"/>
      <c r="Z176" s="1"/>
      <c r="AA176" s="1"/>
      <c r="AB176" s="1"/>
      <c r="AC176" s="1"/>
      <c r="AD176" s="1"/>
      <c r="AE176" s="1"/>
      <c r="AF176" s="1"/>
      <c r="AG176" s="1"/>
      <c r="AH176" s="1"/>
      <c r="AI176" s="1"/>
      <c r="AJ176" s="1"/>
    </row>
    <row r="177" spans="1:36" ht="17.25" thickBot="1" x14ac:dyDescent="0.35">
      <c r="A177" s="148"/>
      <c r="B177" s="98"/>
      <c r="C177" s="104"/>
      <c r="D177" s="151"/>
      <c r="E177" s="151"/>
      <c r="F177" s="101"/>
      <c r="G177" s="90">
        <f t="shared" si="91"/>
        <v>0</v>
      </c>
      <c r="H177" s="101"/>
      <c r="I177" s="90">
        <f t="shared" si="92"/>
        <v>0</v>
      </c>
      <c r="J177" s="101"/>
      <c r="K177" s="90">
        <f t="shared" si="93"/>
        <v>0</v>
      </c>
      <c r="L177" s="94">
        <f t="shared" si="94"/>
        <v>0</v>
      </c>
      <c r="M177" s="87" t="str">
        <f t="shared" si="86"/>
        <v/>
      </c>
      <c r="N177" s="186"/>
      <c r="O177" s="152"/>
      <c r="P177" s="152"/>
      <c r="Q177" s="2"/>
      <c r="R177" s="2"/>
      <c r="S177" s="2"/>
      <c r="T177" s="2"/>
      <c r="U177" s="2"/>
      <c r="V177" s="2"/>
      <c r="W177" s="2"/>
      <c r="X177" s="2"/>
      <c r="Y177" s="2"/>
      <c r="Z177" s="1"/>
      <c r="AA177" s="1"/>
      <c r="AB177" s="1"/>
      <c r="AC177" s="1"/>
      <c r="AD177" s="1"/>
      <c r="AE177" s="1"/>
      <c r="AF177" s="1"/>
      <c r="AG177" s="1"/>
      <c r="AH177" s="1"/>
      <c r="AI177" s="1"/>
      <c r="AJ177" s="1"/>
    </row>
    <row r="178" spans="1:36" ht="17.25" thickBot="1" x14ac:dyDescent="0.35">
      <c r="A178" s="147">
        <v>42</v>
      </c>
      <c r="B178" s="105">
        <v>43752</v>
      </c>
      <c r="C178" s="102">
        <v>25.5</v>
      </c>
      <c r="D178" s="149">
        <f t="shared" ref="D178" si="116">SUM(G178:G183)+SUM(I178:I183)</f>
        <v>7014</v>
      </c>
      <c r="E178" s="149">
        <f t="shared" ref="E178" si="117">SUM(G178:G183,K178:K183,H178:H183)</f>
        <v>10357.5</v>
      </c>
      <c r="F178" s="99">
        <v>288</v>
      </c>
      <c r="G178" s="89">
        <f t="shared" si="91"/>
        <v>2016</v>
      </c>
      <c r="H178" s="99">
        <v>18</v>
      </c>
      <c r="I178" s="89">
        <f t="shared" si="92"/>
        <v>126</v>
      </c>
      <c r="J178" s="99">
        <v>52</v>
      </c>
      <c r="K178" s="89">
        <f t="shared" si="93"/>
        <v>702</v>
      </c>
      <c r="L178" s="93">
        <f t="shared" si="94"/>
        <v>0.18127962085308058</v>
      </c>
      <c r="M178" s="83">
        <f t="shared" si="86"/>
        <v>111.52941176470588</v>
      </c>
      <c r="N178" s="186">
        <f t="shared" ref="N178" si="118">AVERAGE(M178:M183)</f>
        <v>109.86712074303405</v>
      </c>
      <c r="O178" s="152">
        <f t="shared" ref="O178" si="119">SUM(L178:L183)</f>
        <v>0.5936018957345971</v>
      </c>
      <c r="P178" s="152">
        <v>0.61433649289099523</v>
      </c>
      <c r="Q178" s="2"/>
      <c r="R178" s="2"/>
      <c r="S178" s="2"/>
      <c r="T178" s="2"/>
      <c r="U178" s="2"/>
      <c r="V178" s="2"/>
      <c r="W178" s="2"/>
      <c r="X178" s="2"/>
      <c r="Y178" s="2"/>
      <c r="Z178" s="1"/>
      <c r="AA178" s="1"/>
      <c r="AB178" s="1"/>
      <c r="AC178" s="1"/>
      <c r="AD178" s="1"/>
      <c r="AE178" s="1"/>
      <c r="AF178" s="1"/>
      <c r="AG178" s="1"/>
      <c r="AH178" s="1"/>
      <c r="AI178" s="1"/>
      <c r="AJ178" s="1"/>
    </row>
    <row r="179" spans="1:36" ht="17.25" thickBot="1" x14ac:dyDescent="0.35">
      <c r="A179" s="147"/>
      <c r="B179" s="97">
        <v>43753</v>
      </c>
      <c r="C179" s="103">
        <v>19</v>
      </c>
      <c r="D179" s="150"/>
      <c r="E179" s="150"/>
      <c r="F179" s="100">
        <v>152</v>
      </c>
      <c r="G179" s="89">
        <f t="shared" si="91"/>
        <v>1064</v>
      </c>
      <c r="H179" s="100">
        <v>8</v>
      </c>
      <c r="I179" s="89">
        <f t="shared" si="92"/>
        <v>56</v>
      </c>
      <c r="J179" s="100">
        <v>76</v>
      </c>
      <c r="K179" s="89">
        <f t="shared" si="93"/>
        <v>1026</v>
      </c>
      <c r="L179" s="93">
        <f t="shared" si="94"/>
        <v>9.4786729857819899E-2</v>
      </c>
      <c r="M179" s="85">
        <f t="shared" si="86"/>
        <v>112.94736842105263</v>
      </c>
      <c r="N179" s="186"/>
      <c r="O179" s="152"/>
      <c r="P179" s="152"/>
      <c r="Q179" s="2"/>
      <c r="R179" s="2"/>
      <c r="S179" s="2"/>
      <c r="T179" s="2"/>
      <c r="U179" s="2"/>
      <c r="V179" s="2"/>
      <c r="W179" s="2"/>
      <c r="X179" s="2"/>
      <c r="Y179" s="2"/>
      <c r="Z179" s="1"/>
      <c r="AA179" s="1"/>
      <c r="AB179" s="1"/>
      <c r="AC179" s="1"/>
      <c r="AD179" s="1"/>
      <c r="AE179" s="1"/>
      <c r="AF179" s="1"/>
      <c r="AG179" s="1"/>
      <c r="AH179" s="1"/>
      <c r="AI179" s="1"/>
      <c r="AJ179" s="1"/>
    </row>
    <row r="180" spans="1:36" ht="17.25" thickBot="1" x14ac:dyDescent="0.35">
      <c r="A180" s="147"/>
      <c r="B180" s="97">
        <v>43754</v>
      </c>
      <c r="C180" s="103">
        <v>17</v>
      </c>
      <c r="D180" s="150"/>
      <c r="E180" s="150"/>
      <c r="F180" s="100">
        <v>150</v>
      </c>
      <c r="G180" s="89">
        <f t="shared" si="91"/>
        <v>1050</v>
      </c>
      <c r="H180" s="100">
        <v>10</v>
      </c>
      <c r="I180" s="89">
        <f t="shared" si="92"/>
        <v>70</v>
      </c>
      <c r="J180" s="100">
        <v>57</v>
      </c>
      <c r="K180" s="89">
        <f t="shared" si="93"/>
        <v>769.5</v>
      </c>
      <c r="L180" s="93">
        <f t="shared" si="94"/>
        <v>9.4786729857819899E-2</v>
      </c>
      <c r="M180" s="85">
        <f t="shared" si="86"/>
        <v>111.14705882352941</v>
      </c>
      <c r="N180" s="186"/>
      <c r="O180" s="152"/>
      <c r="P180" s="152"/>
      <c r="Q180" s="2"/>
      <c r="R180" s="2"/>
      <c r="S180" s="2"/>
      <c r="T180" s="2"/>
      <c r="U180" s="2"/>
      <c r="V180" s="2"/>
      <c r="W180" s="2"/>
      <c r="X180" s="2"/>
      <c r="Y180" s="2"/>
      <c r="Z180" s="1"/>
      <c r="AA180" s="1"/>
      <c r="AB180" s="1"/>
      <c r="AC180" s="1"/>
      <c r="AD180" s="1"/>
      <c r="AE180" s="1"/>
      <c r="AF180" s="1"/>
      <c r="AG180" s="1"/>
      <c r="AH180" s="1"/>
      <c r="AI180" s="1"/>
      <c r="AJ180" s="1"/>
    </row>
    <row r="181" spans="1:36" ht="17.25" thickBot="1" x14ac:dyDescent="0.35">
      <c r="A181" s="147"/>
      <c r="B181" s="97">
        <v>43755</v>
      </c>
      <c r="C181" s="103">
        <v>17</v>
      </c>
      <c r="D181" s="150"/>
      <c r="E181" s="150"/>
      <c r="F181" s="100">
        <v>158</v>
      </c>
      <c r="G181" s="89">
        <f t="shared" si="91"/>
        <v>1106</v>
      </c>
      <c r="H181" s="100">
        <v>11</v>
      </c>
      <c r="I181" s="89">
        <f t="shared" si="92"/>
        <v>77</v>
      </c>
      <c r="J181" s="100">
        <v>47</v>
      </c>
      <c r="K181" s="89">
        <f t="shared" si="93"/>
        <v>634.5</v>
      </c>
      <c r="L181" s="93">
        <f t="shared" si="94"/>
        <v>0.10011848341232228</v>
      </c>
      <c r="M181" s="85">
        <f t="shared" si="86"/>
        <v>106.91176470588235</v>
      </c>
      <c r="N181" s="186"/>
      <c r="O181" s="152"/>
      <c r="P181" s="152"/>
      <c r="Q181" s="2"/>
      <c r="R181" s="2"/>
      <c r="S181" s="2"/>
      <c r="T181" s="2"/>
      <c r="U181" s="2"/>
      <c r="V181" s="2"/>
      <c r="W181" s="2"/>
      <c r="X181" s="2"/>
      <c r="Y181" s="2"/>
      <c r="Z181" s="1"/>
      <c r="AA181" s="1"/>
      <c r="AB181" s="1"/>
      <c r="AC181" s="1"/>
      <c r="AD181" s="1"/>
      <c r="AE181" s="1"/>
      <c r="AF181" s="1"/>
      <c r="AG181" s="1"/>
      <c r="AH181" s="1"/>
      <c r="AI181" s="1"/>
      <c r="AJ181" s="1"/>
    </row>
    <row r="182" spans="1:36" ht="17.25" thickBot="1" x14ac:dyDescent="0.35">
      <c r="A182" s="147"/>
      <c r="B182" s="97">
        <v>43756</v>
      </c>
      <c r="C182" s="103">
        <v>18.75</v>
      </c>
      <c r="D182" s="150"/>
      <c r="E182" s="150"/>
      <c r="F182" s="100">
        <v>197</v>
      </c>
      <c r="G182" s="89">
        <f t="shared" si="91"/>
        <v>1379</v>
      </c>
      <c r="H182" s="100">
        <v>10</v>
      </c>
      <c r="I182" s="89">
        <f t="shared" si="92"/>
        <v>70</v>
      </c>
      <c r="J182" s="100">
        <v>41</v>
      </c>
      <c r="K182" s="89">
        <f t="shared" si="93"/>
        <v>553.5</v>
      </c>
      <c r="L182" s="93">
        <f t="shared" si="94"/>
        <v>0.12263033175355451</v>
      </c>
      <c r="M182" s="85">
        <f t="shared" si="86"/>
        <v>106.8</v>
      </c>
      <c r="N182" s="186"/>
      <c r="O182" s="152"/>
      <c r="P182" s="152"/>
      <c r="Q182" s="2"/>
      <c r="R182" s="2"/>
      <c r="S182" s="2"/>
      <c r="T182" s="2"/>
      <c r="U182" s="2"/>
      <c r="V182" s="2"/>
      <c r="W182" s="2"/>
      <c r="X182" s="2"/>
      <c r="Y182" s="2"/>
      <c r="Z182" s="1"/>
      <c r="AA182" s="1"/>
      <c r="AB182" s="1"/>
      <c r="AC182" s="1"/>
      <c r="AD182" s="1"/>
      <c r="AE182" s="1"/>
      <c r="AF182" s="1"/>
      <c r="AG182" s="1"/>
      <c r="AH182" s="1"/>
      <c r="AI182" s="1"/>
      <c r="AJ182" s="1"/>
    </row>
    <row r="183" spans="1:36" ht="17.25" thickBot="1" x14ac:dyDescent="0.35">
      <c r="A183" s="147"/>
      <c r="B183" s="98"/>
      <c r="C183" s="104"/>
      <c r="D183" s="151"/>
      <c r="E183" s="151"/>
      <c r="F183" s="101"/>
      <c r="G183" s="89">
        <f t="shared" si="91"/>
        <v>0</v>
      </c>
      <c r="H183" s="101"/>
      <c r="I183" s="89">
        <f t="shared" si="92"/>
        <v>0</v>
      </c>
      <c r="J183" s="101"/>
      <c r="K183" s="89">
        <f t="shared" si="93"/>
        <v>0</v>
      </c>
      <c r="L183" s="93">
        <f t="shared" si="94"/>
        <v>0</v>
      </c>
      <c r="M183" s="87" t="str">
        <f t="shared" si="86"/>
        <v/>
      </c>
      <c r="N183" s="186"/>
      <c r="O183" s="152"/>
      <c r="P183" s="152"/>
      <c r="Q183" s="2"/>
      <c r="R183" s="2"/>
      <c r="S183" s="2"/>
      <c r="T183" s="2"/>
      <c r="U183" s="2"/>
      <c r="V183" s="2"/>
      <c r="W183" s="2"/>
      <c r="X183" s="2"/>
      <c r="Y183" s="2"/>
      <c r="Z183" s="1"/>
      <c r="AA183" s="1"/>
      <c r="AB183" s="1"/>
      <c r="AC183" s="1"/>
      <c r="AD183" s="1"/>
      <c r="AE183" s="1"/>
      <c r="AF183" s="1"/>
      <c r="AG183" s="1"/>
      <c r="AH183" s="1"/>
      <c r="AI183" s="1"/>
      <c r="AJ183" s="1"/>
    </row>
    <row r="184" spans="1:36" ht="17.25" thickBot="1" x14ac:dyDescent="0.35">
      <c r="A184" s="146">
        <v>43</v>
      </c>
      <c r="B184" s="105">
        <v>43759</v>
      </c>
      <c r="C184" s="102">
        <v>25.25</v>
      </c>
      <c r="D184" s="149">
        <f t="shared" ref="D184" si="120">SUM(G184:G189)+SUM(I184:I189)</f>
        <v>11669</v>
      </c>
      <c r="E184" s="149">
        <f t="shared" ref="E184" si="121">SUM(G184:G189,K184:K189,H184:H189)</f>
        <v>17178.5</v>
      </c>
      <c r="F184" s="99">
        <v>301</v>
      </c>
      <c r="G184" s="91">
        <f t="shared" si="91"/>
        <v>2107</v>
      </c>
      <c r="H184" s="99">
        <v>20</v>
      </c>
      <c r="I184" s="91">
        <f t="shared" si="92"/>
        <v>140</v>
      </c>
      <c r="J184" s="99">
        <v>59</v>
      </c>
      <c r="K184" s="91">
        <f t="shared" si="93"/>
        <v>796.5</v>
      </c>
      <c r="L184" s="92">
        <f t="shared" si="94"/>
        <v>0.19016587677725119</v>
      </c>
      <c r="M184" s="83">
        <f t="shared" si="86"/>
        <v>120.53465346534654</v>
      </c>
      <c r="N184" s="186">
        <f t="shared" ref="N184" si="122">AVERAGE(M184:M189)</f>
        <v>121.96331280934771</v>
      </c>
      <c r="O184" s="152">
        <f t="shared" ref="O184" si="123">SUM(L184:L189)</f>
        <v>0.98755924170616116</v>
      </c>
      <c r="P184" s="152">
        <v>1.1279620853080567</v>
      </c>
      <c r="Q184" s="2"/>
      <c r="R184" s="2"/>
      <c r="S184" s="2"/>
      <c r="T184" s="2"/>
      <c r="U184" s="2"/>
      <c r="V184" s="2"/>
      <c r="W184" s="2"/>
      <c r="X184" s="2"/>
      <c r="Y184" s="2"/>
      <c r="Z184" s="1"/>
      <c r="AA184" s="1"/>
      <c r="AB184" s="1"/>
      <c r="AC184" s="1"/>
      <c r="AD184" s="1"/>
      <c r="AE184" s="1"/>
      <c r="AF184" s="1"/>
      <c r="AG184" s="1"/>
      <c r="AH184" s="1"/>
      <c r="AI184" s="1"/>
      <c r="AJ184" s="1"/>
    </row>
    <row r="185" spans="1:36" ht="17.25" thickBot="1" x14ac:dyDescent="0.35">
      <c r="A185" s="147"/>
      <c r="B185" s="97">
        <v>43760</v>
      </c>
      <c r="C185" s="103">
        <v>23</v>
      </c>
      <c r="D185" s="150"/>
      <c r="E185" s="150"/>
      <c r="F185" s="100">
        <v>300</v>
      </c>
      <c r="G185" s="89">
        <f t="shared" si="91"/>
        <v>2100</v>
      </c>
      <c r="H185" s="100"/>
      <c r="I185" s="89">
        <f t="shared" si="92"/>
        <v>0</v>
      </c>
      <c r="J185" s="100">
        <v>66</v>
      </c>
      <c r="K185" s="89">
        <f t="shared" si="93"/>
        <v>891</v>
      </c>
      <c r="L185" s="93">
        <f t="shared" si="94"/>
        <v>0.17772511848341233</v>
      </c>
      <c r="M185" s="85">
        <f t="shared" si="86"/>
        <v>130.04347826086956</v>
      </c>
      <c r="N185" s="186"/>
      <c r="O185" s="152"/>
      <c r="P185" s="152"/>
      <c r="Q185" s="2"/>
      <c r="R185" s="2"/>
      <c r="S185" s="2"/>
      <c r="T185" s="2"/>
      <c r="U185" s="2"/>
      <c r="V185" s="2"/>
      <c r="W185" s="2"/>
      <c r="X185" s="2"/>
      <c r="Y185" s="2"/>
      <c r="Z185" s="1"/>
      <c r="AA185" s="1"/>
      <c r="AB185" s="1"/>
      <c r="AC185" s="1"/>
      <c r="AD185" s="1"/>
      <c r="AE185" s="1"/>
      <c r="AF185" s="1"/>
      <c r="AG185" s="1"/>
      <c r="AH185" s="1"/>
      <c r="AI185" s="1"/>
      <c r="AJ185" s="1"/>
    </row>
    <row r="186" spans="1:36" ht="17.25" thickBot="1" x14ac:dyDescent="0.35">
      <c r="A186" s="147"/>
      <c r="B186" s="97">
        <v>43761</v>
      </c>
      <c r="C186" s="103">
        <v>38.5</v>
      </c>
      <c r="D186" s="150"/>
      <c r="E186" s="150"/>
      <c r="F186" s="100">
        <v>522</v>
      </c>
      <c r="G186" s="89">
        <f t="shared" si="91"/>
        <v>3654</v>
      </c>
      <c r="H186" s="100"/>
      <c r="I186" s="89">
        <f t="shared" si="92"/>
        <v>0</v>
      </c>
      <c r="J186" s="100">
        <v>109</v>
      </c>
      <c r="K186" s="89">
        <f t="shared" si="93"/>
        <v>1471.5</v>
      </c>
      <c r="L186" s="93">
        <f t="shared" si="94"/>
        <v>0.30924170616113744</v>
      </c>
      <c r="M186" s="85">
        <f t="shared" si="86"/>
        <v>133.12987012987014</v>
      </c>
      <c r="N186" s="186"/>
      <c r="O186" s="152"/>
      <c r="P186" s="152"/>
      <c r="Q186" s="2"/>
      <c r="R186" s="2"/>
      <c r="S186" s="2"/>
      <c r="T186" s="2"/>
      <c r="U186" s="2"/>
      <c r="V186" s="2"/>
      <c r="W186" s="2"/>
      <c r="X186" s="2"/>
      <c r="Y186" s="2"/>
      <c r="Z186" s="1"/>
      <c r="AA186" s="1"/>
      <c r="AB186" s="1"/>
      <c r="AC186" s="1"/>
      <c r="AD186" s="1"/>
      <c r="AE186" s="1"/>
      <c r="AF186" s="1"/>
      <c r="AG186" s="1"/>
      <c r="AH186" s="1"/>
      <c r="AI186" s="1"/>
      <c r="AJ186" s="1"/>
    </row>
    <row r="187" spans="1:36" ht="17.25" thickBot="1" x14ac:dyDescent="0.35">
      <c r="A187" s="147"/>
      <c r="B187" s="97">
        <v>43762</v>
      </c>
      <c r="C187" s="103">
        <v>32</v>
      </c>
      <c r="D187" s="150"/>
      <c r="E187" s="150"/>
      <c r="F187" s="100">
        <v>262</v>
      </c>
      <c r="G187" s="89">
        <f t="shared" si="91"/>
        <v>1834</v>
      </c>
      <c r="H187" s="100"/>
      <c r="I187" s="89">
        <f t="shared" si="92"/>
        <v>0</v>
      </c>
      <c r="J187" s="100">
        <v>117</v>
      </c>
      <c r="K187" s="89">
        <f t="shared" si="93"/>
        <v>1579.5</v>
      </c>
      <c r="L187" s="93">
        <f t="shared" si="94"/>
        <v>0.15521327014218009</v>
      </c>
      <c r="M187" s="85">
        <f t="shared" si="86"/>
        <v>106.671875</v>
      </c>
      <c r="N187" s="186"/>
      <c r="O187" s="152"/>
      <c r="P187" s="152"/>
      <c r="Q187" s="2"/>
      <c r="R187" s="2"/>
      <c r="S187" s="2"/>
      <c r="T187" s="2"/>
      <c r="U187" s="2"/>
      <c r="V187" s="2"/>
      <c r="W187" s="2"/>
      <c r="X187" s="2"/>
      <c r="Y187" s="2"/>
      <c r="Z187" s="1"/>
      <c r="AA187" s="1"/>
      <c r="AB187" s="1"/>
      <c r="AC187" s="1"/>
      <c r="AD187" s="1"/>
      <c r="AE187" s="1"/>
      <c r="AF187" s="1"/>
      <c r="AG187" s="1"/>
      <c r="AH187" s="1"/>
      <c r="AI187" s="1"/>
      <c r="AJ187" s="1"/>
    </row>
    <row r="188" spans="1:36" ht="17.25" thickBot="1" x14ac:dyDescent="0.35">
      <c r="A188" s="147"/>
      <c r="B188" s="97">
        <v>43763</v>
      </c>
      <c r="C188" s="103">
        <v>15</v>
      </c>
      <c r="D188" s="150"/>
      <c r="E188" s="150"/>
      <c r="F188" s="100">
        <v>162</v>
      </c>
      <c r="G188" s="89">
        <f t="shared" si="91"/>
        <v>1134</v>
      </c>
      <c r="H188" s="100"/>
      <c r="I188" s="89">
        <f t="shared" si="92"/>
        <v>0</v>
      </c>
      <c r="J188" s="100">
        <v>42</v>
      </c>
      <c r="K188" s="89">
        <f t="shared" si="93"/>
        <v>567</v>
      </c>
      <c r="L188" s="93">
        <f t="shared" si="94"/>
        <v>9.597156398104266E-2</v>
      </c>
      <c r="M188" s="85">
        <f t="shared" si="86"/>
        <v>113.4</v>
      </c>
      <c r="N188" s="186"/>
      <c r="O188" s="152"/>
      <c r="P188" s="152"/>
      <c r="Q188" s="2"/>
      <c r="R188" s="2"/>
      <c r="S188" s="2"/>
      <c r="T188" s="2"/>
      <c r="U188" s="2"/>
      <c r="V188" s="2"/>
      <c r="W188" s="2"/>
      <c r="X188" s="2"/>
      <c r="Y188" s="2"/>
      <c r="Z188" s="1"/>
      <c r="AA188" s="1"/>
      <c r="AB188" s="1"/>
      <c r="AC188" s="1"/>
      <c r="AD188" s="1"/>
      <c r="AE188" s="1"/>
      <c r="AF188" s="1"/>
      <c r="AG188" s="1"/>
      <c r="AH188" s="1"/>
      <c r="AI188" s="1"/>
      <c r="AJ188" s="1"/>
    </row>
    <row r="189" spans="1:36" ht="17.25" thickBot="1" x14ac:dyDescent="0.35">
      <c r="A189" s="148"/>
      <c r="B189" s="98">
        <v>43764</v>
      </c>
      <c r="C189" s="104">
        <v>8</v>
      </c>
      <c r="D189" s="151"/>
      <c r="E189" s="151"/>
      <c r="F189" s="101">
        <v>100</v>
      </c>
      <c r="G189" s="90">
        <f t="shared" si="91"/>
        <v>700</v>
      </c>
      <c r="H189" s="101"/>
      <c r="I189" s="90">
        <f t="shared" si="92"/>
        <v>0</v>
      </c>
      <c r="J189" s="101">
        <v>24</v>
      </c>
      <c r="K189" s="90">
        <f t="shared" si="93"/>
        <v>324</v>
      </c>
      <c r="L189" s="94">
        <f t="shared" si="94"/>
        <v>5.9241706161137442E-2</v>
      </c>
      <c r="M189" s="87">
        <f t="shared" si="86"/>
        <v>128</v>
      </c>
      <c r="N189" s="186"/>
      <c r="O189" s="152"/>
      <c r="P189" s="152"/>
      <c r="Q189" s="2"/>
      <c r="R189" s="2"/>
      <c r="S189" s="2"/>
      <c r="T189" s="2"/>
      <c r="U189" s="2"/>
      <c r="V189" s="2"/>
      <c r="W189" s="2"/>
      <c r="X189" s="2"/>
      <c r="Y189" s="2"/>
      <c r="Z189" s="1"/>
      <c r="AA189" s="1"/>
      <c r="AB189" s="1"/>
      <c r="AC189" s="1"/>
      <c r="AD189" s="1"/>
      <c r="AE189" s="1"/>
      <c r="AF189" s="1"/>
      <c r="AG189" s="1"/>
      <c r="AH189" s="1"/>
      <c r="AI189" s="1"/>
      <c r="AJ189" s="1"/>
    </row>
    <row r="190" spans="1:36" ht="17.25" thickBot="1" x14ac:dyDescent="0.35">
      <c r="A190" s="147">
        <v>44</v>
      </c>
      <c r="B190" s="105">
        <v>43766</v>
      </c>
      <c r="C190" s="102">
        <v>17</v>
      </c>
      <c r="D190" s="149">
        <f t="shared" ref="D190" si="124">SUM(G190:G195)+SUM(I190:I195)</f>
        <v>2751</v>
      </c>
      <c r="E190" s="149">
        <f t="shared" ref="E190" si="125">SUM(G190:G195,K190:K195,H190:H195)</f>
        <v>3777</v>
      </c>
      <c r="F190" s="99">
        <v>205</v>
      </c>
      <c r="G190" s="89">
        <f t="shared" si="91"/>
        <v>1435</v>
      </c>
      <c r="H190" s="99"/>
      <c r="I190" s="89">
        <f t="shared" si="92"/>
        <v>0</v>
      </c>
      <c r="J190" s="99">
        <v>42</v>
      </c>
      <c r="K190" s="89">
        <f t="shared" si="93"/>
        <v>567</v>
      </c>
      <c r="L190" s="93">
        <f t="shared" si="94"/>
        <v>0.12144549763033176</v>
      </c>
      <c r="M190" s="83">
        <f t="shared" si="86"/>
        <v>117.76470588235294</v>
      </c>
      <c r="N190" s="186">
        <f>AVERAGE(M190:M195)</f>
        <v>102.41802252816019</v>
      </c>
      <c r="O190" s="152">
        <f t="shared" ref="O190" si="126">SUM(L190:L195)</f>
        <v>0.23281990521327017</v>
      </c>
      <c r="P190" s="152">
        <v>0</v>
      </c>
      <c r="Q190" s="2"/>
      <c r="R190" s="2"/>
      <c r="S190" s="2"/>
      <c r="T190" s="2"/>
      <c r="U190" s="2"/>
      <c r="V190" s="2"/>
      <c r="W190" s="2"/>
      <c r="X190" s="2"/>
      <c r="Y190" s="2"/>
      <c r="Z190" s="1"/>
      <c r="AA190" s="1"/>
      <c r="AB190" s="1"/>
      <c r="AC190" s="1"/>
      <c r="AD190" s="1"/>
      <c r="AE190" s="1"/>
      <c r="AF190" s="1"/>
      <c r="AG190" s="1"/>
      <c r="AH190" s="1"/>
      <c r="AI190" s="1"/>
      <c r="AJ190" s="1"/>
    </row>
    <row r="191" spans="1:36" ht="17.25" thickBot="1" x14ac:dyDescent="0.35">
      <c r="A191" s="147"/>
      <c r="B191" s="97">
        <v>43767</v>
      </c>
      <c r="C191" s="103">
        <v>11.75</v>
      </c>
      <c r="D191" s="150"/>
      <c r="E191" s="150"/>
      <c r="F191" s="100">
        <v>182</v>
      </c>
      <c r="G191" s="89">
        <f t="shared" si="91"/>
        <v>1274</v>
      </c>
      <c r="H191" s="100"/>
      <c r="I191" s="89">
        <f t="shared" si="92"/>
        <v>0</v>
      </c>
      <c r="J191" s="100">
        <v>34</v>
      </c>
      <c r="K191" s="89">
        <f t="shared" si="93"/>
        <v>459</v>
      </c>
      <c r="L191" s="93">
        <f t="shared" si="94"/>
        <v>0.10781990521327015</v>
      </c>
      <c r="M191" s="85">
        <f t="shared" si="86"/>
        <v>147.48936170212767</v>
      </c>
      <c r="N191" s="186"/>
      <c r="O191" s="152"/>
      <c r="P191" s="152"/>
      <c r="Q191" s="2"/>
      <c r="R191" s="2"/>
      <c r="S191" s="2"/>
      <c r="T191" s="2"/>
      <c r="U191" s="2"/>
      <c r="V191" s="2"/>
      <c r="W191" s="2"/>
      <c r="X191" s="2"/>
      <c r="Y191" s="2"/>
      <c r="Z191" s="1"/>
      <c r="AA191" s="1"/>
      <c r="AB191" s="1"/>
      <c r="AC191" s="1"/>
      <c r="AD191" s="1"/>
      <c r="AE191" s="1"/>
      <c r="AF191" s="1"/>
      <c r="AG191" s="1"/>
      <c r="AH191" s="1"/>
      <c r="AI191" s="1"/>
      <c r="AJ191" s="1"/>
    </row>
    <row r="192" spans="1:36" ht="17.25" thickBot="1" x14ac:dyDescent="0.35">
      <c r="A192" s="147"/>
      <c r="B192" s="97">
        <v>43768</v>
      </c>
      <c r="C192" s="103">
        <v>1</v>
      </c>
      <c r="D192" s="150"/>
      <c r="E192" s="150"/>
      <c r="F192" s="100">
        <v>6</v>
      </c>
      <c r="G192" s="89">
        <f t="shared" si="91"/>
        <v>42</v>
      </c>
      <c r="H192" s="100"/>
      <c r="I192" s="89">
        <f t="shared" si="92"/>
        <v>0</v>
      </c>
      <c r="J192" s="100"/>
      <c r="K192" s="89">
        <f t="shared" si="93"/>
        <v>0</v>
      </c>
      <c r="L192" s="93">
        <f t="shared" si="94"/>
        <v>3.5545023696682463E-3</v>
      </c>
      <c r="M192" s="85">
        <f t="shared" si="86"/>
        <v>42</v>
      </c>
      <c r="N192" s="186"/>
      <c r="O192" s="152"/>
      <c r="P192" s="152"/>
      <c r="Q192" s="2"/>
      <c r="R192" s="2"/>
      <c r="S192" s="2"/>
      <c r="T192" s="2"/>
      <c r="U192" s="2"/>
      <c r="V192" s="2"/>
      <c r="W192" s="2"/>
      <c r="X192" s="2"/>
      <c r="Y192" s="2"/>
      <c r="Z192" s="1"/>
      <c r="AA192" s="1"/>
      <c r="AB192" s="1"/>
      <c r="AC192" s="1"/>
      <c r="AD192" s="1"/>
      <c r="AE192" s="1"/>
      <c r="AF192" s="1"/>
      <c r="AG192" s="1"/>
      <c r="AH192" s="1"/>
      <c r="AI192" s="1"/>
      <c r="AJ192" s="1"/>
    </row>
    <row r="193" spans="1:36" ht="17.25" thickBot="1" x14ac:dyDescent="0.35">
      <c r="A193" s="147"/>
      <c r="B193" s="97"/>
      <c r="C193" s="103"/>
      <c r="D193" s="150"/>
      <c r="E193" s="150"/>
      <c r="F193" s="100"/>
      <c r="G193" s="89">
        <f t="shared" si="91"/>
        <v>0</v>
      </c>
      <c r="H193" s="100"/>
      <c r="I193" s="89">
        <f t="shared" si="92"/>
        <v>0</v>
      </c>
      <c r="J193" s="100"/>
      <c r="K193" s="89">
        <f t="shared" si="93"/>
        <v>0</v>
      </c>
      <c r="L193" s="93">
        <f t="shared" si="94"/>
        <v>0</v>
      </c>
      <c r="M193" s="85" t="str">
        <f t="shared" si="86"/>
        <v/>
      </c>
      <c r="N193" s="186"/>
      <c r="O193" s="152"/>
      <c r="P193" s="152"/>
      <c r="Q193" s="2"/>
      <c r="R193" s="2"/>
      <c r="S193" s="2"/>
      <c r="T193" s="2"/>
      <c r="U193" s="2"/>
      <c r="V193" s="2"/>
      <c r="W193" s="2"/>
      <c r="X193" s="2"/>
      <c r="Y193" s="2"/>
      <c r="Z193" s="1"/>
      <c r="AA193" s="1"/>
      <c r="AB193" s="1"/>
      <c r="AC193" s="1"/>
      <c r="AD193" s="1"/>
      <c r="AE193" s="1"/>
      <c r="AF193" s="1"/>
      <c r="AG193" s="1"/>
      <c r="AH193" s="1"/>
      <c r="AI193" s="1"/>
      <c r="AJ193" s="1"/>
    </row>
    <row r="194" spans="1:36" ht="17.25" thickBot="1" x14ac:dyDescent="0.35">
      <c r="A194" s="147"/>
      <c r="B194" s="97"/>
      <c r="C194" s="103"/>
      <c r="D194" s="150"/>
      <c r="E194" s="150"/>
      <c r="F194" s="100"/>
      <c r="G194" s="89">
        <f t="shared" si="91"/>
        <v>0</v>
      </c>
      <c r="H194" s="100"/>
      <c r="I194" s="89">
        <f t="shared" si="92"/>
        <v>0</v>
      </c>
      <c r="J194" s="100"/>
      <c r="K194" s="89">
        <f t="shared" si="93"/>
        <v>0</v>
      </c>
      <c r="L194" s="93">
        <f t="shared" si="94"/>
        <v>0</v>
      </c>
      <c r="M194" s="85" t="str">
        <f t="shared" si="86"/>
        <v/>
      </c>
      <c r="N194" s="186"/>
      <c r="O194" s="152"/>
      <c r="P194" s="152"/>
      <c r="Q194" s="2"/>
      <c r="R194" s="2"/>
      <c r="S194" s="2"/>
      <c r="T194" s="2"/>
      <c r="U194" s="2"/>
      <c r="V194" s="2"/>
      <c r="W194" s="2"/>
      <c r="X194" s="2"/>
      <c r="Y194" s="2"/>
      <c r="Z194" s="1"/>
      <c r="AA194" s="1"/>
      <c r="AB194" s="1"/>
      <c r="AC194" s="1"/>
      <c r="AD194" s="1"/>
      <c r="AE194" s="1"/>
      <c r="AF194" s="1"/>
      <c r="AG194" s="1"/>
      <c r="AH194" s="1"/>
      <c r="AI194" s="1"/>
      <c r="AJ194" s="1"/>
    </row>
    <row r="195" spans="1:36" ht="17.25" thickBot="1" x14ac:dyDescent="0.35">
      <c r="A195" s="147"/>
      <c r="B195" s="98"/>
      <c r="C195" s="104"/>
      <c r="D195" s="151"/>
      <c r="E195" s="151"/>
      <c r="F195" s="101"/>
      <c r="G195" s="89">
        <f t="shared" si="91"/>
        <v>0</v>
      </c>
      <c r="H195" s="101"/>
      <c r="I195" s="89">
        <f t="shared" si="92"/>
        <v>0</v>
      </c>
      <c r="J195" s="101"/>
      <c r="K195" s="89">
        <f t="shared" si="93"/>
        <v>0</v>
      </c>
      <c r="L195" s="93">
        <f t="shared" si="94"/>
        <v>0</v>
      </c>
      <c r="M195" s="87" t="str">
        <f t="shared" si="86"/>
        <v/>
      </c>
      <c r="N195" s="186"/>
      <c r="O195" s="152"/>
      <c r="P195" s="152"/>
      <c r="Q195" s="2"/>
      <c r="R195" s="2"/>
      <c r="S195" s="2"/>
      <c r="T195" s="2"/>
      <c r="U195" s="2"/>
      <c r="V195" s="2"/>
      <c r="W195" s="2"/>
      <c r="X195" s="2"/>
      <c r="Y195" s="2"/>
      <c r="Z195" s="1"/>
      <c r="AA195" s="1"/>
      <c r="AB195" s="1"/>
      <c r="AC195" s="1"/>
      <c r="AD195" s="1"/>
      <c r="AE195" s="1"/>
      <c r="AF195" s="1"/>
      <c r="AG195" s="1"/>
      <c r="AH195" s="1"/>
      <c r="AI195" s="1"/>
      <c r="AJ195" s="1"/>
    </row>
    <row r="196" spans="1:36" ht="17.25" thickBot="1" x14ac:dyDescent="0.35">
      <c r="A196" s="146">
        <v>45</v>
      </c>
      <c r="B196" s="105"/>
      <c r="C196" s="102"/>
      <c r="D196" s="149">
        <f t="shared" ref="D196" si="127">SUM(G196:G201)+SUM(I196:I201)</f>
        <v>1302</v>
      </c>
      <c r="E196" s="149">
        <f t="shared" ref="E196" si="128">SUM(G196:G201,K196:K201,H196:H201)</f>
        <v>1302</v>
      </c>
      <c r="F196" s="99"/>
      <c r="G196" s="91">
        <f t="shared" si="91"/>
        <v>0</v>
      </c>
      <c r="H196" s="99"/>
      <c r="I196" s="91">
        <f t="shared" si="92"/>
        <v>0</v>
      </c>
      <c r="J196" s="99"/>
      <c r="K196" s="91">
        <f t="shared" si="93"/>
        <v>0</v>
      </c>
      <c r="L196" s="92">
        <f t="shared" si="94"/>
        <v>0</v>
      </c>
      <c r="M196" s="83" t="str">
        <f t="shared" si="86"/>
        <v/>
      </c>
      <c r="N196" s="186">
        <f t="shared" ref="N196" si="129">AVERAGE(M196:M201)</f>
        <v>76.588235294117652</v>
      </c>
      <c r="O196" s="152">
        <f t="shared" ref="O196" si="130">SUM(L196:L201)</f>
        <v>0.11018957345971564</v>
      </c>
      <c r="P196" s="152">
        <v>0</v>
      </c>
      <c r="Q196" s="2"/>
      <c r="R196" s="2"/>
      <c r="S196" s="2"/>
      <c r="T196" s="2"/>
      <c r="U196" s="2"/>
      <c r="V196" s="2"/>
      <c r="W196" s="2"/>
      <c r="X196" s="2"/>
      <c r="Y196" s="2"/>
      <c r="Z196" s="1"/>
      <c r="AA196" s="1"/>
      <c r="AB196" s="1"/>
      <c r="AC196" s="1"/>
      <c r="AD196" s="1"/>
      <c r="AE196" s="1"/>
      <c r="AF196" s="1"/>
      <c r="AG196" s="1"/>
      <c r="AH196" s="1"/>
      <c r="AI196" s="1"/>
      <c r="AJ196" s="1"/>
    </row>
    <row r="197" spans="1:36" ht="17.25" thickBot="1" x14ac:dyDescent="0.35">
      <c r="A197" s="147"/>
      <c r="B197" s="97">
        <v>43774</v>
      </c>
      <c r="C197" s="103">
        <v>17</v>
      </c>
      <c r="D197" s="150"/>
      <c r="E197" s="150"/>
      <c r="F197" s="100">
        <v>186</v>
      </c>
      <c r="G197" s="89">
        <f t="shared" si="91"/>
        <v>1302</v>
      </c>
      <c r="H197" s="100"/>
      <c r="I197" s="89">
        <f t="shared" si="92"/>
        <v>0</v>
      </c>
      <c r="J197" s="100"/>
      <c r="K197" s="89">
        <f t="shared" si="93"/>
        <v>0</v>
      </c>
      <c r="L197" s="93">
        <f t="shared" si="94"/>
        <v>0.11018957345971564</v>
      </c>
      <c r="M197" s="85">
        <f t="shared" ref="M197:M231" si="131">IF(C197=0,"",(G197+K197+I197)/C197)</f>
        <v>76.588235294117652</v>
      </c>
      <c r="N197" s="186"/>
      <c r="O197" s="152"/>
      <c r="P197" s="152"/>
      <c r="Q197" s="2"/>
      <c r="R197" s="2"/>
      <c r="S197" s="2"/>
      <c r="T197" s="2"/>
      <c r="U197" s="2"/>
      <c r="V197" s="2"/>
      <c r="W197" s="2"/>
      <c r="X197" s="2"/>
      <c r="Y197" s="2"/>
      <c r="Z197" s="1"/>
      <c r="AA197" s="1"/>
      <c r="AB197" s="1"/>
      <c r="AC197" s="1"/>
      <c r="AD197" s="1"/>
      <c r="AE197" s="1"/>
      <c r="AF197" s="1"/>
      <c r="AG197" s="1"/>
      <c r="AH197" s="1"/>
      <c r="AI197" s="1"/>
      <c r="AJ197" s="1"/>
    </row>
    <row r="198" spans="1:36" ht="17.25" thickBot="1" x14ac:dyDescent="0.35">
      <c r="A198" s="147"/>
      <c r="B198" s="97"/>
      <c r="C198" s="103"/>
      <c r="D198" s="150"/>
      <c r="E198" s="150"/>
      <c r="F198" s="100"/>
      <c r="G198" s="89">
        <f t="shared" si="91"/>
        <v>0</v>
      </c>
      <c r="H198" s="100"/>
      <c r="I198" s="89">
        <f t="shared" si="92"/>
        <v>0</v>
      </c>
      <c r="J198" s="100"/>
      <c r="K198" s="89">
        <f t="shared" si="93"/>
        <v>0</v>
      </c>
      <c r="L198" s="93">
        <f t="shared" si="94"/>
        <v>0</v>
      </c>
      <c r="M198" s="85" t="str">
        <f t="shared" si="131"/>
        <v/>
      </c>
      <c r="N198" s="186"/>
      <c r="O198" s="152"/>
      <c r="P198" s="152"/>
      <c r="Q198" s="2"/>
      <c r="R198" s="2"/>
      <c r="S198" s="2"/>
      <c r="T198" s="2"/>
      <c r="U198" s="2"/>
      <c r="V198" s="2"/>
      <c r="W198" s="2"/>
      <c r="X198" s="2"/>
      <c r="Y198" s="2"/>
      <c r="Z198" s="1"/>
      <c r="AA198" s="1"/>
      <c r="AB198" s="1"/>
      <c r="AC198" s="1"/>
      <c r="AD198" s="1"/>
      <c r="AE198" s="1"/>
      <c r="AF198" s="1"/>
      <c r="AG198" s="1"/>
      <c r="AH198" s="1"/>
      <c r="AI198" s="1"/>
      <c r="AJ198" s="1"/>
    </row>
    <row r="199" spans="1:36" ht="17.25" thickBot="1" x14ac:dyDescent="0.35">
      <c r="A199" s="147"/>
      <c r="B199" s="97"/>
      <c r="C199" s="103"/>
      <c r="D199" s="150"/>
      <c r="E199" s="150"/>
      <c r="F199" s="100"/>
      <c r="G199" s="89">
        <f t="shared" si="91"/>
        <v>0</v>
      </c>
      <c r="H199" s="100"/>
      <c r="I199" s="89">
        <f t="shared" si="92"/>
        <v>0</v>
      </c>
      <c r="J199" s="100"/>
      <c r="K199" s="89">
        <f t="shared" si="93"/>
        <v>0</v>
      </c>
      <c r="L199" s="93">
        <f t="shared" si="94"/>
        <v>0</v>
      </c>
      <c r="M199" s="85" t="str">
        <f t="shared" si="131"/>
        <v/>
      </c>
      <c r="N199" s="186"/>
      <c r="O199" s="152"/>
      <c r="P199" s="152"/>
      <c r="Q199" s="2"/>
      <c r="R199" s="2"/>
      <c r="S199" s="2"/>
      <c r="T199" s="2"/>
      <c r="U199" s="2"/>
      <c r="V199" s="2"/>
      <c r="W199" s="2"/>
      <c r="X199" s="2"/>
      <c r="Y199" s="2"/>
      <c r="Z199" s="1"/>
      <c r="AA199" s="1"/>
      <c r="AB199" s="1"/>
      <c r="AC199" s="1"/>
      <c r="AD199" s="1"/>
      <c r="AE199" s="1"/>
      <c r="AF199" s="1"/>
      <c r="AG199" s="1"/>
      <c r="AH199" s="1"/>
      <c r="AI199" s="1"/>
      <c r="AJ199" s="1"/>
    </row>
    <row r="200" spans="1:36" ht="17.25" thickBot="1" x14ac:dyDescent="0.35">
      <c r="A200" s="147"/>
      <c r="B200" s="97"/>
      <c r="C200" s="103"/>
      <c r="D200" s="150"/>
      <c r="E200" s="150"/>
      <c r="F200" s="100"/>
      <c r="G200" s="89">
        <f t="shared" si="91"/>
        <v>0</v>
      </c>
      <c r="H200" s="100"/>
      <c r="I200" s="89">
        <f t="shared" si="92"/>
        <v>0</v>
      </c>
      <c r="J200" s="100"/>
      <c r="K200" s="89">
        <f t="shared" si="93"/>
        <v>0</v>
      </c>
      <c r="L200" s="93">
        <f t="shared" si="94"/>
        <v>0</v>
      </c>
      <c r="M200" s="85" t="str">
        <f t="shared" si="131"/>
        <v/>
      </c>
      <c r="N200" s="186"/>
      <c r="O200" s="152"/>
      <c r="P200" s="152"/>
      <c r="Q200" s="2"/>
      <c r="R200" s="2"/>
      <c r="S200" s="2"/>
      <c r="T200" s="2"/>
      <c r="U200" s="2"/>
      <c r="V200" s="2"/>
      <c r="W200" s="2"/>
      <c r="X200" s="2"/>
      <c r="Y200" s="2"/>
      <c r="Z200" s="1"/>
      <c r="AA200" s="1"/>
      <c r="AB200" s="1"/>
      <c r="AC200" s="1"/>
      <c r="AD200" s="1"/>
      <c r="AE200" s="1"/>
      <c r="AF200" s="1"/>
      <c r="AG200" s="1"/>
      <c r="AH200" s="1"/>
      <c r="AI200" s="1"/>
      <c r="AJ200" s="1"/>
    </row>
    <row r="201" spans="1:36" ht="17.25" thickBot="1" x14ac:dyDescent="0.35">
      <c r="A201" s="148"/>
      <c r="B201" s="98"/>
      <c r="C201" s="104"/>
      <c r="D201" s="151"/>
      <c r="E201" s="151"/>
      <c r="F201" s="101"/>
      <c r="G201" s="90">
        <f t="shared" si="91"/>
        <v>0</v>
      </c>
      <c r="H201" s="101"/>
      <c r="I201" s="90">
        <f t="shared" si="92"/>
        <v>0</v>
      </c>
      <c r="J201" s="101"/>
      <c r="K201" s="90">
        <f t="shared" si="93"/>
        <v>0</v>
      </c>
      <c r="L201" s="94">
        <f t="shared" si="94"/>
        <v>0</v>
      </c>
      <c r="M201" s="87" t="str">
        <f t="shared" si="131"/>
        <v/>
      </c>
      <c r="N201" s="186"/>
      <c r="O201" s="152"/>
      <c r="P201" s="152"/>
      <c r="Q201" s="2"/>
      <c r="R201" s="2"/>
      <c r="S201" s="2"/>
      <c r="T201" s="2"/>
      <c r="U201" s="2"/>
      <c r="V201" s="2"/>
      <c r="W201" s="2"/>
      <c r="X201" s="2"/>
      <c r="Y201" s="2"/>
      <c r="Z201" s="1"/>
      <c r="AA201" s="1"/>
      <c r="AB201" s="1"/>
      <c r="AC201" s="1"/>
      <c r="AD201" s="1"/>
      <c r="AE201" s="1"/>
      <c r="AF201" s="1"/>
      <c r="AG201" s="1"/>
      <c r="AH201" s="1"/>
      <c r="AI201" s="1"/>
      <c r="AJ201" s="1"/>
    </row>
    <row r="202" spans="1:36" ht="17.25" thickBot="1" x14ac:dyDescent="0.35">
      <c r="A202" s="146">
        <v>46</v>
      </c>
      <c r="B202" s="105"/>
      <c r="C202" s="102"/>
      <c r="D202" s="149">
        <f t="shared" ref="D202" si="132">SUM(G202:G207)+SUM(I202:I207)</f>
        <v>0</v>
      </c>
      <c r="E202" s="149">
        <f t="shared" ref="E202" si="133">SUM(G202:G207,K202:K207,H202:H207)</f>
        <v>0</v>
      </c>
      <c r="F202" s="99"/>
      <c r="G202" s="91">
        <f t="shared" si="91"/>
        <v>0</v>
      </c>
      <c r="H202" s="99"/>
      <c r="I202" s="91">
        <f t="shared" si="92"/>
        <v>0</v>
      </c>
      <c r="J202" s="99"/>
      <c r="K202" s="91">
        <f t="shared" si="93"/>
        <v>0</v>
      </c>
      <c r="L202" s="92">
        <f t="shared" si="94"/>
        <v>0</v>
      </c>
      <c r="M202" s="83" t="str">
        <f t="shared" si="131"/>
        <v/>
      </c>
      <c r="N202" s="186" t="e">
        <f t="shared" ref="N202" si="134">AVERAGE(M202:M207)</f>
        <v>#DIV/0!</v>
      </c>
      <c r="O202" s="152">
        <f t="shared" ref="O202" si="135">SUM(L202:L207)</f>
        <v>0</v>
      </c>
      <c r="P202" s="152">
        <v>0</v>
      </c>
      <c r="Q202" s="2"/>
      <c r="R202" s="2"/>
      <c r="S202" s="2"/>
      <c r="T202" s="2"/>
      <c r="U202" s="2"/>
      <c r="V202" s="2"/>
      <c r="W202" s="2"/>
      <c r="X202" s="2"/>
      <c r="Y202" s="2"/>
      <c r="Z202" s="1"/>
      <c r="AA202" s="1"/>
      <c r="AB202" s="1"/>
      <c r="AC202" s="1"/>
      <c r="AD202" s="1"/>
      <c r="AE202" s="1"/>
      <c r="AF202" s="1"/>
      <c r="AG202" s="1"/>
      <c r="AH202" s="1"/>
      <c r="AI202" s="1"/>
      <c r="AJ202" s="1"/>
    </row>
    <row r="203" spans="1:36" ht="17.25" thickBot="1" x14ac:dyDescent="0.35">
      <c r="A203" s="147"/>
      <c r="B203" s="97"/>
      <c r="C203" s="103"/>
      <c r="D203" s="150"/>
      <c r="E203" s="150"/>
      <c r="F203" s="100"/>
      <c r="G203" s="89">
        <f t="shared" ref="G203:G231" si="136">F203*F$3</f>
        <v>0</v>
      </c>
      <c r="H203" s="100"/>
      <c r="I203" s="89">
        <f t="shared" ref="I203:I231" si="137">H203*H$3</f>
        <v>0</v>
      </c>
      <c r="J203" s="100"/>
      <c r="K203" s="89">
        <f t="shared" ref="K203:K231" si="138">J203*J$3</f>
        <v>0</v>
      </c>
      <c r="L203" s="93">
        <f t="shared" ref="L203:L231" si="139">(G203+I203)/F$1</f>
        <v>0</v>
      </c>
      <c r="M203" s="85" t="str">
        <f t="shared" si="131"/>
        <v/>
      </c>
      <c r="N203" s="186"/>
      <c r="O203" s="152"/>
      <c r="P203" s="152"/>
      <c r="Q203" s="2"/>
      <c r="R203" s="2"/>
      <c r="S203" s="2"/>
      <c r="T203" s="2"/>
      <c r="U203" s="2"/>
      <c r="V203" s="2"/>
      <c r="W203" s="2"/>
      <c r="X203" s="2"/>
      <c r="Y203" s="2"/>
      <c r="Z203" s="1"/>
      <c r="AA203" s="1"/>
      <c r="AB203" s="1"/>
      <c r="AC203" s="1"/>
      <c r="AD203" s="1"/>
      <c r="AE203" s="1"/>
      <c r="AF203" s="1"/>
      <c r="AG203" s="1"/>
      <c r="AH203" s="1"/>
      <c r="AI203" s="1"/>
      <c r="AJ203" s="1"/>
    </row>
    <row r="204" spans="1:36" ht="17.25" thickBot="1" x14ac:dyDescent="0.35">
      <c r="A204" s="147"/>
      <c r="B204" s="97"/>
      <c r="C204" s="103"/>
      <c r="D204" s="150"/>
      <c r="E204" s="150"/>
      <c r="F204" s="100"/>
      <c r="G204" s="89">
        <f t="shared" si="136"/>
        <v>0</v>
      </c>
      <c r="H204" s="100"/>
      <c r="I204" s="89">
        <f t="shared" si="137"/>
        <v>0</v>
      </c>
      <c r="J204" s="100"/>
      <c r="K204" s="89">
        <f t="shared" si="138"/>
        <v>0</v>
      </c>
      <c r="L204" s="93">
        <f t="shared" si="139"/>
        <v>0</v>
      </c>
      <c r="M204" s="85" t="str">
        <f t="shared" si="131"/>
        <v/>
      </c>
      <c r="N204" s="186"/>
      <c r="O204" s="152"/>
      <c r="P204" s="152"/>
      <c r="Q204" s="2"/>
      <c r="R204" s="2"/>
      <c r="S204" s="2"/>
      <c r="T204" s="2"/>
      <c r="U204" s="2"/>
      <c r="V204" s="2"/>
      <c r="W204" s="2"/>
      <c r="X204" s="2"/>
      <c r="Y204" s="2"/>
      <c r="Z204" s="1"/>
      <c r="AA204" s="1"/>
      <c r="AB204" s="1"/>
      <c r="AC204" s="1"/>
      <c r="AD204" s="1"/>
      <c r="AE204" s="1"/>
      <c r="AF204" s="1"/>
      <c r="AG204" s="1"/>
      <c r="AH204" s="1"/>
      <c r="AI204" s="1"/>
      <c r="AJ204" s="1"/>
    </row>
    <row r="205" spans="1:36" ht="17.25" thickBot="1" x14ac:dyDescent="0.35">
      <c r="A205" s="147"/>
      <c r="B205" s="97"/>
      <c r="C205" s="103"/>
      <c r="D205" s="150"/>
      <c r="E205" s="150"/>
      <c r="F205" s="100"/>
      <c r="G205" s="89">
        <f t="shared" si="136"/>
        <v>0</v>
      </c>
      <c r="H205" s="100"/>
      <c r="I205" s="89">
        <f t="shared" si="137"/>
        <v>0</v>
      </c>
      <c r="J205" s="100"/>
      <c r="K205" s="89">
        <f t="shared" si="138"/>
        <v>0</v>
      </c>
      <c r="L205" s="93">
        <f t="shared" si="139"/>
        <v>0</v>
      </c>
      <c r="M205" s="85" t="str">
        <f t="shared" si="131"/>
        <v/>
      </c>
      <c r="N205" s="186"/>
      <c r="O205" s="152"/>
      <c r="P205" s="152"/>
      <c r="Q205" s="2"/>
      <c r="R205" s="2"/>
      <c r="S205" s="2"/>
      <c r="T205" s="2"/>
      <c r="U205" s="2"/>
      <c r="V205" s="2"/>
      <c r="W205" s="2"/>
      <c r="X205" s="2"/>
      <c r="Y205" s="2"/>
      <c r="Z205" s="1"/>
      <c r="AA205" s="1"/>
      <c r="AB205" s="1"/>
      <c r="AC205" s="1"/>
      <c r="AD205" s="1"/>
      <c r="AE205" s="1"/>
      <c r="AF205" s="1"/>
      <c r="AG205" s="1"/>
      <c r="AH205" s="1"/>
      <c r="AI205" s="1"/>
      <c r="AJ205" s="1"/>
    </row>
    <row r="206" spans="1:36" ht="17.25" thickBot="1" x14ac:dyDescent="0.35">
      <c r="A206" s="147"/>
      <c r="B206" s="97"/>
      <c r="C206" s="103"/>
      <c r="D206" s="150"/>
      <c r="E206" s="150"/>
      <c r="F206" s="100"/>
      <c r="G206" s="89">
        <f t="shared" si="136"/>
        <v>0</v>
      </c>
      <c r="H206" s="100"/>
      <c r="I206" s="89">
        <f t="shared" si="137"/>
        <v>0</v>
      </c>
      <c r="J206" s="100"/>
      <c r="K206" s="89">
        <f t="shared" si="138"/>
        <v>0</v>
      </c>
      <c r="L206" s="93">
        <f t="shared" si="139"/>
        <v>0</v>
      </c>
      <c r="M206" s="85" t="str">
        <f t="shared" si="131"/>
        <v/>
      </c>
      <c r="N206" s="186"/>
      <c r="O206" s="152"/>
      <c r="P206" s="152"/>
      <c r="Q206" s="2"/>
      <c r="R206" s="2"/>
      <c r="S206" s="2"/>
      <c r="T206" s="2"/>
      <c r="U206" s="2"/>
      <c r="V206" s="2"/>
      <c r="W206" s="2"/>
      <c r="X206" s="2"/>
      <c r="Y206" s="2"/>
      <c r="Z206" s="1"/>
      <c r="AA206" s="1"/>
      <c r="AB206" s="1"/>
      <c r="AC206" s="1"/>
      <c r="AD206" s="1"/>
      <c r="AE206" s="1"/>
      <c r="AF206" s="1"/>
      <c r="AG206" s="1"/>
      <c r="AH206" s="1"/>
      <c r="AI206" s="1"/>
      <c r="AJ206" s="1"/>
    </row>
    <row r="207" spans="1:36" ht="17.25" thickBot="1" x14ac:dyDescent="0.35">
      <c r="A207" s="148"/>
      <c r="B207" s="98"/>
      <c r="C207" s="104"/>
      <c r="D207" s="151"/>
      <c r="E207" s="151"/>
      <c r="F207" s="101"/>
      <c r="G207" s="90">
        <f t="shared" si="136"/>
        <v>0</v>
      </c>
      <c r="H207" s="101"/>
      <c r="I207" s="90">
        <f t="shared" si="137"/>
        <v>0</v>
      </c>
      <c r="J207" s="101"/>
      <c r="K207" s="90">
        <f t="shared" si="138"/>
        <v>0</v>
      </c>
      <c r="L207" s="94">
        <f t="shared" si="139"/>
        <v>0</v>
      </c>
      <c r="M207" s="87" t="str">
        <f t="shared" si="131"/>
        <v/>
      </c>
      <c r="N207" s="186"/>
      <c r="O207" s="152"/>
      <c r="P207" s="152"/>
      <c r="Q207" s="2"/>
      <c r="R207" s="2"/>
      <c r="S207" s="2"/>
      <c r="T207" s="2"/>
      <c r="U207" s="2"/>
      <c r="V207" s="2"/>
      <c r="W207" s="2"/>
      <c r="X207" s="2"/>
      <c r="Y207" s="2"/>
      <c r="Z207" s="1"/>
      <c r="AA207" s="1"/>
      <c r="AB207" s="1"/>
      <c r="AC207" s="1"/>
      <c r="AD207" s="1"/>
      <c r="AE207" s="1"/>
      <c r="AF207" s="1"/>
      <c r="AG207" s="1"/>
      <c r="AH207" s="1"/>
      <c r="AI207" s="1"/>
      <c r="AJ207" s="1"/>
    </row>
    <row r="208" spans="1:36" ht="17.25" thickBot="1" x14ac:dyDescent="0.35">
      <c r="A208" s="147">
        <v>47</v>
      </c>
      <c r="B208" s="95"/>
      <c r="C208" s="102"/>
      <c r="D208" s="149">
        <f t="shared" ref="D208" si="140">SUM(G208:G213)+SUM(I208:I213)</f>
        <v>0</v>
      </c>
      <c r="E208" s="149">
        <f t="shared" ref="E208" si="141">SUM(G208:G213,K208:K213,H208:H213)</f>
        <v>0</v>
      </c>
      <c r="F208" s="99"/>
      <c r="G208" s="89">
        <f t="shared" si="136"/>
        <v>0</v>
      </c>
      <c r="H208" s="99"/>
      <c r="I208" s="89">
        <f t="shared" si="137"/>
        <v>0</v>
      </c>
      <c r="J208" s="99"/>
      <c r="K208" s="89">
        <f t="shared" si="138"/>
        <v>0</v>
      </c>
      <c r="L208" s="93">
        <f t="shared" si="139"/>
        <v>0</v>
      </c>
      <c r="M208" s="83" t="str">
        <f t="shared" si="131"/>
        <v/>
      </c>
      <c r="N208" s="186" t="e">
        <f>AVERAGE(M208:M213)</f>
        <v>#DIV/0!</v>
      </c>
      <c r="O208" s="152">
        <f t="shared" ref="O208" si="142">SUM(L208:L213)</f>
        <v>0</v>
      </c>
      <c r="P208" s="152">
        <v>0</v>
      </c>
      <c r="Q208" s="2"/>
      <c r="R208" s="2"/>
      <c r="S208" s="2"/>
      <c r="T208" s="2"/>
      <c r="U208" s="2"/>
      <c r="V208" s="2"/>
      <c r="W208" s="2"/>
      <c r="X208" s="2"/>
      <c r="Y208" s="2"/>
      <c r="Z208" s="1"/>
      <c r="AA208" s="1"/>
      <c r="AB208" s="1"/>
      <c r="AC208" s="1"/>
      <c r="AD208" s="1"/>
      <c r="AE208" s="1"/>
      <c r="AF208" s="1"/>
      <c r="AG208" s="1"/>
      <c r="AH208" s="1"/>
      <c r="AI208" s="1"/>
      <c r="AJ208" s="1"/>
    </row>
    <row r="209" spans="1:36" ht="17.25" thickBot="1" x14ac:dyDescent="0.35">
      <c r="A209" s="147"/>
      <c r="B209" s="96"/>
      <c r="C209" s="103"/>
      <c r="D209" s="150"/>
      <c r="E209" s="150"/>
      <c r="F209" s="100"/>
      <c r="G209" s="89">
        <f t="shared" si="136"/>
        <v>0</v>
      </c>
      <c r="H209" s="100"/>
      <c r="I209" s="89">
        <f t="shared" si="137"/>
        <v>0</v>
      </c>
      <c r="J209" s="100"/>
      <c r="K209" s="89">
        <f t="shared" si="138"/>
        <v>0</v>
      </c>
      <c r="L209" s="93">
        <f t="shared" si="139"/>
        <v>0</v>
      </c>
      <c r="M209" s="85" t="str">
        <f t="shared" si="131"/>
        <v/>
      </c>
      <c r="N209" s="186"/>
      <c r="O209" s="152"/>
      <c r="P209" s="152"/>
      <c r="Q209" s="2"/>
      <c r="R209" s="2"/>
      <c r="S209" s="2"/>
      <c r="T209" s="2"/>
      <c r="U209" s="2"/>
      <c r="V209" s="2"/>
      <c r="W209" s="2"/>
      <c r="X209" s="2"/>
      <c r="Y209" s="2"/>
      <c r="Z209" s="1"/>
      <c r="AA209" s="1"/>
      <c r="AB209" s="1"/>
      <c r="AC209" s="1"/>
      <c r="AD209" s="1"/>
      <c r="AE209" s="1"/>
      <c r="AF209" s="1"/>
      <c r="AG209" s="1"/>
      <c r="AH209" s="1"/>
      <c r="AI209" s="1"/>
      <c r="AJ209" s="1"/>
    </row>
    <row r="210" spans="1:36" ht="17.25" thickBot="1" x14ac:dyDescent="0.35">
      <c r="A210" s="147"/>
      <c r="B210" s="97"/>
      <c r="C210" s="103"/>
      <c r="D210" s="150"/>
      <c r="E210" s="150"/>
      <c r="F210" s="100"/>
      <c r="G210" s="89">
        <f t="shared" si="136"/>
        <v>0</v>
      </c>
      <c r="H210" s="100"/>
      <c r="I210" s="89">
        <f t="shared" si="137"/>
        <v>0</v>
      </c>
      <c r="J210" s="100"/>
      <c r="K210" s="89">
        <f t="shared" si="138"/>
        <v>0</v>
      </c>
      <c r="L210" s="93">
        <f t="shared" si="139"/>
        <v>0</v>
      </c>
      <c r="M210" s="85" t="str">
        <f t="shared" si="131"/>
        <v/>
      </c>
      <c r="N210" s="186"/>
      <c r="O210" s="152"/>
      <c r="P210" s="152"/>
      <c r="Q210" s="2"/>
      <c r="R210" s="2"/>
      <c r="S210" s="2"/>
      <c r="T210" s="2"/>
      <c r="U210" s="2"/>
      <c r="V210" s="2"/>
      <c r="W210" s="2"/>
      <c r="X210" s="2"/>
      <c r="Y210" s="2"/>
      <c r="Z210" s="1"/>
      <c r="AA210" s="1"/>
      <c r="AB210" s="1"/>
      <c r="AC210" s="1"/>
      <c r="AD210" s="1"/>
      <c r="AE210" s="1"/>
      <c r="AF210" s="1"/>
      <c r="AG210" s="1"/>
      <c r="AH210" s="1"/>
      <c r="AI210" s="1"/>
      <c r="AJ210" s="1"/>
    </row>
    <row r="211" spans="1:36" ht="17.25" thickBot="1" x14ac:dyDescent="0.35">
      <c r="A211" s="147"/>
      <c r="B211" s="97"/>
      <c r="C211" s="103"/>
      <c r="D211" s="150"/>
      <c r="E211" s="150"/>
      <c r="F211" s="100"/>
      <c r="G211" s="89">
        <f t="shared" si="136"/>
        <v>0</v>
      </c>
      <c r="H211" s="100"/>
      <c r="I211" s="89">
        <f t="shared" si="137"/>
        <v>0</v>
      </c>
      <c r="J211" s="100"/>
      <c r="K211" s="89">
        <f t="shared" si="138"/>
        <v>0</v>
      </c>
      <c r="L211" s="93">
        <f t="shared" si="139"/>
        <v>0</v>
      </c>
      <c r="M211" s="85" t="str">
        <f t="shared" si="131"/>
        <v/>
      </c>
      <c r="N211" s="186"/>
      <c r="O211" s="152"/>
      <c r="P211" s="152"/>
      <c r="Q211" s="2"/>
      <c r="R211" s="2"/>
      <c r="S211" s="2"/>
      <c r="T211" s="2"/>
      <c r="U211" s="2"/>
      <c r="V211" s="2"/>
      <c r="W211" s="2"/>
      <c r="X211" s="2"/>
      <c r="Y211" s="2"/>
      <c r="Z211" s="1"/>
      <c r="AA211" s="1"/>
      <c r="AB211" s="1"/>
      <c r="AC211" s="1"/>
      <c r="AD211" s="1"/>
      <c r="AE211" s="1"/>
      <c r="AF211" s="1"/>
      <c r="AG211" s="1"/>
      <c r="AH211" s="1"/>
      <c r="AI211" s="1"/>
      <c r="AJ211" s="1"/>
    </row>
    <row r="212" spans="1:36" ht="17.25" thickBot="1" x14ac:dyDescent="0.35">
      <c r="A212" s="147"/>
      <c r="B212" s="97"/>
      <c r="C212" s="103"/>
      <c r="D212" s="150"/>
      <c r="E212" s="150"/>
      <c r="F212" s="100"/>
      <c r="G212" s="89">
        <f t="shared" si="136"/>
        <v>0</v>
      </c>
      <c r="H212" s="100"/>
      <c r="I212" s="89">
        <f t="shared" si="137"/>
        <v>0</v>
      </c>
      <c r="J212" s="100"/>
      <c r="K212" s="89">
        <f t="shared" si="138"/>
        <v>0</v>
      </c>
      <c r="L212" s="93">
        <f t="shared" si="139"/>
        <v>0</v>
      </c>
      <c r="M212" s="85" t="str">
        <f t="shared" si="131"/>
        <v/>
      </c>
      <c r="N212" s="186"/>
      <c r="O212" s="152"/>
      <c r="P212" s="152"/>
      <c r="Q212" s="2"/>
      <c r="R212" s="2"/>
      <c r="S212" s="2"/>
      <c r="T212" s="2"/>
      <c r="U212" s="2"/>
      <c r="V212" s="2"/>
      <c r="W212" s="2"/>
      <c r="X212" s="2"/>
      <c r="Y212" s="2"/>
      <c r="Z212" s="1"/>
      <c r="AA212" s="1"/>
      <c r="AB212" s="1"/>
      <c r="AC212" s="1"/>
      <c r="AD212" s="1"/>
      <c r="AE212" s="1"/>
      <c r="AF212" s="1"/>
      <c r="AG212" s="1"/>
      <c r="AH212" s="1"/>
      <c r="AI212" s="1"/>
      <c r="AJ212" s="1"/>
    </row>
    <row r="213" spans="1:36" ht="17.25" thickBot="1" x14ac:dyDescent="0.35">
      <c r="A213" s="147"/>
      <c r="B213" s="98"/>
      <c r="C213" s="104"/>
      <c r="D213" s="151"/>
      <c r="E213" s="151"/>
      <c r="F213" s="101"/>
      <c r="G213" s="89">
        <f t="shared" si="136"/>
        <v>0</v>
      </c>
      <c r="H213" s="101"/>
      <c r="I213" s="89">
        <f t="shared" si="137"/>
        <v>0</v>
      </c>
      <c r="J213" s="101"/>
      <c r="K213" s="89">
        <f t="shared" si="138"/>
        <v>0</v>
      </c>
      <c r="L213" s="93">
        <f t="shared" si="139"/>
        <v>0</v>
      </c>
      <c r="M213" s="87" t="str">
        <f t="shared" si="131"/>
        <v/>
      </c>
      <c r="N213" s="186"/>
      <c r="O213" s="152"/>
      <c r="P213" s="152"/>
      <c r="Q213" s="2"/>
      <c r="R213" s="2"/>
      <c r="S213" s="2"/>
      <c r="T213" s="2"/>
      <c r="U213" s="2"/>
      <c r="V213" s="2"/>
      <c r="W213" s="2"/>
      <c r="X213" s="2"/>
      <c r="Y213" s="2"/>
      <c r="Z213" s="1"/>
      <c r="AA213" s="1"/>
      <c r="AB213" s="1"/>
      <c r="AC213" s="1"/>
      <c r="AD213" s="1"/>
      <c r="AE213" s="1"/>
      <c r="AF213" s="1"/>
      <c r="AG213" s="1"/>
      <c r="AH213" s="1"/>
      <c r="AI213" s="1"/>
      <c r="AJ213" s="1"/>
    </row>
    <row r="214" spans="1:36" ht="17.25" thickBot="1" x14ac:dyDescent="0.35">
      <c r="A214" s="146">
        <v>48</v>
      </c>
      <c r="B214" s="95"/>
      <c r="C214" s="102"/>
      <c r="D214" s="149">
        <f t="shared" ref="D214" si="143">SUM(G214:G219)+SUM(I214:I219)</f>
        <v>0</v>
      </c>
      <c r="E214" s="149">
        <f t="shared" ref="E214" si="144">SUM(G214:G219,K214:K219,H214:H219)</f>
        <v>0</v>
      </c>
      <c r="F214" s="99"/>
      <c r="G214" s="91">
        <f t="shared" si="136"/>
        <v>0</v>
      </c>
      <c r="H214" s="99"/>
      <c r="I214" s="91">
        <f t="shared" si="137"/>
        <v>0</v>
      </c>
      <c r="J214" s="99"/>
      <c r="K214" s="91">
        <f t="shared" si="138"/>
        <v>0</v>
      </c>
      <c r="L214" s="92">
        <f t="shared" si="139"/>
        <v>0</v>
      </c>
      <c r="M214" s="83" t="str">
        <f t="shared" si="131"/>
        <v/>
      </c>
      <c r="N214" s="186" t="e">
        <f t="shared" ref="N214" si="145">AVERAGE(M214:M219)</f>
        <v>#DIV/0!</v>
      </c>
      <c r="O214" s="152">
        <f t="shared" ref="O214" si="146">SUM(L214:L219)</f>
        <v>0</v>
      </c>
      <c r="P214" s="152">
        <v>0</v>
      </c>
      <c r="Q214" s="2"/>
      <c r="R214" s="2"/>
      <c r="S214" s="2"/>
      <c r="T214" s="2"/>
      <c r="U214" s="2"/>
      <c r="V214" s="2"/>
      <c r="W214" s="2"/>
      <c r="X214" s="2"/>
      <c r="Y214" s="2"/>
      <c r="Z214" s="1"/>
      <c r="AA214" s="1"/>
      <c r="AB214" s="1"/>
      <c r="AC214" s="1"/>
      <c r="AD214" s="1"/>
      <c r="AE214" s="1"/>
      <c r="AF214" s="1"/>
      <c r="AG214" s="1"/>
      <c r="AH214" s="1"/>
      <c r="AI214" s="1"/>
      <c r="AJ214" s="1"/>
    </row>
    <row r="215" spans="1:36" ht="17.25" thickBot="1" x14ac:dyDescent="0.35">
      <c r="A215" s="147"/>
      <c r="B215" s="96"/>
      <c r="C215" s="103"/>
      <c r="D215" s="150"/>
      <c r="E215" s="150"/>
      <c r="F215" s="100"/>
      <c r="G215" s="89">
        <f t="shared" si="136"/>
        <v>0</v>
      </c>
      <c r="H215" s="100"/>
      <c r="I215" s="89">
        <f t="shared" si="137"/>
        <v>0</v>
      </c>
      <c r="J215" s="100"/>
      <c r="K215" s="89">
        <f t="shared" si="138"/>
        <v>0</v>
      </c>
      <c r="L215" s="93">
        <f t="shared" si="139"/>
        <v>0</v>
      </c>
      <c r="M215" s="85" t="str">
        <f t="shared" si="131"/>
        <v/>
      </c>
      <c r="N215" s="186"/>
      <c r="O215" s="152"/>
      <c r="P215" s="152"/>
      <c r="Q215" s="2"/>
      <c r="R215" s="2"/>
      <c r="S215" s="2"/>
      <c r="T215" s="2"/>
      <c r="U215" s="2"/>
      <c r="V215" s="2"/>
      <c r="W215" s="2"/>
      <c r="X215" s="2"/>
      <c r="Y215" s="2"/>
      <c r="Z215" s="1"/>
      <c r="AA215" s="1"/>
      <c r="AB215" s="1"/>
      <c r="AC215" s="1"/>
      <c r="AD215" s="1"/>
      <c r="AE215" s="1"/>
      <c r="AF215" s="1"/>
      <c r="AG215" s="1"/>
      <c r="AH215" s="1"/>
      <c r="AI215" s="1"/>
      <c r="AJ215" s="1"/>
    </row>
    <row r="216" spans="1:36" ht="17.25" thickBot="1" x14ac:dyDescent="0.35">
      <c r="A216" s="147"/>
      <c r="B216" s="97"/>
      <c r="C216" s="103"/>
      <c r="D216" s="150"/>
      <c r="E216" s="150"/>
      <c r="F216" s="100"/>
      <c r="G216" s="89">
        <f t="shared" si="136"/>
        <v>0</v>
      </c>
      <c r="H216" s="100"/>
      <c r="I216" s="89">
        <f t="shared" si="137"/>
        <v>0</v>
      </c>
      <c r="J216" s="100"/>
      <c r="K216" s="89">
        <f t="shared" si="138"/>
        <v>0</v>
      </c>
      <c r="L216" s="93">
        <f t="shared" si="139"/>
        <v>0</v>
      </c>
      <c r="M216" s="85" t="str">
        <f t="shared" si="131"/>
        <v/>
      </c>
      <c r="N216" s="186"/>
      <c r="O216" s="152"/>
      <c r="P216" s="152"/>
      <c r="Q216" s="2"/>
      <c r="R216" s="2"/>
      <c r="S216" s="2"/>
      <c r="T216" s="2"/>
      <c r="U216" s="2"/>
      <c r="V216" s="2"/>
      <c r="W216" s="2"/>
      <c r="X216" s="2"/>
      <c r="Y216" s="2"/>
      <c r="Z216" s="1"/>
      <c r="AA216" s="1"/>
      <c r="AB216" s="1"/>
      <c r="AC216" s="1"/>
      <c r="AD216" s="1"/>
      <c r="AE216" s="1"/>
      <c r="AF216" s="1"/>
      <c r="AG216" s="1"/>
      <c r="AH216" s="1"/>
      <c r="AI216" s="1"/>
      <c r="AJ216" s="1"/>
    </row>
    <row r="217" spans="1:36" ht="17.25" thickBot="1" x14ac:dyDescent="0.35">
      <c r="A217" s="147"/>
      <c r="B217" s="97"/>
      <c r="C217" s="103"/>
      <c r="D217" s="150"/>
      <c r="E217" s="150"/>
      <c r="F217" s="100"/>
      <c r="G217" s="89">
        <f t="shared" si="136"/>
        <v>0</v>
      </c>
      <c r="H217" s="100"/>
      <c r="I217" s="89">
        <f t="shared" si="137"/>
        <v>0</v>
      </c>
      <c r="J217" s="100"/>
      <c r="K217" s="89">
        <f t="shared" si="138"/>
        <v>0</v>
      </c>
      <c r="L217" s="93">
        <f t="shared" si="139"/>
        <v>0</v>
      </c>
      <c r="M217" s="85" t="str">
        <f t="shared" si="131"/>
        <v/>
      </c>
      <c r="N217" s="186"/>
      <c r="O217" s="152"/>
      <c r="P217" s="152"/>
      <c r="Q217" s="2"/>
      <c r="R217" s="2"/>
      <c r="S217" s="2"/>
      <c r="T217" s="2"/>
      <c r="U217" s="2"/>
      <c r="V217" s="2"/>
      <c r="W217" s="2"/>
      <c r="X217" s="2"/>
      <c r="Y217" s="2"/>
      <c r="Z217" s="1"/>
      <c r="AA217" s="1"/>
      <c r="AB217" s="1"/>
      <c r="AC217" s="1"/>
      <c r="AD217" s="1"/>
      <c r="AE217" s="1"/>
      <c r="AF217" s="1"/>
      <c r="AG217" s="1"/>
      <c r="AH217" s="1"/>
      <c r="AI217" s="1"/>
      <c r="AJ217" s="1"/>
    </row>
    <row r="218" spans="1:36" ht="17.25" thickBot="1" x14ac:dyDescent="0.35">
      <c r="A218" s="147"/>
      <c r="B218" s="97"/>
      <c r="C218" s="103"/>
      <c r="D218" s="150"/>
      <c r="E218" s="150"/>
      <c r="F218" s="100"/>
      <c r="G218" s="89">
        <f t="shared" si="136"/>
        <v>0</v>
      </c>
      <c r="H218" s="100"/>
      <c r="I218" s="89">
        <f t="shared" si="137"/>
        <v>0</v>
      </c>
      <c r="J218" s="100"/>
      <c r="K218" s="89">
        <f t="shared" si="138"/>
        <v>0</v>
      </c>
      <c r="L218" s="93">
        <f t="shared" si="139"/>
        <v>0</v>
      </c>
      <c r="M218" s="85" t="str">
        <f t="shared" si="131"/>
        <v/>
      </c>
      <c r="N218" s="186"/>
      <c r="O218" s="152"/>
      <c r="P218" s="152"/>
      <c r="Q218" s="2"/>
      <c r="R218" s="2"/>
      <c r="S218" s="2"/>
      <c r="T218" s="2"/>
      <c r="U218" s="2"/>
      <c r="V218" s="2"/>
      <c r="W218" s="2"/>
      <c r="X218" s="2"/>
      <c r="Y218" s="2"/>
      <c r="Z218" s="1"/>
      <c r="AA218" s="1"/>
      <c r="AB218" s="1"/>
      <c r="AC218" s="1"/>
      <c r="AD218" s="1"/>
      <c r="AE218" s="1"/>
      <c r="AF218" s="1"/>
      <c r="AG218" s="1"/>
      <c r="AH218" s="1"/>
      <c r="AI218" s="1"/>
      <c r="AJ218" s="1"/>
    </row>
    <row r="219" spans="1:36" ht="17.25" thickBot="1" x14ac:dyDescent="0.35">
      <c r="A219" s="148"/>
      <c r="B219" s="98"/>
      <c r="C219" s="104"/>
      <c r="D219" s="151"/>
      <c r="E219" s="151"/>
      <c r="F219" s="101"/>
      <c r="G219" s="90">
        <f t="shared" si="136"/>
        <v>0</v>
      </c>
      <c r="H219" s="101"/>
      <c r="I219" s="90">
        <f t="shared" si="137"/>
        <v>0</v>
      </c>
      <c r="J219" s="101"/>
      <c r="K219" s="90">
        <f t="shared" si="138"/>
        <v>0</v>
      </c>
      <c r="L219" s="94">
        <f t="shared" si="139"/>
        <v>0</v>
      </c>
      <c r="M219" s="87" t="str">
        <f t="shared" si="131"/>
        <v/>
      </c>
      <c r="N219" s="186"/>
      <c r="O219" s="152"/>
      <c r="P219" s="152"/>
      <c r="Q219" s="2"/>
      <c r="R219" s="2"/>
      <c r="S219" s="2"/>
      <c r="T219" s="2"/>
      <c r="U219" s="2"/>
      <c r="V219" s="2"/>
      <c r="W219" s="2"/>
      <c r="X219" s="2"/>
      <c r="Y219" s="2"/>
      <c r="Z219" s="1"/>
      <c r="AA219" s="1"/>
      <c r="AB219" s="1"/>
      <c r="AC219" s="1"/>
      <c r="AD219" s="1"/>
      <c r="AE219" s="1"/>
      <c r="AF219" s="1"/>
      <c r="AG219" s="1"/>
      <c r="AH219" s="1"/>
      <c r="AI219" s="1"/>
      <c r="AJ219" s="1"/>
    </row>
    <row r="220" spans="1:36" ht="17.25" thickBot="1" x14ac:dyDescent="0.35">
      <c r="A220" s="146">
        <v>49</v>
      </c>
      <c r="B220" s="95"/>
      <c r="C220" s="102"/>
      <c r="D220" s="149">
        <f t="shared" ref="D220" si="147">SUM(G220:G225)+SUM(I220:I225)</f>
        <v>0</v>
      </c>
      <c r="E220" s="149">
        <f t="shared" ref="E220" si="148">SUM(G220:G225,K220:K225,H220:H225)</f>
        <v>0</v>
      </c>
      <c r="F220" s="99"/>
      <c r="G220" s="91">
        <f t="shared" si="136"/>
        <v>0</v>
      </c>
      <c r="H220" s="99"/>
      <c r="I220" s="91">
        <f t="shared" si="137"/>
        <v>0</v>
      </c>
      <c r="J220" s="99"/>
      <c r="K220" s="91">
        <f t="shared" si="138"/>
        <v>0</v>
      </c>
      <c r="L220" s="92">
        <f t="shared" si="139"/>
        <v>0</v>
      </c>
      <c r="M220" s="83" t="str">
        <f t="shared" si="131"/>
        <v/>
      </c>
      <c r="N220" s="186" t="e">
        <f t="shared" ref="N220" si="149">AVERAGE(M220:M225)</f>
        <v>#DIV/0!</v>
      </c>
      <c r="O220" s="152">
        <f t="shared" ref="O220" si="150">SUM(L220:L225)</f>
        <v>0</v>
      </c>
      <c r="P220" s="152">
        <v>0</v>
      </c>
      <c r="Q220" s="2"/>
      <c r="R220" s="2"/>
      <c r="S220" s="2"/>
      <c r="T220" s="2"/>
      <c r="U220" s="2"/>
      <c r="V220" s="2"/>
      <c r="W220" s="2"/>
      <c r="X220" s="2"/>
      <c r="Y220" s="2"/>
      <c r="Z220" s="1"/>
      <c r="AA220" s="1"/>
      <c r="AB220" s="1"/>
      <c r="AC220" s="1"/>
      <c r="AD220" s="1"/>
      <c r="AE220" s="1"/>
      <c r="AF220" s="1"/>
      <c r="AG220" s="1"/>
      <c r="AH220" s="1"/>
      <c r="AI220" s="1"/>
      <c r="AJ220" s="1"/>
    </row>
    <row r="221" spans="1:36" ht="17.25" thickBot="1" x14ac:dyDescent="0.35">
      <c r="A221" s="147"/>
      <c r="B221" s="96"/>
      <c r="C221" s="103"/>
      <c r="D221" s="150"/>
      <c r="E221" s="150"/>
      <c r="F221" s="100"/>
      <c r="G221" s="89">
        <f t="shared" si="136"/>
        <v>0</v>
      </c>
      <c r="H221" s="100"/>
      <c r="I221" s="89">
        <f t="shared" si="137"/>
        <v>0</v>
      </c>
      <c r="J221" s="100"/>
      <c r="K221" s="89">
        <f t="shared" si="138"/>
        <v>0</v>
      </c>
      <c r="L221" s="93">
        <f t="shared" si="139"/>
        <v>0</v>
      </c>
      <c r="M221" s="85" t="str">
        <f t="shared" si="131"/>
        <v/>
      </c>
      <c r="N221" s="186"/>
      <c r="O221" s="152"/>
      <c r="P221" s="152"/>
      <c r="Q221" s="2"/>
      <c r="R221" s="2"/>
      <c r="S221" s="2"/>
      <c r="T221" s="2"/>
      <c r="U221" s="2"/>
      <c r="V221" s="2"/>
      <c r="W221" s="2"/>
      <c r="X221" s="2"/>
      <c r="Y221" s="2"/>
      <c r="Z221" s="1"/>
      <c r="AA221" s="1"/>
      <c r="AB221" s="1"/>
      <c r="AC221" s="1"/>
      <c r="AD221" s="1"/>
      <c r="AE221" s="1"/>
      <c r="AF221" s="1"/>
      <c r="AG221" s="1"/>
      <c r="AH221" s="1"/>
      <c r="AI221" s="1"/>
      <c r="AJ221" s="1"/>
    </row>
    <row r="222" spans="1:36" ht="17.25" thickBot="1" x14ac:dyDescent="0.35">
      <c r="A222" s="147"/>
      <c r="B222" s="97"/>
      <c r="C222" s="103"/>
      <c r="D222" s="150"/>
      <c r="E222" s="150"/>
      <c r="F222" s="100"/>
      <c r="G222" s="89">
        <f t="shared" si="136"/>
        <v>0</v>
      </c>
      <c r="H222" s="100"/>
      <c r="I222" s="89">
        <f t="shared" si="137"/>
        <v>0</v>
      </c>
      <c r="J222" s="100"/>
      <c r="K222" s="89">
        <f t="shared" si="138"/>
        <v>0</v>
      </c>
      <c r="L222" s="93">
        <f t="shared" si="139"/>
        <v>0</v>
      </c>
      <c r="M222" s="85" t="str">
        <f t="shared" si="131"/>
        <v/>
      </c>
      <c r="N222" s="186"/>
      <c r="O222" s="152"/>
      <c r="P222" s="152"/>
      <c r="Q222" s="2"/>
      <c r="R222" s="2"/>
      <c r="S222" s="2"/>
      <c r="T222" s="2"/>
      <c r="U222" s="2"/>
      <c r="V222" s="2"/>
      <c r="W222" s="2"/>
      <c r="X222" s="2"/>
      <c r="Y222" s="2"/>
      <c r="Z222" s="1"/>
      <c r="AA222" s="1"/>
      <c r="AB222" s="1"/>
      <c r="AC222" s="1"/>
      <c r="AD222" s="1"/>
      <c r="AE222" s="1"/>
      <c r="AF222" s="1"/>
      <c r="AG222" s="1"/>
      <c r="AH222" s="1"/>
      <c r="AI222" s="1"/>
      <c r="AJ222" s="1"/>
    </row>
    <row r="223" spans="1:36" ht="17.25" thickBot="1" x14ac:dyDescent="0.35">
      <c r="A223" s="147"/>
      <c r="B223" s="97"/>
      <c r="C223" s="103"/>
      <c r="D223" s="150"/>
      <c r="E223" s="150"/>
      <c r="F223" s="100"/>
      <c r="G223" s="89">
        <f t="shared" si="136"/>
        <v>0</v>
      </c>
      <c r="H223" s="100"/>
      <c r="I223" s="89">
        <f t="shared" si="137"/>
        <v>0</v>
      </c>
      <c r="J223" s="100"/>
      <c r="K223" s="89">
        <f t="shared" si="138"/>
        <v>0</v>
      </c>
      <c r="L223" s="93">
        <f t="shared" si="139"/>
        <v>0</v>
      </c>
      <c r="M223" s="85" t="str">
        <f t="shared" si="131"/>
        <v/>
      </c>
      <c r="N223" s="186"/>
      <c r="O223" s="152"/>
      <c r="P223" s="152"/>
      <c r="Q223" s="2"/>
      <c r="R223" s="2"/>
      <c r="S223" s="2"/>
      <c r="T223" s="2"/>
      <c r="U223" s="2"/>
      <c r="V223" s="2"/>
      <c r="W223" s="2"/>
      <c r="X223" s="2"/>
      <c r="Y223" s="2"/>
      <c r="Z223" s="1"/>
      <c r="AA223" s="1"/>
      <c r="AB223" s="1"/>
      <c r="AC223" s="1"/>
      <c r="AD223" s="1"/>
      <c r="AE223" s="1"/>
      <c r="AF223" s="1"/>
      <c r="AG223" s="1"/>
      <c r="AH223" s="1"/>
      <c r="AI223" s="1"/>
      <c r="AJ223" s="1"/>
    </row>
    <row r="224" spans="1:36" ht="17.25" thickBot="1" x14ac:dyDescent="0.35">
      <c r="A224" s="147"/>
      <c r="B224" s="97"/>
      <c r="C224" s="103"/>
      <c r="D224" s="150"/>
      <c r="E224" s="150"/>
      <c r="F224" s="100"/>
      <c r="G224" s="89">
        <f t="shared" si="136"/>
        <v>0</v>
      </c>
      <c r="H224" s="100"/>
      <c r="I224" s="89">
        <f t="shared" si="137"/>
        <v>0</v>
      </c>
      <c r="J224" s="100"/>
      <c r="K224" s="89">
        <f t="shared" si="138"/>
        <v>0</v>
      </c>
      <c r="L224" s="93">
        <f t="shared" si="139"/>
        <v>0</v>
      </c>
      <c r="M224" s="85" t="str">
        <f t="shared" si="131"/>
        <v/>
      </c>
      <c r="N224" s="186"/>
      <c r="O224" s="152"/>
      <c r="P224" s="152"/>
      <c r="Q224" s="2"/>
      <c r="R224" s="2"/>
      <c r="S224" s="2"/>
      <c r="T224" s="2"/>
      <c r="U224" s="2"/>
      <c r="V224" s="2"/>
      <c r="W224" s="2"/>
      <c r="X224" s="2"/>
      <c r="Y224" s="2"/>
      <c r="Z224" s="1"/>
      <c r="AA224" s="1"/>
      <c r="AB224" s="1"/>
      <c r="AC224" s="1"/>
      <c r="AD224" s="1"/>
      <c r="AE224" s="1"/>
      <c r="AF224" s="1"/>
      <c r="AG224" s="1"/>
      <c r="AH224" s="1"/>
      <c r="AI224" s="1"/>
      <c r="AJ224" s="1"/>
    </row>
    <row r="225" spans="1:36" ht="17.25" thickBot="1" x14ac:dyDescent="0.35">
      <c r="A225" s="148"/>
      <c r="B225" s="98"/>
      <c r="C225" s="104"/>
      <c r="D225" s="151"/>
      <c r="E225" s="151"/>
      <c r="F225" s="101"/>
      <c r="G225" s="90">
        <f t="shared" si="136"/>
        <v>0</v>
      </c>
      <c r="H225" s="101"/>
      <c r="I225" s="90">
        <f t="shared" si="137"/>
        <v>0</v>
      </c>
      <c r="J225" s="101"/>
      <c r="K225" s="90">
        <f t="shared" si="138"/>
        <v>0</v>
      </c>
      <c r="L225" s="94">
        <f t="shared" si="139"/>
        <v>0</v>
      </c>
      <c r="M225" s="87" t="str">
        <f t="shared" si="131"/>
        <v/>
      </c>
      <c r="N225" s="186"/>
      <c r="O225" s="152"/>
      <c r="P225" s="152"/>
      <c r="Q225" s="2"/>
      <c r="R225" s="2"/>
      <c r="S225" s="2"/>
      <c r="T225" s="2"/>
      <c r="U225" s="2"/>
      <c r="V225" s="2"/>
      <c r="W225" s="2"/>
      <c r="X225" s="2"/>
      <c r="Y225" s="2"/>
      <c r="Z225" s="1"/>
      <c r="AA225" s="1"/>
      <c r="AB225" s="1"/>
      <c r="AC225" s="1"/>
      <c r="AD225" s="1"/>
      <c r="AE225" s="1"/>
      <c r="AF225" s="1"/>
      <c r="AG225" s="1"/>
      <c r="AH225" s="1"/>
      <c r="AI225" s="1"/>
      <c r="AJ225" s="1"/>
    </row>
    <row r="226" spans="1:36" ht="17.25" thickBot="1" x14ac:dyDescent="0.35">
      <c r="A226" s="146">
        <v>50</v>
      </c>
      <c r="B226" s="95"/>
      <c r="C226" s="102"/>
      <c r="D226" s="149">
        <f t="shared" ref="D226" si="151">SUM(G226:G231)+SUM(I226:I231)</f>
        <v>0</v>
      </c>
      <c r="E226" s="149">
        <f t="shared" ref="E226" si="152">SUM(G226:G231,K226:K231,H226:H231)</f>
        <v>0</v>
      </c>
      <c r="F226" s="99"/>
      <c r="G226" s="91">
        <f t="shared" si="136"/>
        <v>0</v>
      </c>
      <c r="H226" s="99"/>
      <c r="I226" s="91">
        <f t="shared" si="137"/>
        <v>0</v>
      </c>
      <c r="J226" s="99"/>
      <c r="K226" s="91">
        <f t="shared" si="138"/>
        <v>0</v>
      </c>
      <c r="L226" s="93">
        <f t="shared" si="139"/>
        <v>0</v>
      </c>
      <c r="M226" s="83" t="str">
        <f t="shared" si="131"/>
        <v/>
      </c>
      <c r="N226" s="186" t="e">
        <f>AVERAGE(M226:M231)</f>
        <v>#DIV/0!</v>
      </c>
      <c r="O226" s="152">
        <f t="shared" ref="O226" si="153">SUM(L226:L231)</f>
        <v>0</v>
      </c>
      <c r="P226" s="152">
        <v>0</v>
      </c>
      <c r="Q226" s="2"/>
      <c r="R226" s="2"/>
      <c r="S226" s="2"/>
      <c r="T226" s="2"/>
      <c r="U226" s="2"/>
      <c r="V226" s="2"/>
      <c r="W226" s="2"/>
      <c r="X226" s="2"/>
      <c r="Y226" s="2"/>
      <c r="Z226" s="1"/>
      <c r="AA226" s="1"/>
      <c r="AB226" s="1"/>
      <c r="AC226" s="1"/>
      <c r="AD226" s="1"/>
      <c r="AE226" s="1"/>
      <c r="AF226" s="1"/>
      <c r="AG226" s="1"/>
      <c r="AH226" s="1"/>
      <c r="AI226" s="1"/>
      <c r="AJ226" s="1"/>
    </row>
    <row r="227" spans="1:36" ht="17.25" thickBot="1" x14ac:dyDescent="0.35">
      <c r="A227" s="147"/>
      <c r="B227" s="96"/>
      <c r="C227" s="117"/>
      <c r="D227" s="150"/>
      <c r="E227" s="150"/>
      <c r="F227" s="100"/>
      <c r="G227" s="89">
        <f t="shared" si="136"/>
        <v>0</v>
      </c>
      <c r="H227" s="100"/>
      <c r="I227" s="89">
        <f t="shared" si="137"/>
        <v>0</v>
      </c>
      <c r="J227" s="100"/>
      <c r="K227" s="89">
        <f t="shared" si="138"/>
        <v>0</v>
      </c>
      <c r="L227" s="93">
        <f t="shared" si="139"/>
        <v>0</v>
      </c>
      <c r="M227" s="85" t="str">
        <f t="shared" si="131"/>
        <v/>
      </c>
      <c r="N227" s="186"/>
      <c r="O227" s="152"/>
      <c r="P227" s="152"/>
      <c r="Q227" s="2"/>
      <c r="R227" s="2"/>
      <c r="S227" s="2"/>
      <c r="T227" s="2"/>
      <c r="U227" s="2"/>
      <c r="V227" s="2"/>
      <c r="W227" s="2"/>
      <c r="X227" s="2"/>
      <c r="Y227" s="2"/>
      <c r="Z227" s="1"/>
      <c r="AA227" s="1"/>
      <c r="AB227" s="1"/>
      <c r="AC227" s="1"/>
      <c r="AD227" s="1"/>
      <c r="AE227" s="1"/>
      <c r="AF227" s="1"/>
      <c r="AG227" s="1"/>
      <c r="AH227" s="1"/>
      <c r="AI227" s="1"/>
      <c r="AJ227" s="1"/>
    </row>
    <row r="228" spans="1:36" ht="17.25" thickBot="1" x14ac:dyDescent="0.35">
      <c r="A228" s="147"/>
      <c r="B228" s="97"/>
      <c r="C228" s="117"/>
      <c r="D228" s="150"/>
      <c r="E228" s="150"/>
      <c r="F228" s="100"/>
      <c r="G228" s="89">
        <f t="shared" si="136"/>
        <v>0</v>
      </c>
      <c r="H228" s="100"/>
      <c r="I228" s="89">
        <f t="shared" si="137"/>
        <v>0</v>
      </c>
      <c r="J228" s="100"/>
      <c r="K228" s="89">
        <f t="shared" si="138"/>
        <v>0</v>
      </c>
      <c r="L228" s="93">
        <f t="shared" si="139"/>
        <v>0</v>
      </c>
      <c r="M228" s="85" t="str">
        <f t="shared" si="131"/>
        <v/>
      </c>
      <c r="N228" s="186"/>
      <c r="O228" s="152"/>
      <c r="P228" s="152"/>
      <c r="Q228" s="2"/>
      <c r="R228" s="2"/>
      <c r="S228" s="2"/>
      <c r="T228" s="2"/>
      <c r="U228" s="2"/>
      <c r="V228" s="2"/>
      <c r="W228" s="2"/>
      <c r="X228" s="2"/>
      <c r="Y228" s="2"/>
      <c r="Z228" s="1"/>
      <c r="AA228" s="1"/>
      <c r="AB228" s="1"/>
      <c r="AC228" s="1"/>
      <c r="AD228" s="1"/>
      <c r="AE228" s="1"/>
      <c r="AF228" s="1"/>
      <c r="AG228" s="1"/>
      <c r="AH228" s="1"/>
      <c r="AI228" s="1"/>
      <c r="AJ228" s="1"/>
    </row>
    <row r="229" spans="1:36" ht="17.25" thickBot="1" x14ac:dyDescent="0.35">
      <c r="A229" s="147"/>
      <c r="B229" s="97"/>
      <c r="C229" s="117"/>
      <c r="D229" s="150"/>
      <c r="E229" s="150"/>
      <c r="F229" s="100"/>
      <c r="G229" s="89">
        <f t="shared" si="136"/>
        <v>0</v>
      </c>
      <c r="H229" s="100"/>
      <c r="I229" s="89">
        <f t="shared" si="137"/>
        <v>0</v>
      </c>
      <c r="J229" s="100"/>
      <c r="K229" s="89">
        <f t="shared" si="138"/>
        <v>0</v>
      </c>
      <c r="L229" s="93">
        <f t="shared" si="139"/>
        <v>0</v>
      </c>
      <c r="M229" s="85" t="str">
        <f t="shared" si="131"/>
        <v/>
      </c>
      <c r="N229" s="186"/>
      <c r="O229" s="152"/>
      <c r="P229" s="152"/>
      <c r="Q229" s="2"/>
      <c r="R229" s="2"/>
      <c r="S229" s="2"/>
      <c r="T229" s="2"/>
      <c r="U229" s="2"/>
      <c r="V229" s="2"/>
      <c r="W229" s="2"/>
      <c r="X229" s="2"/>
      <c r="Y229" s="2"/>
      <c r="Z229" s="1"/>
      <c r="AA229" s="1"/>
      <c r="AB229" s="1"/>
      <c r="AC229" s="1"/>
      <c r="AD229" s="1"/>
      <c r="AE229" s="1"/>
      <c r="AF229" s="1"/>
      <c r="AG229" s="1"/>
      <c r="AH229" s="1"/>
      <c r="AI229" s="1"/>
      <c r="AJ229" s="1"/>
    </row>
    <row r="230" spans="1:36" ht="17.25" thickBot="1" x14ac:dyDescent="0.35">
      <c r="A230" s="147"/>
      <c r="B230" s="97"/>
      <c r="C230" s="117"/>
      <c r="D230" s="150"/>
      <c r="E230" s="150"/>
      <c r="F230" s="100"/>
      <c r="G230" s="89">
        <f t="shared" si="136"/>
        <v>0</v>
      </c>
      <c r="H230" s="100"/>
      <c r="I230" s="89">
        <f t="shared" si="137"/>
        <v>0</v>
      </c>
      <c r="J230" s="100"/>
      <c r="K230" s="89">
        <f t="shared" si="138"/>
        <v>0</v>
      </c>
      <c r="L230" s="93">
        <f t="shared" si="139"/>
        <v>0</v>
      </c>
      <c r="M230" s="85" t="str">
        <f t="shared" si="131"/>
        <v/>
      </c>
      <c r="N230" s="186"/>
      <c r="O230" s="152"/>
      <c r="P230" s="152"/>
      <c r="Q230" s="2"/>
      <c r="R230" s="2"/>
      <c r="S230" s="2"/>
      <c r="T230" s="2"/>
      <c r="U230" s="2"/>
      <c r="V230" s="2"/>
      <c r="W230" s="2"/>
      <c r="X230" s="2"/>
      <c r="Y230" s="2"/>
      <c r="Z230" s="1"/>
      <c r="AA230" s="1"/>
      <c r="AB230" s="1"/>
      <c r="AC230" s="1"/>
      <c r="AD230" s="1"/>
      <c r="AE230" s="1"/>
      <c r="AF230" s="1"/>
      <c r="AG230" s="1"/>
      <c r="AH230" s="1"/>
      <c r="AI230" s="1"/>
      <c r="AJ230" s="1"/>
    </row>
    <row r="231" spans="1:36" ht="17.25" thickBot="1" x14ac:dyDescent="0.35">
      <c r="A231" s="148"/>
      <c r="B231" s="98"/>
      <c r="C231" s="118"/>
      <c r="D231" s="151"/>
      <c r="E231" s="151"/>
      <c r="F231" s="101"/>
      <c r="G231" s="90">
        <f t="shared" si="136"/>
        <v>0</v>
      </c>
      <c r="H231" s="101"/>
      <c r="I231" s="90">
        <f t="shared" si="137"/>
        <v>0</v>
      </c>
      <c r="J231" s="101"/>
      <c r="K231" s="90">
        <f t="shared" si="138"/>
        <v>0</v>
      </c>
      <c r="L231" s="93">
        <f t="shared" si="139"/>
        <v>0</v>
      </c>
      <c r="M231" s="87" t="str">
        <f t="shared" si="131"/>
        <v/>
      </c>
      <c r="N231" s="186"/>
      <c r="O231" s="152"/>
      <c r="P231" s="152"/>
      <c r="Q231" s="1"/>
      <c r="R231" s="1"/>
      <c r="S231" s="1"/>
      <c r="T231" s="1"/>
      <c r="U231" s="1"/>
      <c r="V231" s="1"/>
      <c r="W231" s="1"/>
      <c r="X231" s="1"/>
      <c r="Y231" s="1"/>
      <c r="Z231" s="1"/>
      <c r="AA231" s="1"/>
      <c r="AB231" s="1"/>
      <c r="AC231" s="1"/>
      <c r="AD231" s="1"/>
      <c r="AE231" s="1"/>
      <c r="AF231" s="1"/>
      <c r="AG231" s="1"/>
      <c r="AH231" s="1"/>
      <c r="AI231" s="1"/>
      <c r="AJ231" s="1"/>
    </row>
    <row r="232" spans="1:36" ht="24" x14ac:dyDescent="0.3">
      <c r="A232" s="41"/>
      <c r="B232" s="42"/>
      <c r="C232" s="119"/>
      <c r="D232" s="42"/>
      <c r="E232" s="42"/>
      <c r="F232" s="42"/>
      <c r="G232" s="42"/>
      <c r="H232" s="42"/>
      <c r="I232" s="42"/>
      <c r="J232" s="42"/>
      <c r="K232" s="115" t="s">
        <v>39</v>
      </c>
      <c r="L232" s="114">
        <f>AVERAGEIF(L10:L231,"&gt;0",L10:L231)</f>
        <v>0.20617604101463524</v>
      </c>
      <c r="M232" s="42" t="s">
        <v>40</v>
      </c>
      <c r="N232" s="2"/>
      <c r="O232" s="2"/>
      <c r="P232" s="2"/>
      <c r="Q232" s="1"/>
      <c r="R232" s="1"/>
      <c r="S232" s="1"/>
      <c r="T232" s="1"/>
      <c r="U232" s="1"/>
      <c r="V232" s="1"/>
      <c r="W232" s="1"/>
      <c r="X232" s="1"/>
      <c r="Y232" s="1"/>
      <c r="Z232" s="1"/>
      <c r="AA232" s="1"/>
      <c r="AB232" s="1"/>
      <c r="AC232" s="1"/>
      <c r="AD232" s="1"/>
      <c r="AE232" s="1"/>
      <c r="AF232" s="1"/>
      <c r="AG232" s="1"/>
      <c r="AH232" s="1"/>
      <c r="AI232" s="1"/>
      <c r="AJ232" s="1"/>
    </row>
    <row r="233" spans="1:36" ht="16.5" x14ac:dyDescent="0.3">
      <c r="A233" s="43"/>
      <c r="B233" s="44"/>
      <c r="C233" s="44"/>
      <c r="D233" s="44"/>
      <c r="E233" s="44"/>
      <c r="F233" s="44"/>
      <c r="G233" s="44"/>
      <c r="H233" s="44"/>
      <c r="I233" s="44"/>
      <c r="J233" s="44"/>
      <c r="K233" s="44"/>
      <c r="L233" s="44"/>
      <c r="M233" s="44"/>
      <c r="N233" s="2"/>
      <c r="O233" s="2"/>
      <c r="P233" s="2"/>
      <c r="Q233" s="1"/>
      <c r="R233" s="1"/>
      <c r="S233" s="1"/>
      <c r="T233" s="1"/>
      <c r="U233" s="1"/>
      <c r="V233" s="1"/>
      <c r="W233" s="1"/>
      <c r="X233" s="1"/>
      <c r="Y233" s="1"/>
      <c r="Z233" s="1"/>
      <c r="AA233" s="1"/>
      <c r="AB233" s="1"/>
      <c r="AC233" s="1"/>
      <c r="AD233" s="1"/>
      <c r="AE233" s="1"/>
      <c r="AF233" s="1"/>
      <c r="AG233" s="1"/>
      <c r="AH233" s="1"/>
      <c r="AI233" s="1"/>
      <c r="AJ233" s="1"/>
    </row>
    <row r="234" spans="1:36" ht="16.5" x14ac:dyDescent="0.3">
      <c r="A234" s="43"/>
      <c r="B234" s="44"/>
      <c r="C234" s="44"/>
      <c r="D234" s="44"/>
      <c r="E234" s="44"/>
      <c r="F234" s="44"/>
      <c r="G234" s="44"/>
      <c r="H234" s="44"/>
      <c r="I234" s="44"/>
      <c r="J234" s="44"/>
      <c r="K234" s="44"/>
      <c r="L234" s="44"/>
      <c r="M234" s="44"/>
      <c r="N234" s="2"/>
      <c r="O234" s="2"/>
      <c r="P234" s="2"/>
      <c r="Q234" s="1"/>
      <c r="R234" s="1"/>
      <c r="S234" s="1"/>
      <c r="T234" s="1"/>
      <c r="U234" s="1"/>
      <c r="V234" s="1"/>
      <c r="W234" s="1"/>
      <c r="X234" s="1"/>
      <c r="Y234" s="1"/>
      <c r="Z234" s="1"/>
      <c r="AA234" s="1"/>
      <c r="AB234" s="1"/>
      <c r="AC234" s="1"/>
      <c r="AD234" s="1"/>
      <c r="AE234" s="1"/>
      <c r="AF234" s="1"/>
      <c r="AG234" s="1"/>
      <c r="AH234" s="1"/>
      <c r="AI234" s="1"/>
      <c r="AJ234" s="1"/>
    </row>
    <row r="235" spans="1:36" ht="16.5" x14ac:dyDescent="0.3">
      <c r="A235" s="43"/>
      <c r="B235" s="44"/>
      <c r="C235" s="44"/>
      <c r="D235" s="44"/>
      <c r="E235" s="44"/>
      <c r="F235" s="44"/>
      <c r="G235" s="44"/>
      <c r="H235" s="44"/>
      <c r="I235" s="44"/>
      <c r="J235" s="44"/>
      <c r="K235" s="44"/>
      <c r="L235" s="44"/>
      <c r="M235" s="44"/>
      <c r="N235" s="2"/>
      <c r="O235" s="2"/>
      <c r="P235" s="2"/>
      <c r="Q235" s="1"/>
      <c r="R235" s="1"/>
      <c r="S235" s="1"/>
      <c r="T235" s="1"/>
      <c r="U235" s="1"/>
      <c r="V235" s="1"/>
      <c r="W235" s="1"/>
      <c r="X235" s="1"/>
      <c r="Y235" s="1"/>
      <c r="Z235" s="1"/>
      <c r="AA235" s="1"/>
      <c r="AB235" s="1"/>
      <c r="AC235" s="1"/>
      <c r="AD235" s="1"/>
      <c r="AE235" s="1"/>
      <c r="AF235" s="1"/>
      <c r="AG235" s="1"/>
      <c r="AH235" s="1"/>
      <c r="AI235" s="1"/>
      <c r="AJ235" s="1"/>
    </row>
    <row r="236" spans="1:36" ht="16.5" x14ac:dyDescent="0.3">
      <c r="A236" s="43"/>
      <c r="B236" s="44"/>
      <c r="C236" s="44"/>
      <c r="D236" s="44"/>
      <c r="E236" s="44"/>
      <c r="F236" s="44"/>
      <c r="G236" s="44"/>
      <c r="H236" s="44"/>
      <c r="I236" s="44"/>
      <c r="J236" s="44"/>
      <c r="K236" s="44"/>
      <c r="L236" s="44"/>
      <c r="M236" s="44"/>
      <c r="N236" s="2"/>
      <c r="O236" s="2"/>
      <c r="P236" s="2"/>
      <c r="Q236" s="1"/>
      <c r="R236" s="1"/>
      <c r="S236" s="1"/>
      <c r="T236" s="1"/>
      <c r="U236" s="1"/>
      <c r="V236" s="1"/>
      <c r="W236" s="1"/>
      <c r="X236" s="1"/>
      <c r="Y236" s="1"/>
      <c r="Z236" s="1"/>
      <c r="AA236" s="1"/>
      <c r="AB236" s="1"/>
      <c r="AC236" s="1"/>
      <c r="AD236" s="1"/>
      <c r="AE236" s="1"/>
      <c r="AF236" s="1"/>
      <c r="AG236" s="1"/>
      <c r="AH236" s="1"/>
      <c r="AI236" s="1"/>
      <c r="AJ236" s="1"/>
    </row>
    <row r="237" spans="1:36" ht="16.5" x14ac:dyDescent="0.3">
      <c r="A237" s="43"/>
      <c r="B237" s="44"/>
      <c r="C237" s="44"/>
      <c r="D237" s="44"/>
      <c r="E237" s="44"/>
      <c r="F237" s="44"/>
      <c r="G237" s="44"/>
      <c r="H237" s="44"/>
      <c r="I237" s="44"/>
      <c r="J237" s="44"/>
      <c r="K237" s="44"/>
      <c r="L237" s="44"/>
      <c r="M237" s="44"/>
      <c r="N237" s="2"/>
      <c r="O237" s="2"/>
      <c r="P237" s="2"/>
      <c r="Q237" s="1"/>
      <c r="R237" s="1"/>
      <c r="S237" s="1"/>
      <c r="T237" s="1"/>
      <c r="U237" s="1"/>
      <c r="V237" s="1"/>
      <c r="W237" s="1"/>
      <c r="X237" s="1"/>
      <c r="Y237" s="1"/>
      <c r="Z237" s="1"/>
      <c r="AA237" s="1"/>
      <c r="AB237" s="1"/>
      <c r="AC237" s="1"/>
      <c r="AD237" s="1"/>
      <c r="AE237" s="1"/>
      <c r="AF237" s="1"/>
      <c r="AG237" s="1"/>
      <c r="AH237" s="1"/>
      <c r="AI237" s="1"/>
      <c r="AJ237" s="1"/>
    </row>
    <row r="238" spans="1:36" ht="16.5" x14ac:dyDescent="0.3">
      <c r="A238" s="43"/>
      <c r="B238" s="44"/>
      <c r="C238" s="44"/>
      <c r="D238" s="44"/>
      <c r="E238" s="44"/>
      <c r="F238" s="44"/>
      <c r="G238" s="44"/>
      <c r="H238" s="44"/>
      <c r="I238" s="44"/>
      <c r="J238" s="44"/>
      <c r="K238" s="44"/>
      <c r="L238" s="44"/>
      <c r="M238" s="44"/>
      <c r="N238" s="2"/>
      <c r="O238" s="2"/>
      <c r="P238" s="2"/>
      <c r="Q238" s="1"/>
      <c r="R238" s="1"/>
      <c r="S238" s="1"/>
      <c r="T238" s="1"/>
      <c r="U238" s="1"/>
      <c r="V238" s="1"/>
      <c r="W238" s="1"/>
      <c r="X238" s="1"/>
      <c r="Y238" s="1"/>
      <c r="Z238" s="1"/>
      <c r="AA238" s="1"/>
      <c r="AB238" s="1"/>
      <c r="AC238" s="1"/>
      <c r="AD238" s="1"/>
      <c r="AE238" s="1"/>
      <c r="AF238" s="1"/>
      <c r="AG238" s="1"/>
      <c r="AH238" s="1"/>
      <c r="AI238" s="1"/>
      <c r="AJ238" s="1"/>
    </row>
    <row r="239" spans="1:36" ht="16.5" x14ac:dyDescent="0.3">
      <c r="A239" s="43"/>
      <c r="B239" s="44"/>
      <c r="C239" s="44"/>
      <c r="D239" s="44"/>
      <c r="E239" s="44"/>
      <c r="F239" s="44"/>
      <c r="G239" s="44"/>
      <c r="H239" s="44"/>
      <c r="I239" s="44"/>
      <c r="J239" s="44"/>
      <c r="K239" s="44"/>
      <c r="L239" s="44"/>
      <c r="M239" s="44"/>
      <c r="N239" s="2"/>
      <c r="O239" s="2"/>
      <c r="P239" s="2"/>
      <c r="Q239" s="1"/>
      <c r="R239" s="1"/>
      <c r="S239" s="1"/>
      <c r="T239" s="1"/>
      <c r="U239" s="1"/>
      <c r="V239" s="1"/>
      <c r="W239" s="1"/>
      <c r="X239" s="1"/>
      <c r="Y239" s="1"/>
      <c r="Z239" s="1"/>
      <c r="AA239" s="1"/>
      <c r="AB239" s="1"/>
      <c r="AC239" s="1"/>
      <c r="AD239" s="1"/>
      <c r="AE239" s="1"/>
      <c r="AF239" s="1"/>
      <c r="AG239" s="1"/>
      <c r="AH239" s="1"/>
      <c r="AI239" s="1"/>
      <c r="AJ239" s="1"/>
    </row>
    <row r="240" spans="1:36" ht="16.5" x14ac:dyDescent="0.3">
      <c r="A240" s="43"/>
      <c r="B240" s="44"/>
      <c r="C240" s="44"/>
      <c r="D240" s="44"/>
      <c r="E240" s="44"/>
      <c r="F240" s="44"/>
      <c r="G240" s="44"/>
      <c r="H240" s="44"/>
      <c r="I240" s="44"/>
      <c r="J240" s="44"/>
      <c r="K240" s="44"/>
      <c r="L240" s="44"/>
      <c r="M240" s="44"/>
      <c r="N240" s="2"/>
      <c r="O240" s="2"/>
      <c r="P240" s="2"/>
      <c r="Q240" s="1"/>
      <c r="R240" s="1"/>
      <c r="S240" s="1"/>
      <c r="T240" s="1"/>
      <c r="U240" s="1"/>
      <c r="V240" s="1"/>
      <c r="W240" s="1"/>
      <c r="X240" s="1"/>
      <c r="Y240" s="1"/>
      <c r="Z240" s="1"/>
      <c r="AA240" s="1"/>
      <c r="AB240" s="1"/>
      <c r="AC240" s="1"/>
      <c r="AD240" s="1"/>
      <c r="AE240" s="1"/>
      <c r="AF240" s="1"/>
      <c r="AG240" s="1"/>
      <c r="AH240" s="1"/>
      <c r="AI240" s="1"/>
      <c r="AJ240" s="1"/>
    </row>
    <row r="241" spans="1:36" ht="16.5" x14ac:dyDescent="0.3">
      <c r="A241" s="43"/>
      <c r="B241" s="44"/>
      <c r="C241" s="44"/>
      <c r="D241" s="44"/>
      <c r="E241" s="44"/>
      <c r="F241" s="44"/>
      <c r="G241" s="44"/>
      <c r="H241" s="44"/>
      <c r="I241" s="44"/>
      <c r="J241" s="44"/>
      <c r="K241" s="44"/>
      <c r="L241" s="44"/>
      <c r="M241" s="44"/>
      <c r="N241" s="2"/>
      <c r="O241" s="2"/>
      <c r="P241" s="2"/>
      <c r="Q241" s="1"/>
      <c r="R241" s="1"/>
      <c r="S241" s="1"/>
      <c r="T241" s="1"/>
      <c r="U241" s="1"/>
      <c r="V241" s="1"/>
      <c r="W241" s="1"/>
      <c r="X241" s="1"/>
      <c r="Y241" s="1"/>
      <c r="Z241" s="1"/>
      <c r="AA241" s="1"/>
      <c r="AB241" s="1"/>
      <c r="AC241" s="1"/>
      <c r="AD241" s="1"/>
      <c r="AE241" s="1"/>
      <c r="AF241" s="1"/>
      <c r="AG241" s="1"/>
      <c r="AH241" s="1"/>
      <c r="AI241" s="1"/>
      <c r="AJ241" s="1"/>
    </row>
    <row r="242" spans="1:36" ht="16.5" x14ac:dyDescent="0.3">
      <c r="A242" s="43"/>
      <c r="B242" s="44"/>
      <c r="C242" s="44"/>
      <c r="D242" s="44"/>
      <c r="E242" s="44"/>
      <c r="F242" s="44"/>
      <c r="G242" s="44"/>
      <c r="H242" s="44"/>
      <c r="I242" s="44"/>
      <c r="J242" s="44"/>
      <c r="K242" s="44"/>
      <c r="L242" s="44"/>
      <c r="M242" s="44"/>
      <c r="N242" s="2"/>
      <c r="O242" s="2"/>
      <c r="P242" s="2"/>
      <c r="Q242" s="1"/>
      <c r="R242" s="1"/>
      <c r="S242" s="1"/>
      <c r="T242" s="1"/>
      <c r="U242" s="1"/>
      <c r="V242" s="1"/>
      <c r="W242" s="1"/>
      <c r="X242" s="1"/>
      <c r="Y242" s="1"/>
      <c r="Z242" s="1"/>
      <c r="AA242" s="1"/>
      <c r="AB242" s="1"/>
      <c r="AC242" s="1"/>
      <c r="AD242" s="1"/>
      <c r="AE242" s="1"/>
      <c r="AF242" s="1"/>
      <c r="AG242" s="1"/>
      <c r="AH242" s="1"/>
      <c r="AI242" s="1"/>
      <c r="AJ242" s="1"/>
    </row>
    <row r="243" spans="1:36" ht="16.5" x14ac:dyDescent="0.3">
      <c r="A243" s="43"/>
      <c r="B243" s="44"/>
      <c r="C243" s="44"/>
      <c r="D243" s="44"/>
      <c r="E243" s="44"/>
      <c r="F243" s="44"/>
      <c r="G243" s="44"/>
      <c r="H243" s="44"/>
      <c r="I243" s="44"/>
      <c r="J243" s="44"/>
      <c r="K243" s="44"/>
      <c r="L243" s="44"/>
      <c r="M243" s="44"/>
      <c r="N243" s="2"/>
      <c r="O243" s="2"/>
      <c r="P243" s="2"/>
      <c r="Q243" s="1"/>
      <c r="R243" s="1"/>
      <c r="S243" s="1"/>
      <c r="T243" s="1"/>
      <c r="U243" s="1"/>
      <c r="V243" s="1"/>
      <c r="W243" s="1"/>
      <c r="X243" s="1"/>
      <c r="Y243" s="1"/>
      <c r="Z243" s="1"/>
      <c r="AA243" s="1"/>
      <c r="AB243" s="1"/>
      <c r="AC243" s="1"/>
      <c r="AD243" s="1"/>
      <c r="AE243" s="1"/>
      <c r="AF243" s="1"/>
      <c r="AG243" s="1"/>
      <c r="AH243" s="1"/>
      <c r="AI243" s="1"/>
      <c r="AJ243" s="1"/>
    </row>
    <row r="244" spans="1:36" ht="16.5" x14ac:dyDescent="0.3">
      <c r="A244" s="43"/>
      <c r="B244" s="44"/>
      <c r="C244" s="44"/>
      <c r="D244" s="44"/>
      <c r="E244" s="44"/>
      <c r="F244" s="44"/>
      <c r="G244" s="44"/>
      <c r="H244" s="44"/>
      <c r="I244" s="44"/>
      <c r="J244" s="44"/>
      <c r="K244" s="44"/>
      <c r="L244" s="44"/>
      <c r="M244" s="44"/>
      <c r="N244" s="2"/>
      <c r="O244" s="2"/>
      <c r="P244" s="2"/>
      <c r="Q244" s="1"/>
      <c r="R244" s="1"/>
      <c r="S244" s="1"/>
      <c r="T244" s="1"/>
      <c r="U244" s="1"/>
      <c r="V244" s="1"/>
      <c r="W244" s="1"/>
      <c r="X244" s="1"/>
      <c r="Y244" s="1"/>
      <c r="Z244" s="1"/>
      <c r="AA244" s="1"/>
      <c r="AB244" s="1"/>
      <c r="AC244" s="1"/>
      <c r="AD244" s="1"/>
      <c r="AE244" s="1"/>
      <c r="AF244" s="1"/>
      <c r="AG244" s="1"/>
      <c r="AH244" s="1"/>
      <c r="AI244" s="1"/>
      <c r="AJ244" s="1"/>
    </row>
    <row r="245" spans="1:36" ht="16.5" x14ac:dyDescent="0.3">
      <c r="A245" s="43"/>
      <c r="B245" s="44"/>
      <c r="C245" s="44"/>
      <c r="D245" s="44"/>
      <c r="E245" s="44"/>
      <c r="F245" s="44"/>
      <c r="G245" s="44"/>
      <c r="H245" s="44"/>
      <c r="I245" s="44"/>
      <c r="J245" s="44"/>
      <c r="K245" s="44"/>
      <c r="L245" s="44"/>
      <c r="M245" s="44"/>
      <c r="N245" s="2"/>
      <c r="O245" s="2"/>
      <c r="P245" s="2"/>
      <c r="Q245" s="1"/>
      <c r="R245" s="1"/>
      <c r="S245" s="1"/>
      <c r="T245" s="1"/>
      <c r="U245" s="1"/>
      <c r="V245" s="1"/>
      <c r="W245" s="1"/>
      <c r="X245" s="1"/>
      <c r="Y245" s="1"/>
      <c r="Z245" s="1"/>
      <c r="AA245" s="1"/>
      <c r="AB245" s="1"/>
      <c r="AC245" s="1"/>
      <c r="AD245" s="1"/>
      <c r="AE245" s="1"/>
      <c r="AF245" s="1"/>
      <c r="AG245" s="1"/>
      <c r="AH245" s="1"/>
      <c r="AI245" s="1"/>
      <c r="AJ245" s="1"/>
    </row>
    <row r="246" spans="1:36" ht="16.5" x14ac:dyDescent="0.3">
      <c r="A246" s="43"/>
      <c r="B246" s="44"/>
      <c r="C246" s="44"/>
      <c r="D246" s="44"/>
      <c r="E246" s="44"/>
      <c r="F246" s="44"/>
      <c r="G246" s="44"/>
      <c r="H246" s="44"/>
      <c r="I246" s="44"/>
      <c r="J246" s="44"/>
      <c r="K246" s="44"/>
      <c r="L246" s="44"/>
      <c r="M246" s="44"/>
      <c r="N246" s="2"/>
      <c r="O246" s="2"/>
      <c r="P246" s="2"/>
      <c r="Q246" s="1"/>
      <c r="R246" s="1"/>
      <c r="S246" s="1"/>
      <c r="T246" s="1"/>
      <c r="U246" s="1"/>
      <c r="V246" s="1"/>
      <c r="W246" s="1"/>
      <c r="X246" s="1"/>
      <c r="Y246" s="1"/>
      <c r="Z246" s="1"/>
      <c r="AA246" s="1"/>
      <c r="AB246" s="1"/>
      <c r="AC246" s="1"/>
      <c r="AD246" s="1"/>
      <c r="AE246" s="1"/>
      <c r="AF246" s="1"/>
      <c r="AG246" s="1"/>
      <c r="AH246" s="1"/>
      <c r="AI246" s="1"/>
      <c r="AJ246" s="1"/>
    </row>
    <row r="247" spans="1:36" ht="16.5" x14ac:dyDescent="0.3">
      <c r="A247" s="43"/>
      <c r="B247" s="44"/>
      <c r="C247" s="44"/>
      <c r="D247" s="44"/>
      <c r="E247" s="44"/>
      <c r="F247" s="44"/>
      <c r="G247" s="44"/>
      <c r="H247" s="44"/>
      <c r="I247" s="44"/>
      <c r="J247" s="44"/>
      <c r="K247" s="44"/>
      <c r="L247" s="44"/>
      <c r="M247" s="44"/>
      <c r="N247" s="2"/>
      <c r="O247" s="2"/>
      <c r="P247" s="2"/>
      <c r="Q247" s="1"/>
      <c r="R247" s="1"/>
      <c r="S247" s="1"/>
      <c r="T247" s="1"/>
      <c r="U247" s="1"/>
      <c r="V247" s="1"/>
      <c r="W247" s="1"/>
      <c r="X247" s="1"/>
      <c r="Y247" s="1"/>
      <c r="Z247" s="1"/>
      <c r="AA247" s="1"/>
      <c r="AB247" s="1"/>
      <c r="AC247" s="1"/>
      <c r="AD247" s="1"/>
      <c r="AE247" s="1"/>
      <c r="AF247" s="1"/>
      <c r="AG247" s="1"/>
      <c r="AH247" s="1"/>
      <c r="AI247" s="1"/>
      <c r="AJ247" s="1"/>
    </row>
    <row r="248" spans="1:36" ht="16.5" x14ac:dyDescent="0.3">
      <c r="A248" s="43"/>
      <c r="B248" s="44"/>
      <c r="C248" s="44"/>
      <c r="D248" s="44"/>
      <c r="E248" s="44"/>
      <c r="F248" s="44"/>
      <c r="G248" s="44"/>
      <c r="H248" s="44"/>
      <c r="I248" s="44"/>
      <c r="J248" s="44"/>
      <c r="K248" s="44"/>
      <c r="L248" s="44"/>
      <c r="M248" s="44"/>
      <c r="N248" s="2"/>
      <c r="O248" s="2"/>
      <c r="P248" s="2"/>
      <c r="Q248" s="1"/>
      <c r="R248" s="1"/>
      <c r="S248" s="1"/>
      <c r="T248" s="1"/>
      <c r="U248" s="1"/>
      <c r="V248" s="1"/>
      <c r="W248" s="1"/>
      <c r="X248" s="1"/>
      <c r="Y248" s="1"/>
      <c r="Z248" s="1"/>
      <c r="AA248" s="1"/>
      <c r="AB248" s="1"/>
      <c r="AC248" s="1"/>
      <c r="AD248" s="1"/>
      <c r="AE248" s="1"/>
      <c r="AF248" s="1"/>
      <c r="AG248" s="1"/>
      <c r="AH248" s="1"/>
      <c r="AI248" s="1"/>
      <c r="AJ248" s="1"/>
    </row>
    <row r="249" spans="1:36" ht="16.5" x14ac:dyDescent="0.3">
      <c r="A249" s="43"/>
      <c r="B249" s="44"/>
      <c r="C249" s="44"/>
      <c r="D249" s="44"/>
      <c r="E249" s="44"/>
      <c r="F249" s="44"/>
      <c r="G249" s="44"/>
      <c r="H249" s="44"/>
      <c r="I249" s="44"/>
      <c r="J249" s="44"/>
      <c r="K249" s="44"/>
      <c r="L249" s="44"/>
      <c r="M249" s="44"/>
      <c r="N249" s="2"/>
      <c r="O249" s="2"/>
      <c r="P249" s="2"/>
      <c r="Q249" s="1"/>
      <c r="R249" s="1"/>
      <c r="S249" s="1"/>
      <c r="T249" s="1"/>
      <c r="U249" s="1"/>
      <c r="V249" s="1"/>
      <c r="W249" s="1"/>
      <c r="X249" s="1"/>
      <c r="Y249" s="1"/>
      <c r="Z249" s="1"/>
      <c r="AA249" s="1"/>
      <c r="AB249" s="1"/>
      <c r="AC249" s="1"/>
      <c r="AD249" s="1"/>
      <c r="AE249" s="1"/>
      <c r="AF249" s="1"/>
      <c r="AG249" s="1"/>
      <c r="AH249" s="1"/>
      <c r="AI249" s="1"/>
      <c r="AJ249" s="1"/>
    </row>
    <row r="250" spans="1:36" ht="16.5" x14ac:dyDescent="0.3">
      <c r="A250" s="43"/>
      <c r="B250" s="44"/>
      <c r="C250" s="44"/>
      <c r="D250" s="44"/>
      <c r="E250" s="44"/>
      <c r="F250" s="44"/>
      <c r="G250" s="44"/>
      <c r="H250" s="44"/>
      <c r="I250" s="44"/>
      <c r="J250" s="44"/>
      <c r="K250" s="44"/>
      <c r="L250" s="44"/>
      <c r="M250" s="44"/>
      <c r="N250" s="2"/>
      <c r="O250" s="2"/>
      <c r="P250" s="2"/>
      <c r="Q250" s="1"/>
      <c r="R250" s="1"/>
      <c r="S250" s="1"/>
      <c r="T250" s="1"/>
      <c r="U250" s="1"/>
      <c r="V250" s="1"/>
      <c r="W250" s="1"/>
      <c r="X250" s="1"/>
      <c r="Y250" s="1"/>
      <c r="Z250" s="1"/>
      <c r="AA250" s="1"/>
      <c r="AB250" s="1"/>
      <c r="AC250" s="1"/>
      <c r="AD250" s="1"/>
      <c r="AE250" s="1"/>
      <c r="AF250" s="1"/>
      <c r="AG250" s="1"/>
      <c r="AH250" s="1"/>
      <c r="AI250" s="1"/>
      <c r="AJ250" s="1"/>
    </row>
    <row r="251" spans="1:36" ht="16.5" x14ac:dyDescent="0.3">
      <c r="A251" s="43"/>
      <c r="B251" s="44"/>
      <c r="C251" s="44"/>
      <c r="D251" s="44"/>
      <c r="E251" s="44"/>
      <c r="F251" s="44"/>
      <c r="G251" s="44"/>
      <c r="H251" s="44"/>
      <c r="I251" s="44"/>
      <c r="J251" s="44"/>
      <c r="K251" s="44"/>
      <c r="L251" s="44"/>
      <c r="M251" s="44"/>
      <c r="N251" s="2"/>
      <c r="O251" s="2"/>
      <c r="P251" s="2"/>
      <c r="Q251" s="1"/>
      <c r="R251" s="1"/>
      <c r="S251" s="1"/>
      <c r="T251" s="1"/>
      <c r="U251" s="1"/>
      <c r="V251" s="1"/>
      <c r="W251" s="1"/>
      <c r="X251" s="1"/>
      <c r="Y251" s="1"/>
      <c r="Z251" s="1"/>
      <c r="AA251" s="1"/>
      <c r="AB251" s="1"/>
      <c r="AC251" s="1"/>
      <c r="AD251" s="1"/>
      <c r="AE251" s="1"/>
      <c r="AF251" s="1"/>
      <c r="AG251" s="1"/>
      <c r="AH251" s="1"/>
      <c r="AI251" s="1"/>
      <c r="AJ251" s="1"/>
    </row>
    <row r="252" spans="1:36" ht="16.5" x14ac:dyDescent="0.3">
      <c r="A252" s="43"/>
      <c r="B252" s="44"/>
      <c r="C252" s="44"/>
      <c r="D252" s="44"/>
      <c r="E252" s="44"/>
      <c r="F252" s="44"/>
      <c r="G252" s="44"/>
      <c r="H252" s="44"/>
      <c r="I252" s="44"/>
      <c r="J252" s="44"/>
      <c r="K252" s="44"/>
      <c r="L252" s="44"/>
      <c r="M252" s="44"/>
      <c r="N252" s="2"/>
      <c r="O252" s="2"/>
      <c r="P252" s="2"/>
      <c r="Q252" s="1"/>
      <c r="R252" s="1"/>
      <c r="S252" s="1"/>
      <c r="T252" s="1"/>
      <c r="U252" s="1"/>
      <c r="V252" s="1"/>
      <c r="W252" s="1"/>
      <c r="X252" s="1"/>
      <c r="Y252" s="1"/>
      <c r="Z252" s="1"/>
      <c r="AA252" s="1"/>
      <c r="AB252" s="1"/>
      <c r="AC252" s="1"/>
      <c r="AD252" s="1"/>
      <c r="AE252" s="1"/>
      <c r="AF252" s="1"/>
      <c r="AG252" s="1"/>
      <c r="AH252" s="1"/>
      <c r="AI252" s="1"/>
      <c r="AJ252" s="1"/>
    </row>
    <row r="253" spans="1:36" ht="16.5" x14ac:dyDescent="0.3">
      <c r="A253" s="43"/>
      <c r="B253" s="44"/>
      <c r="C253" s="44"/>
      <c r="D253" s="44"/>
      <c r="E253" s="44"/>
      <c r="F253" s="44"/>
      <c r="G253" s="44"/>
      <c r="H253" s="44"/>
      <c r="I253" s="44"/>
      <c r="J253" s="44"/>
      <c r="K253" s="44"/>
      <c r="L253" s="44"/>
      <c r="M253" s="44"/>
      <c r="N253" s="2"/>
      <c r="O253" s="2"/>
      <c r="P253" s="2"/>
      <c r="Q253" s="1"/>
      <c r="R253" s="1"/>
      <c r="S253" s="1"/>
      <c r="T253" s="1"/>
      <c r="U253" s="1"/>
      <c r="V253" s="1"/>
      <c r="W253" s="1"/>
      <c r="X253" s="1"/>
      <c r="Y253" s="1"/>
      <c r="Z253" s="1"/>
      <c r="AA253" s="1"/>
      <c r="AB253" s="1"/>
      <c r="AC253" s="1"/>
      <c r="AD253" s="1"/>
      <c r="AE253" s="1"/>
      <c r="AF253" s="1"/>
      <c r="AG253" s="1"/>
      <c r="AH253" s="1"/>
      <c r="AI253" s="1"/>
      <c r="AJ253" s="1"/>
    </row>
    <row r="254" spans="1:36" ht="16.5" x14ac:dyDescent="0.3">
      <c r="A254" s="43"/>
      <c r="B254" s="44"/>
      <c r="C254" s="44"/>
      <c r="D254" s="44"/>
      <c r="E254" s="44"/>
      <c r="F254" s="44"/>
      <c r="G254" s="45"/>
      <c r="H254" s="44"/>
      <c r="I254" s="45"/>
      <c r="J254" s="45"/>
      <c r="K254" s="45"/>
      <c r="L254" s="45"/>
      <c r="M254" s="44"/>
      <c r="N254" s="2"/>
      <c r="O254" s="2"/>
      <c r="P254" s="2"/>
      <c r="Q254" s="1"/>
      <c r="R254" s="1"/>
      <c r="S254" s="1"/>
      <c r="T254" s="1"/>
      <c r="U254" s="1"/>
      <c r="V254" s="1"/>
      <c r="W254" s="1"/>
      <c r="X254" s="1"/>
      <c r="Y254" s="1"/>
      <c r="Z254" s="1"/>
      <c r="AA254" s="1"/>
      <c r="AB254" s="1"/>
      <c r="AC254" s="1"/>
      <c r="AD254" s="1"/>
      <c r="AE254" s="1"/>
      <c r="AF254" s="1"/>
      <c r="AG254" s="1"/>
      <c r="AH254" s="1"/>
      <c r="AI254" s="1"/>
      <c r="AJ254" s="1"/>
    </row>
    <row r="255" spans="1:36" ht="16.5" x14ac:dyDescent="0.3">
      <c r="A255" s="43"/>
      <c r="B255" s="45"/>
      <c r="C255" s="45"/>
      <c r="D255" s="45"/>
      <c r="E255" s="45"/>
      <c r="F255" s="45"/>
      <c r="G255" s="45"/>
      <c r="H255" s="45"/>
      <c r="I255" s="45"/>
      <c r="J255" s="45"/>
      <c r="K255" s="45"/>
      <c r="L255" s="45"/>
      <c r="M255" s="45"/>
      <c r="N255" s="1"/>
      <c r="O255" s="1"/>
      <c r="P255" s="1"/>
      <c r="Q255" s="1"/>
      <c r="R255" s="1"/>
      <c r="S255" s="1"/>
      <c r="T255" s="1"/>
      <c r="U255" s="1"/>
      <c r="V255" s="1"/>
      <c r="W255" s="1"/>
      <c r="X255" s="1"/>
      <c r="Y255" s="1"/>
      <c r="Z255" s="1"/>
      <c r="AA255" s="1"/>
      <c r="AB255" s="1"/>
      <c r="AC255" s="1"/>
      <c r="AD255" s="1"/>
      <c r="AE255" s="1"/>
      <c r="AF255" s="1"/>
      <c r="AG255" s="1"/>
      <c r="AH255" s="1"/>
      <c r="AI255" s="1"/>
      <c r="AJ255" s="1"/>
    </row>
    <row r="256" spans="1:36" ht="16.5" x14ac:dyDescent="0.3">
      <c r="A256" s="43"/>
      <c r="B256" s="45"/>
      <c r="C256" s="45"/>
      <c r="D256" s="45"/>
      <c r="E256" s="45"/>
      <c r="F256" s="45"/>
      <c r="G256" s="45"/>
      <c r="H256" s="45"/>
      <c r="I256" s="45"/>
      <c r="J256" s="45"/>
      <c r="K256" s="45"/>
      <c r="L256" s="45"/>
      <c r="M256" s="45"/>
      <c r="N256" s="1"/>
      <c r="O256" s="1"/>
      <c r="P256" s="1"/>
      <c r="Q256" s="1"/>
      <c r="R256" s="1"/>
      <c r="S256" s="1"/>
      <c r="T256" s="1"/>
      <c r="U256" s="1"/>
      <c r="V256" s="1"/>
      <c r="W256" s="1"/>
      <c r="X256" s="1"/>
      <c r="Y256" s="1"/>
      <c r="Z256" s="1"/>
      <c r="AA256" s="1"/>
      <c r="AB256" s="1"/>
      <c r="AC256" s="1"/>
      <c r="AD256" s="1"/>
      <c r="AE256" s="1"/>
      <c r="AF256" s="1"/>
      <c r="AG256" s="1"/>
      <c r="AH256" s="1"/>
      <c r="AI256" s="1"/>
      <c r="AJ256" s="1"/>
    </row>
    <row r="257" spans="1:36" ht="16.5" x14ac:dyDescent="0.3">
      <c r="A257" s="43"/>
      <c r="B257" s="45"/>
      <c r="C257" s="45"/>
      <c r="D257" s="45"/>
      <c r="E257" s="45"/>
      <c r="F257" s="45"/>
      <c r="G257" s="45"/>
      <c r="H257" s="45"/>
      <c r="I257" s="45"/>
      <c r="J257" s="45"/>
      <c r="K257" s="45"/>
      <c r="L257" s="45"/>
      <c r="M257" s="45"/>
      <c r="N257" s="1"/>
      <c r="O257" s="1"/>
      <c r="P257" s="1"/>
      <c r="Q257" s="1"/>
      <c r="R257" s="1"/>
      <c r="S257" s="1"/>
      <c r="T257" s="1"/>
      <c r="U257" s="1"/>
      <c r="V257" s="1"/>
      <c r="W257" s="1"/>
      <c r="X257" s="1"/>
      <c r="Y257" s="1"/>
      <c r="Z257" s="1"/>
      <c r="AA257" s="1"/>
      <c r="AB257" s="1"/>
      <c r="AC257" s="1"/>
      <c r="AD257" s="1"/>
      <c r="AE257" s="1"/>
      <c r="AF257" s="1"/>
      <c r="AG257" s="1"/>
      <c r="AH257" s="1"/>
      <c r="AI257" s="1"/>
      <c r="AJ257" s="1"/>
    </row>
    <row r="258" spans="1:36" ht="16.5" x14ac:dyDescent="0.3">
      <c r="A258" s="43"/>
      <c r="B258" s="45"/>
      <c r="C258" s="45"/>
      <c r="D258" s="45"/>
      <c r="E258" s="45"/>
      <c r="F258" s="45"/>
      <c r="G258" s="45"/>
      <c r="H258" s="45"/>
      <c r="I258" s="45"/>
      <c r="J258" s="45"/>
      <c r="K258" s="45"/>
      <c r="L258" s="45"/>
      <c r="M258" s="45"/>
      <c r="N258" s="1"/>
      <c r="O258" s="1"/>
      <c r="P258" s="1"/>
      <c r="Q258" s="1"/>
      <c r="R258" s="1"/>
      <c r="S258" s="1"/>
      <c r="T258" s="1"/>
      <c r="U258" s="1"/>
      <c r="V258" s="1"/>
      <c r="W258" s="1"/>
      <c r="X258" s="1"/>
      <c r="Y258" s="1"/>
      <c r="Z258" s="1"/>
      <c r="AA258" s="1"/>
      <c r="AB258" s="1"/>
      <c r="AC258" s="1"/>
      <c r="AD258" s="1"/>
      <c r="AE258" s="1"/>
      <c r="AF258" s="1"/>
      <c r="AG258" s="1"/>
      <c r="AH258" s="1"/>
      <c r="AI258" s="1"/>
      <c r="AJ258" s="1"/>
    </row>
    <row r="259" spans="1:36" ht="16.5" x14ac:dyDescent="0.3">
      <c r="A259" s="43"/>
      <c r="B259" s="45"/>
      <c r="C259" s="45"/>
      <c r="D259" s="45"/>
      <c r="E259" s="45"/>
      <c r="F259" s="45"/>
      <c r="G259" s="45"/>
      <c r="H259" s="45"/>
      <c r="I259" s="45"/>
      <c r="J259" s="45"/>
      <c r="K259" s="45"/>
      <c r="L259" s="45"/>
      <c r="M259" s="45"/>
      <c r="N259" s="1"/>
      <c r="O259" s="1"/>
      <c r="P259" s="1"/>
      <c r="Q259" s="1"/>
      <c r="R259" s="1"/>
      <c r="S259" s="1"/>
      <c r="T259" s="1"/>
      <c r="U259" s="1"/>
      <c r="V259" s="1"/>
      <c r="W259" s="1"/>
      <c r="X259" s="1"/>
      <c r="Y259" s="1"/>
      <c r="Z259" s="1"/>
      <c r="AA259" s="1"/>
      <c r="AB259" s="1"/>
      <c r="AC259" s="1"/>
      <c r="AD259" s="1"/>
      <c r="AE259" s="1"/>
      <c r="AF259" s="1"/>
      <c r="AG259" s="1"/>
      <c r="AH259" s="1"/>
      <c r="AI259" s="1"/>
      <c r="AJ259" s="1"/>
    </row>
    <row r="260" spans="1:36" ht="16.5" x14ac:dyDescent="0.3">
      <c r="A260" s="43"/>
      <c r="B260" s="45"/>
      <c r="C260" s="45"/>
      <c r="D260" s="45"/>
      <c r="E260" s="45"/>
      <c r="F260" s="45"/>
      <c r="G260" s="45"/>
      <c r="H260" s="45"/>
      <c r="I260" s="45"/>
      <c r="J260" s="45"/>
      <c r="K260" s="45"/>
      <c r="L260" s="45"/>
      <c r="M260" s="45"/>
      <c r="N260" s="1"/>
      <c r="O260" s="1"/>
      <c r="P260" s="1"/>
      <c r="Q260" s="1"/>
      <c r="R260" s="1"/>
      <c r="S260" s="1"/>
      <c r="T260" s="1"/>
      <c r="U260" s="1"/>
      <c r="V260" s="1"/>
      <c r="W260" s="1"/>
      <c r="X260" s="1"/>
      <c r="Y260" s="1"/>
      <c r="Z260" s="1"/>
      <c r="AA260" s="1"/>
      <c r="AB260" s="1"/>
      <c r="AC260" s="1"/>
      <c r="AD260" s="1"/>
      <c r="AE260" s="1"/>
      <c r="AF260" s="1"/>
      <c r="AG260" s="1"/>
      <c r="AH260" s="1"/>
      <c r="AI260" s="1"/>
      <c r="AJ260" s="1"/>
    </row>
    <row r="261" spans="1:36" ht="16.5" x14ac:dyDescent="0.3">
      <c r="A261" s="43"/>
      <c r="B261" s="45"/>
      <c r="C261" s="45"/>
      <c r="D261" s="45"/>
      <c r="E261" s="45"/>
      <c r="F261" s="45"/>
      <c r="G261" s="45"/>
      <c r="H261" s="45"/>
      <c r="I261" s="45"/>
      <c r="J261" s="45"/>
      <c r="K261" s="45"/>
      <c r="L261" s="45"/>
      <c r="M261" s="45"/>
      <c r="N261" s="1"/>
      <c r="O261" s="1"/>
      <c r="P261" s="1"/>
      <c r="Q261" s="1"/>
      <c r="R261" s="1"/>
      <c r="S261" s="1"/>
      <c r="T261" s="1"/>
      <c r="U261" s="1"/>
      <c r="V261" s="1"/>
      <c r="W261" s="1"/>
      <c r="X261" s="1"/>
      <c r="Y261" s="1"/>
      <c r="Z261" s="1"/>
      <c r="AA261" s="1"/>
      <c r="AB261" s="1"/>
      <c r="AC261" s="1"/>
      <c r="AD261" s="1"/>
      <c r="AE261" s="1"/>
      <c r="AF261" s="1"/>
      <c r="AG261" s="1"/>
      <c r="AH261" s="1"/>
      <c r="AI261" s="1"/>
      <c r="AJ261" s="1"/>
    </row>
    <row r="262" spans="1:36" ht="16.5" x14ac:dyDescent="0.3">
      <c r="A262" s="43"/>
      <c r="B262" s="45"/>
      <c r="C262" s="45"/>
      <c r="D262" s="45"/>
      <c r="E262" s="45"/>
      <c r="F262" s="45"/>
      <c r="G262" s="45"/>
      <c r="H262" s="45"/>
      <c r="I262" s="45"/>
      <c r="J262" s="45"/>
      <c r="K262" s="45"/>
      <c r="L262" s="45"/>
      <c r="M262" s="45"/>
      <c r="N262" s="1"/>
      <c r="O262" s="1"/>
      <c r="P262" s="1"/>
      <c r="Q262" s="1"/>
      <c r="R262" s="1"/>
      <c r="S262" s="1"/>
      <c r="T262" s="1"/>
      <c r="U262" s="1"/>
      <c r="V262" s="1"/>
      <c r="W262" s="1"/>
      <c r="X262" s="1"/>
      <c r="Y262" s="1"/>
      <c r="Z262" s="1"/>
      <c r="AA262" s="1"/>
      <c r="AB262" s="1"/>
      <c r="AC262" s="1"/>
      <c r="AD262" s="1"/>
      <c r="AE262" s="1"/>
      <c r="AF262" s="1"/>
      <c r="AG262" s="1"/>
      <c r="AH262" s="1"/>
      <c r="AI262" s="1"/>
      <c r="AJ262" s="1"/>
    </row>
    <row r="263" spans="1:36" ht="16.5" x14ac:dyDescent="0.3">
      <c r="A263" s="43"/>
      <c r="B263" s="45"/>
      <c r="C263" s="45"/>
      <c r="D263" s="45"/>
      <c r="E263" s="45"/>
      <c r="F263" s="45"/>
      <c r="G263" s="45"/>
      <c r="H263" s="45"/>
      <c r="I263" s="45"/>
      <c r="J263" s="45"/>
      <c r="K263" s="45"/>
      <c r="L263" s="45"/>
      <c r="M263" s="45"/>
      <c r="N263" s="1"/>
      <c r="O263" s="1"/>
      <c r="P263" s="1"/>
      <c r="Q263" s="1"/>
      <c r="R263" s="1"/>
      <c r="S263" s="1"/>
      <c r="T263" s="1"/>
      <c r="U263" s="1"/>
      <c r="V263" s="1"/>
      <c r="W263" s="1"/>
      <c r="X263" s="1"/>
      <c r="Y263" s="1"/>
      <c r="Z263" s="1"/>
      <c r="AA263" s="1"/>
      <c r="AB263" s="1"/>
      <c r="AC263" s="1"/>
      <c r="AD263" s="1"/>
      <c r="AE263" s="1"/>
      <c r="AF263" s="1"/>
      <c r="AG263" s="1"/>
      <c r="AH263" s="1"/>
      <c r="AI263" s="1"/>
      <c r="AJ263" s="1"/>
    </row>
    <row r="264" spans="1:36" ht="16.5" x14ac:dyDescent="0.3">
      <c r="A264" s="43"/>
      <c r="B264" s="45"/>
      <c r="C264" s="45"/>
      <c r="D264" s="45"/>
      <c r="E264" s="45"/>
      <c r="F264" s="45"/>
      <c r="G264" s="45"/>
      <c r="H264" s="45"/>
      <c r="I264" s="45"/>
      <c r="J264" s="45"/>
      <c r="K264" s="45"/>
      <c r="L264" s="45"/>
      <c r="M264" s="45"/>
      <c r="N264" s="1"/>
      <c r="O264" s="1"/>
      <c r="P264" s="1"/>
      <c r="Q264" s="1"/>
      <c r="R264" s="1"/>
      <c r="S264" s="1"/>
      <c r="T264" s="1"/>
      <c r="U264" s="1"/>
      <c r="V264" s="1"/>
      <c r="W264" s="1"/>
      <c r="X264" s="1"/>
      <c r="Y264" s="1"/>
      <c r="Z264" s="1"/>
      <c r="AA264" s="1"/>
      <c r="AB264" s="1"/>
      <c r="AC264" s="1"/>
      <c r="AD264" s="1"/>
      <c r="AE264" s="1"/>
      <c r="AF264" s="1"/>
      <c r="AG264" s="1"/>
      <c r="AH264" s="1"/>
      <c r="AI264" s="1"/>
      <c r="AJ264" s="1"/>
    </row>
    <row r="265" spans="1:36" ht="16.5" x14ac:dyDescent="0.3">
      <c r="A265" s="43"/>
      <c r="B265" s="45"/>
      <c r="C265" s="45"/>
      <c r="D265" s="45"/>
      <c r="E265" s="45"/>
      <c r="F265" s="45"/>
      <c r="G265" s="45"/>
      <c r="H265" s="45"/>
      <c r="I265" s="45"/>
      <c r="J265" s="45"/>
      <c r="K265" s="45"/>
      <c r="L265" s="45"/>
      <c r="M265" s="45"/>
      <c r="N265" s="1"/>
      <c r="O265" s="1"/>
      <c r="P265" s="1"/>
      <c r="Q265" s="1"/>
      <c r="R265" s="1"/>
      <c r="S265" s="1"/>
      <c r="T265" s="1"/>
      <c r="U265" s="1"/>
      <c r="V265" s="1"/>
      <c r="W265" s="1"/>
      <c r="X265" s="1"/>
      <c r="Y265" s="1"/>
      <c r="Z265" s="1"/>
      <c r="AA265" s="1"/>
      <c r="AB265" s="1"/>
      <c r="AC265" s="1"/>
      <c r="AD265" s="1"/>
      <c r="AE265" s="1"/>
      <c r="AF265" s="1"/>
      <c r="AG265" s="1"/>
      <c r="AH265" s="1"/>
      <c r="AI265" s="1"/>
      <c r="AJ265" s="1"/>
    </row>
    <row r="266" spans="1:36" ht="16.5" x14ac:dyDescent="0.3">
      <c r="A266" s="43"/>
      <c r="B266" s="45"/>
      <c r="C266" s="45"/>
      <c r="D266" s="45"/>
      <c r="E266" s="45"/>
      <c r="F266" s="45"/>
      <c r="G266" s="45"/>
      <c r="H266" s="45"/>
      <c r="I266" s="45"/>
      <c r="J266" s="45"/>
      <c r="K266" s="45"/>
      <c r="L266" s="45"/>
      <c r="M266" s="45"/>
      <c r="N266" s="1"/>
      <c r="O266" s="1"/>
      <c r="P266" s="1"/>
      <c r="Q266" s="1"/>
      <c r="R266" s="1"/>
      <c r="S266" s="1"/>
      <c r="T266" s="1"/>
      <c r="U266" s="1"/>
      <c r="V266" s="1"/>
      <c r="W266" s="1"/>
      <c r="X266" s="1"/>
      <c r="Y266" s="1"/>
      <c r="Z266" s="1"/>
      <c r="AA266" s="1"/>
      <c r="AB266" s="1"/>
      <c r="AC266" s="1"/>
      <c r="AD266" s="1"/>
      <c r="AE266" s="1"/>
      <c r="AF266" s="1"/>
      <c r="AG266" s="1"/>
      <c r="AH266" s="1"/>
      <c r="AI266" s="1"/>
      <c r="AJ266" s="1"/>
    </row>
    <row r="267" spans="1:36" ht="16.5" x14ac:dyDescent="0.3">
      <c r="A267" s="43"/>
      <c r="B267" s="45"/>
      <c r="C267" s="45"/>
      <c r="D267" s="45"/>
      <c r="E267" s="45"/>
      <c r="F267" s="45"/>
      <c r="G267" s="45"/>
      <c r="H267" s="45"/>
      <c r="I267" s="45"/>
      <c r="J267" s="45"/>
      <c r="K267" s="45"/>
      <c r="L267" s="45"/>
      <c r="M267" s="45"/>
      <c r="N267" s="1"/>
      <c r="O267" s="1"/>
      <c r="P267" s="1"/>
      <c r="Q267" s="1"/>
      <c r="R267" s="1"/>
      <c r="S267" s="1"/>
      <c r="T267" s="1"/>
      <c r="U267" s="1"/>
      <c r="V267" s="1"/>
      <c r="W267" s="1"/>
      <c r="X267" s="1"/>
      <c r="Y267" s="1"/>
      <c r="Z267" s="1"/>
      <c r="AA267" s="1"/>
      <c r="AB267" s="1"/>
      <c r="AC267" s="1"/>
      <c r="AD267" s="1"/>
      <c r="AE267" s="1"/>
      <c r="AF267" s="1"/>
      <c r="AG267" s="1"/>
      <c r="AH267" s="1"/>
      <c r="AI267" s="1"/>
      <c r="AJ267" s="1"/>
    </row>
    <row r="268" spans="1:36" ht="16.5" x14ac:dyDescent="0.3">
      <c r="A268" s="43"/>
      <c r="B268" s="45"/>
      <c r="C268" s="45"/>
      <c r="D268" s="45"/>
      <c r="E268" s="45"/>
      <c r="F268" s="45"/>
      <c r="G268" s="45"/>
      <c r="H268" s="45"/>
      <c r="I268" s="45"/>
      <c r="J268" s="45"/>
      <c r="K268" s="45"/>
      <c r="L268" s="45"/>
      <c r="M268" s="45"/>
      <c r="N268" s="1"/>
      <c r="O268" s="1"/>
      <c r="P268" s="1"/>
      <c r="Q268" s="1"/>
      <c r="R268" s="1"/>
      <c r="S268" s="1"/>
      <c r="T268" s="1"/>
      <c r="U268" s="1"/>
      <c r="V268" s="1"/>
      <c r="W268" s="1"/>
      <c r="X268" s="1"/>
      <c r="Y268" s="1"/>
      <c r="Z268" s="1"/>
      <c r="AA268" s="1"/>
      <c r="AB268" s="1"/>
      <c r="AC268" s="1"/>
      <c r="AD268" s="1"/>
      <c r="AE268" s="1"/>
      <c r="AF268" s="1"/>
      <c r="AG268" s="1"/>
      <c r="AH268" s="1"/>
      <c r="AI268" s="1"/>
      <c r="AJ268" s="1"/>
    </row>
    <row r="269" spans="1:36" ht="16.5" x14ac:dyDescent="0.3">
      <c r="A269" s="43"/>
      <c r="B269" s="45"/>
      <c r="C269" s="45"/>
      <c r="D269" s="45"/>
      <c r="E269" s="45"/>
      <c r="F269" s="45"/>
      <c r="G269" s="45"/>
      <c r="H269" s="45"/>
      <c r="I269" s="45"/>
      <c r="J269" s="45"/>
      <c r="K269" s="45"/>
      <c r="L269" s="45"/>
      <c r="M269" s="45"/>
      <c r="N269" s="1"/>
      <c r="O269" s="1"/>
      <c r="P269" s="1"/>
      <c r="Q269" s="1"/>
      <c r="R269" s="1"/>
      <c r="S269" s="1"/>
      <c r="T269" s="1"/>
      <c r="U269" s="1"/>
      <c r="V269" s="1"/>
      <c r="W269" s="1"/>
      <c r="X269" s="1"/>
      <c r="Y269" s="1"/>
      <c r="Z269" s="1"/>
      <c r="AA269" s="1"/>
      <c r="AB269" s="1"/>
      <c r="AC269" s="1"/>
      <c r="AD269" s="1"/>
      <c r="AE269" s="1"/>
      <c r="AF269" s="1"/>
      <c r="AG269" s="1"/>
      <c r="AH269" s="1"/>
      <c r="AI269" s="1"/>
      <c r="AJ269" s="1"/>
    </row>
    <row r="270" spans="1:36" ht="16.5" x14ac:dyDescent="0.3">
      <c r="A270" s="43"/>
      <c r="B270" s="45"/>
      <c r="C270" s="45"/>
      <c r="D270" s="45"/>
      <c r="E270" s="45"/>
      <c r="F270" s="45"/>
      <c r="G270" s="45"/>
      <c r="H270" s="45"/>
      <c r="I270" s="45"/>
      <c r="J270" s="45"/>
      <c r="K270" s="45"/>
      <c r="L270" s="45"/>
      <c r="M270" s="45"/>
      <c r="N270" s="1"/>
      <c r="O270" s="1"/>
      <c r="P270" s="1"/>
      <c r="Q270" s="1"/>
      <c r="R270" s="1"/>
      <c r="S270" s="1"/>
      <c r="T270" s="1"/>
      <c r="U270" s="1"/>
      <c r="V270" s="1"/>
      <c r="W270" s="1"/>
      <c r="X270" s="1"/>
      <c r="Y270" s="1"/>
      <c r="Z270" s="1"/>
      <c r="AA270" s="1"/>
      <c r="AB270" s="1"/>
      <c r="AC270" s="1"/>
      <c r="AD270" s="1"/>
      <c r="AE270" s="1"/>
      <c r="AF270" s="1"/>
      <c r="AG270" s="1"/>
      <c r="AH270" s="1"/>
      <c r="AI270" s="1"/>
      <c r="AJ270" s="1"/>
    </row>
    <row r="271" spans="1:36" ht="16.5" x14ac:dyDescent="0.3">
      <c r="A271" s="43"/>
      <c r="B271" s="45"/>
      <c r="C271" s="45"/>
      <c r="D271" s="45"/>
      <c r="E271" s="45"/>
      <c r="F271" s="45"/>
      <c r="G271" s="45"/>
      <c r="H271" s="45"/>
      <c r="I271" s="45"/>
      <c r="J271" s="45"/>
      <c r="K271" s="45"/>
      <c r="L271" s="45"/>
      <c r="M271" s="45"/>
      <c r="N271" s="1"/>
      <c r="O271" s="1"/>
      <c r="P271" s="1"/>
      <c r="Q271" s="1"/>
      <c r="R271" s="1"/>
      <c r="S271" s="1"/>
      <c r="T271" s="1"/>
      <c r="U271" s="1"/>
      <c r="V271" s="1"/>
      <c r="W271" s="1"/>
      <c r="X271" s="1"/>
      <c r="Y271" s="1"/>
      <c r="Z271" s="1"/>
      <c r="AA271" s="1"/>
      <c r="AB271" s="1"/>
      <c r="AC271" s="1"/>
      <c r="AD271" s="1"/>
      <c r="AE271" s="1"/>
      <c r="AF271" s="1"/>
      <c r="AG271" s="1"/>
      <c r="AH271" s="1"/>
      <c r="AI271" s="1"/>
      <c r="AJ271" s="1"/>
    </row>
    <row r="272" spans="1:36" ht="16.5" x14ac:dyDescent="0.3">
      <c r="A272" s="43"/>
      <c r="B272" s="45"/>
      <c r="C272" s="45"/>
      <c r="D272" s="45"/>
      <c r="E272" s="45"/>
      <c r="F272" s="45"/>
      <c r="G272" s="45"/>
      <c r="H272" s="45"/>
      <c r="I272" s="45"/>
      <c r="J272" s="45"/>
      <c r="K272" s="45"/>
      <c r="L272" s="45"/>
      <c r="M272" s="45"/>
      <c r="N272" s="1"/>
      <c r="O272" s="1"/>
      <c r="P272" s="1"/>
      <c r="Q272" s="1"/>
      <c r="R272" s="1"/>
      <c r="S272" s="1"/>
      <c r="T272" s="1"/>
      <c r="U272" s="1"/>
      <c r="V272" s="1"/>
      <c r="W272" s="1"/>
      <c r="X272" s="1"/>
      <c r="Y272" s="1"/>
      <c r="Z272" s="1"/>
      <c r="AA272" s="1"/>
      <c r="AB272" s="1"/>
      <c r="AC272" s="1"/>
      <c r="AD272" s="1"/>
      <c r="AE272" s="1"/>
      <c r="AF272" s="1"/>
      <c r="AG272" s="1"/>
      <c r="AH272" s="1"/>
      <c r="AI272" s="1"/>
      <c r="AJ272" s="1"/>
    </row>
    <row r="273" spans="1:36" ht="16.5" x14ac:dyDescent="0.3">
      <c r="A273" s="43"/>
      <c r="B273" s="45"/>
      <c r="C273" s="45"/>
      <c r="D273" s="45"/>
      <c r="E273" s="45"/>
      <c r="F273" s="45"/>
      <c r="G273" s="45"/>
      <c r="H273" s="45"/>
      <c r="I273" s="45"/>
      <c r="J273" s="45"/>
      <c r="K273" s="45"/>
      <c r="L273" s="45"/>
      <c r="M273" s="45"/>
      <c r="N273" s="1"/>
      <c r="O273" s="1"/>
      <c r="P273" s="1"/>
      <c r="Q273" s="1"/>
      <c r="R273" s="1"/>
      <c r="S273" s="1"/>
      <c r="T273" s="1"/>
      <c r="U273" s="1"/>
      <c r="V273" s="1"/>
      <c r="W273" s="1"/>
      <c r="X273" s="1"/>
      <c r="Y273" s="1"/>
      <c r="Z273" s="1"/>
      <c r="AA273" s="1"/>
      <c r="AB273" s="1"/>
      <c r="AC273" s="1"/>
      <c r="AD273" s="1"/>
      <c r="AE273" s="1"/>
      <c r="AF273" s="1"/>
      <c r="AG273" s="1"/>
      <c r="AH273" s="1"/>
      <c r="AI273" s="1"/>
      <c r="AJ273" s="1"/>
    </row>
    <row r="274" spans="1:36" ht="16.5" x14ac:dyDescent="0.3">
      <c r="A274" s="43"/>
      <c r="B274" s="45"/>
      <c r="C274" s="45"/>
      <c r="D274" s="45"/>
      <c r="E274" s="45"/>
      <c r="F274" s="45"/>
      <c r="G274" s="45"/>
      <c r="H274" s="45"/>
      <c r="I274" s="45"/>
      <c r="J274" s="45"/>
      <c r="K274" s="45"/>
      <c r="L274" s="45"/>
      <c r="M274" s="45"/>
      <c r="N274" s="1"/>
      <c r="O274" s="1"/>
      <c r="P274" s="1"/>
      <c r="Q274" s="1"/>
      <c r="R274" s="1"/>
      <c r="S274" s="1"/>
      <c r="T274" s="1"/>
      <c r="U274" s="1"/>
      <c r="V274" s="1"/>
      <c r="W274" s="1"/>
      <c r="X274" s="1"/>
      <c r="Y274" s="1"/>
      <c r="Z274" s="1"/>
      <c r="AA274" s="1"/>
      <c r="AB274" s="1"/>
      <c r="AC274" s="1"/>
      <c r="AD274" s="1"/>
      <c r="AE274" s="1"/>
      <c r="AF274" s="1"/>
      <c r="AG274" s="1"/>
      <c r="AH274" s="1"/>
      <c r="AI274" s="1"/>
      <c r="AJ274" s="1"/>
    </row>
    <row r="275" spans="1:36" ht="16.5" x14ac:dyDescent="0.3">
      <c r="A275" s="43"/>
      <c r="B275" s="45"/>
      <c r="C275" s="45"/>
      <c r="D275" s="45"/>
      <c r="E275" s="45"/>
      <c r="F275" s="45"/>
      <c r="G275" s="45"/>
      <c r="H275" s="45"/>
      <c r="I275" s="45"/>
      <c r="J275" s="45"/>
      <c r="K275" s="45"/>
      <c r="L275" s="45"/>
      <c r="M275" s="45"/>
      <c r="N275" s="1"/>
      <c r="O275" s="1"/>
      <c r="P275" s="1"/>
      <c r="Q275" s="1"/>
      <c r="R275" s="1"/>
      <c r="S275" s="1"/>
      <c r="T275" s="1"/>
      <c r="U275" s="1"/>
      <c r="V275" s="1"/>
      <c r="W275" s="1"/>
      <c r="X275" s="1"/>
      <c r="Y275" s="1"/>
      <c r="Z275" s="1"/>
      <c r="AA275" s="1"/>
      <c r="AB275" s="1"/>
      <c r="AC275" s="1"/>
      <c r="AD275" s="1"/>
      <c r="AE275" s="1"/>
      <c r="AF275" s="1"/>
      <c r="AG275" s="1"/>
      <c r="AH275" s="1"/>
      <c r="AI275" s="1"/>
      <c r="AJ275" s="1"/>
    </row>
    <row r="276" spans="1:36" ht="16.5" x14ac:dyDescent="0.3">
      <c r="A276" s="43"/>
      <c r="B276" s="45"/>
      <c r="C276" s="45"/>
      <c r="D276" s="45"/>
      <c r="E276" s="45"/>
      <c r="F276" s="45"/>
      <c r="G276" s="45"/>
      <c r="H276" s="45"/>
      <c r="I276" s="45"/>
      <c r="J276" s="45"/>
      <c r="K276" s="45"/>
      <c r="L276" s="45"/>
      <c r="M276" s="45"/>
      <c r="N276" s="1"/>
      <c r="O276" s="1"/>
      <c r="P276" s="1"/>
      <c r="Q276" s="1"/>
      <c r="R276" s="1"/>
      <c r="S276" s="1"/>
      <c r="T276" s="1"/>
      <c r="U276" s="1"/>
      <c r="V276" s="1"/>
      <c r="W276" s="1"/>
      <c r="X276" s="1"/>
      <c r="Y276" s="1"/>
      <c r="Z276" s="1"/>
      <c r="AA276" s="1"/>
      <c r="AB276" s="1"/>
      <c r="AC276" s="1"/>
      <c r="AD276" s="1"/>
      <c r="AE276" s="1"/>
      <c r="AF276" s="1"/>
      <c r="AG276" s="1"/>
      <c r="AH276" s="1"/>
      <c r="AI276" s="1"/>
      <c r="AJ276" s="1"/>
    </row>
    <row r="277" spans="1:36" ht="16.5" x14ac:dyDescent="0.3">
      <c r="A277" s="43"/>
      <c r="B277" s="45"/>
      <c r="C277" s="45"/>
      <c r="D277" s="45"/>
      <c r="E277" s="45"/>
      <c r="F277" s="45"/>
      <c r="G277" s="45"/>
      <c r="H277" s="45"/>
      <c r="I277" s="45"/>
      <c r="J277" s="45"/>
      <c r="K277" s="45"/>
      <c r="L277" s="45"/>
      <c r="M277" s="45"/>
      <c r="N277" s="1"/>
      <c r="O277" s="1"/>
      <c r="P277" s="1"/>
      <c r="Q277" s="1"/>
      <c r="R277" s="1"/>
      <c r="S277" s="1"/>
      <c r="T277" s="1"/>
      <c r="U277" s="1"/>
      <c r="V277" s="1"/>
      <c r="W277" s="1"/>
      <c r="X277" s="1"/>
      <c r="Y277" s="1"/>
      <c r="Z277" s="1"/>
      <c r="AA277" s="1"/>
      <c r="AB277" s="1"/>
      <c r="AC277" s="1"/>
      <c r="AD277" s="1"/>
      <c r="AE277" s="1"/>
      <c r="AF277" s="1"/>
      <c r="AG277" s="1"/>
      <c r="AH277" s="1"/>
      <c r="AI277" s="1"/>
      <c r="AJ277" s="1"/>
    </row>
    <row r="278" spans="1:36" ht="16.5" x14ac:dyDescent="0.3">
      <c r="A278" s="43"/>
      <c r="B278" s="45"/>
      <c r="C278" s="45"/>
      <c r="D278" s="45"/>
      <c r="E278" s="45"/>
      <c r="F278" s="45"/>
      <c r="G278" s="45"/>
      <c r="H278" s="45"/>
      <c r="I278" s="45"/>
      <c r="J278" s="45"/>
      <c r="K278" s="45"/>
      <c r="L278" s="45"/>
      <c r="M278" s="45"/>
      <c r="N278" s="1"/>
      <c r="O278" s="1"/>
      <c r="P278" s="1"/>
      <c r="Q278" s="1"/>
      <c r="R278" s="1"/>
      <c r="S278" s="1"/>
      <c r="T278" s="1"/>
      <c r="U278" s="1"/>
      <c r="V278" s="1"/>
      <c r="W278" s="1"/>
      <c r="X278" s="1"/>
      <c r="Y278" s="1"/>
      <c r="Z278" s="1"/>
      <c r="AA278" s="1"/>
      <c r="AB278" s="1"/>
      <c r="AC278" s="1"/>
      <c r="AD278" s="1"/>
      <c r="AE278" s="1"/>
      <c r="AF278" s="1"/>
      <c r="AG278" s="1"/>
      <c r="AH278" s="1"/>
      <c r="AI278" s="1"/>
      <c r="AJ278" s="1"/>
    </row>
    <row r="279" spans="1:36" ht="16.5" x14ac:dyDescent="0.3">
      <c r="A279" s="43"/>
      <c r="B279" s="45"/>
      <c r="C279" s="45"/>
      <c r="D279" s="45"/>
      <c r="E279" s="45"/>
      <c r="F279" s="45"/>
      <c r="G279" s="45"/>
      <c r="H279" s="45"/>
      <c r="I279" s="45"/>
      <c r="J279" s="45"/>
      <c r="K279" s="45"/>
      <c r="L279" s="45"/>
      <c r="M279" s="45"/>
      <c r="N279" s="1"/>
      <c r="O279" s="1"/>
      <c r="P279" s="1"/>
      <c r="Q279" s="1"/>
      <c r="R279" s="1"/>
      <c r="S279" s="1"/>
      <c r="T279" s="1"/>
      <c r="U279" s="1"/>
      <c r="V279" s="1"/>
      <c r="W279" s="1"/>
      <c r="X279" s="1"/>
      <c r="Y279" s="1"/>
      <c r="Z279" s="1"/>
      <c r="AA279" s="1"/>
      <c r="AB279" s="1"/>
      <c r="AC279" s="1"/>
      <c r="AD279" s="1"/>
      <c r="AE279" s="1"/>
      <c r="AF279" s="1"/>
      <c r="AG279" s="1"/>
      <c r="AH279" s="1"/>
      <c r="AI279" s="1"/>
      <c r="AJ279" s="1"/>
    </row>
    <row r="280" spans="1:36" ht="16.5" x14ac:dyDescent="0.3">
      <c r="A280" s="43"/>
      <c r="B280" s="45"/>
      <c r="C280" s="45"/>
      <c r="D280" s="45"/>
      <c r="E280" s="45"/>
      <c r="F280" s="45"/>
      <c r="G280" s="45"/>
      <c r="H280" s="45"/>
      <c r="I280" s="45"/>
      <c r="J280" s="45"/>
      <c r="K280" s="45"/>
      <c r="L280" s="45"/>
      <c r="M280" s="45"/>
      <c r="N280" s="1"/>
      <c r="O280" s="1"/>
      <c r="P280" s="1"/>
      <c r="Q280" s="1"/>
      <c r="R280" s="1"/>
      <c r="S280" s="1"/>
      <c r="T280" s="1"/>
      <c r="U280" s="1"/>
      <c r="V280" s="1"/>
      <c r="W280" s="1"/>
      <c r="X280" s="1"/>
      <c r="Y280" s="1"/>
      <c r="Z280" s="1"/>
      <c r="AA280" s="1"/>
      <c r="AB280" s="1"/>
      <c r="AC280" s="1"/>
      <c r="AD280" s="1"/>
      <c r="AE280" s="1"/>
      <c r="AF280" s="1"/>
      <c r="AG280" s="1"/>
      <c r="AH280" s="1"/>
      <c r="AI280" s="1"/>
      <c r="AJ280" s="1"/>
    </row>
    <row r="281" spans="1:36" ht="16.5" x14ac:dyDescent="0.3">
      <c r="A281" s="43"/>
      <c r="B281" s="45"/>
      <c r="C281" s="45"/>
      <c r="D281" s="45"/>
      <c r="E281" s="45"/>
      <c r="F281" s="45"/>
      <c r="G281" s="45"/>
      <c r="H281" s="45"/>
      <c r="I281" s="45"/>
      <c r="J281" s="45"/>
      <c r="K281" s="45"/>
      <c r="L281" s="45"/>
      <c r="M281" s="45"/>
      <c r="N281" s="1"/>
      <c r="O281" s="1"/>
      <c r="P281" s="1"/>
      <c r="Q281" s="1"/>
      <c r="R281" s="1"/>
      <c r="S281" s="1"/>
      <c r="T281" s="1"/>
      <c r="U281" s="1"/>
      <c r="V281" s="1"/>
      <c r="W281" s="1"/>
      <c r="X281" s="1"/>
      <c r="Y281" s="1"/>
      <c r="Z281" s="1"/>
      <c r="AA281" s="1"/>
      <c r="AB281" s="1"/>
      <c r="AC281" s="1"/>
      <c r="AD281" s="1"/>
      <c r="AE281" s="1"/>
      <c r="AF281" s="1"/>
      <c r="AG281" s="1"/>
      <c r="AH281" s="1"/>
      <c r="AI281" s="1"/>
      <c r="AJ281" s="1"/>
    </row>
    <row r="282" spans="1:36" ht="16.5" x14ac:dyDescent="0.3">
      <c r="A282" s="43"/>
      <c r="B282" s="45"/>
      <c r="C282" s="45"/>
      <c r="D282" s="45"/>
      <c r="E282" s="45"/>
      <c r="F282" s="45"/>
      <c r="G282" s="45"/>
      <c r="H282" s="45"/>
      <c r="I282" s="45"/>
      <c r="J282" s="45"/>
      <c r="K282" s="45"/>
      <c r="L282" s="45"/>
      <c r="M282" s="45"/>
      <c r="N282" s="1"/>
      <c r="O282" s="1"/>
      <c r="P282" s="1"/>
      <c r="Q282" s="1"/>
      <c r="R282" s="1"/>
      <c r="S282" s="1"/>
      <c r="T282" s="1"/>
      <c r="U282" s="1"/>
      <c r="V282" s="1"/>
      <c r="W282" s="1"/>
      <c r="X282" s="1"/>
      <c r="Y282" s="1"/>
      <c r="Z282" s="1"/>
      <c r="AA282" s="1"/>
      <c r="AB282" s="1"/>
      <c r="AC282" s="1"/>
      <c r="AD282" s="1"/>
      <c r="AE282" s="1"/>
      <c r="AF282" s="1"/>
      <c r="AG282" s="1"/>
      <c r="AH282" s="1"/>
      <c r="AI282" s="1"/>
      <c r="AJ282" s="1"/>
    </row>
    <row r="283" spans="1:36" ht="16.5" x14ac:dyDescent="0.3">
      <c r="A283" s="43"/>
      <c r="B283" s="45"/>
      <c r="C283" s="45"/>
      <c r="D283" s="45"/>
      <c r="E283" s="45"/>
      <c r="F283" s="45"/>
      <c r="G283" s="45"/>
      <c r="H283" s="45"/>
      <c r="I283" s="45"/>
      <c r="J283" s="45"/>
      <c r="K283" s="45"/>
      <c r="L283" s="45"/>
      <c r="M283" s="45"/>
      <c r="N283" s="1"/>
      <c r="O283" s="1"/>
      <c r="P283" s="1"/>
      <c r="Q283" s="1"/>
      <c r="R283" s="1"/>
      <c r="S283" s="1"/>
      <c r="T283" s="1"/>
      <c r="U283" s="1"/>
      <c r="V283" s="1"/>
      <c r="W283" s="1"/>
      <c r="X283" s="1"/>
      <c r="Y283" s="1"/>
      <c r="Z283" s="1"/>
      <c r="AA283" s="1"/>
      <c r="AB283" s="1"/>
      <c r="AC283" s="1"/>
      <c r="AD283" s="1"/>
      <c r="AE283" s="1"/>
      <c r="AF283" s="1"/>
      <c r="AG283" s="1"/>
      <c r="AH283" s="1"/>
      <c r="AI283" s="1"/>
      <c r="AJ283" s="1"/>
    </row>
    <row r="284" spans="1:36" ht="16.5" x14ac:dyDescent="0.3">
      <c r="A284" s="43"/>
      <c r="B284" s="45"/>
      <c r="C284" s="45"/>
      <c r="D284" s="45"/>
      <c r="E284" s="45"/>
      <c r="F284" s="45"/>
      <c r="G284" s="45"/>
      <c r="H284" s="45"/>
      <c r="I284" s="45"/>
      <c r="J284" s="45"/>
      <c r="K284" s="45"/>
      <c r="L284" s="45"/>
      <c r="M284" s="45"/>
      <c r="N284" s="1"/>
      <c r="O284" s="1"/>
      <c r="P284" s="1"/>
      <c r="Q284" s="1"/>
      <c r="R284" s="1"/>
      <c r="S284" s="1"/>
      <c r="T284" s="1"/>
      <c r="U284" s="1"/>
      <c r="V284" s="1"/>
      <c r="W284" s="1"/>
      <c r="X284" s="1"/>
      <c r="Y284" s="1"/>
      <c r="Z284" s="1"/>
      <c r="AA284" s="1"/>
      <c r="AB284" s="1"/>
      <c r="AC284" s="1"/>
      <c r="AD284" s="1"/>
      <c r="AE284" s="1"/>
      <c r="AF284" s="1"/>
      <c r="AG284" s="1"/>
      <c r="AH284" s="1"/>
      <c r="AI284" s="1"/>
      <c r="AJ284" s="1"/>
    </row>
    <row r="285" spans="1:36" ht="16.5" x14ac:dyDescent="0.3">
      <c r="A285" s="43"/>
      <c r="B285" s="45"/>
      <c r="C285" s="45"/>
      <c r="D285" s="45"/>
      <c r="E285" s="45"/>
      <c r="F285" s="45"/>
      <c r="G285" s="45"/>
      <c r="H285" s="45"/>
      <c r="I285" s="45"/>
      <c r="J285" s="45"/>
      <c r="K285" s="45"/>
      <c r="L285" s="45"/>
      <c r="M285" s="45"/>
      <c r="N285" s="1"/>
      <c r="O285" s="1"/>
      <c r="P285" s="1"/>
      <c r="Q285" s="1"/>
      <c r="R285" s="1"/>
      <c r="S285" s="1"/>
      <c r="T285" s="1"/>
      <c r="U285" s="1"/>
      <c r="V285" s="1"/>
      <c r="W285" s="1"/>
      <c r="X285" s="1"/>
      <c r="Y285" s="1"/>
      <c r="Z285" s="1"/>
      <c r="AA285" s="1"/>
      <c r="AB285" s="1"/>
      <c r="AC285" s="1"/>
      <c r="AD285" s="1"/>
      <c r="AE285" s="1"/>
      <c r="AF285" s="1"/>
      <c r="AG285" s="1"/>
      <c r="AH285" s="1"/>
      <c r="AI285" s="1"/>
      <c r="AJ285" s="1"/>
    </row>
    <row r="286" spans="1:36" ht="16.5" x14ac:dyDescent="0.3">
      <c r="A286" s="43"/>
      <c r="B286" s="45"/>
      <c r="C286" s="45"/>
      <c r="D286" s="45"/>
      <c r="E286" s="45"/>
      <c r="F286" s="45"/>
      <c r="G286" s="45"/>
      <c r="H286" s="45"/>
      <c r="I286" s="45"/>
      <c r="J286" s="45"/>
      <c r="K286" s="45"/>
      <c r="L286" s="45"/>
      <c r="M286" s="45"/>
      <c r="N286" s="1"/>
      <c r="O286" s="1"/>
      <c r="P286" s="1"/>
      <c r="Q286" s="1"/>
      <c r="R286" s="1"/>
      <c r="S286" s="1"/>
      <c r="T286" s="1"/>
      <c r="U286" s="1"/>
      <c r="V286" s="1"/>
      <c r="W286" s="1"/>
      <c r="X286" s="1"/>
      <c r="Y286" s="1"/>
      <c r="Z286" s="1"/>
      <c r="AA286" s="1"/>
      <c r="AB286" s="1"/>
      <c r="AC286" s="1"/>
      <c r="AD286" s="1"/>
      <c r="AE286" s="1"/>
      <c r="AF286" s="1"/>
      <c r="AG286" s="1"/>
      <c r="AH286" s="1"/>
      <c r="AI286" s="1"/>
      <c r="AJ286" s="1"/>
    </row>
    <row r="287" spans="1:36" ht="16.5" x14ac:dyDescent="0.3">
      <c r="A287" s="43"/>
      <c r="B287" s="45"/>
      <c r="C287" s="45"/>
      <c r="D287" s="45"/>
      <c r="E287" s="45"/>
      <c r="F287" s="45"/>
      <c r="G287" s="45"/>
      <c r="H287" s="45"/>
      <c r="I287" s="45"/>
      <c r="J287" s="45"/>
      <c r="K287" s="45"/>
      <c r="L287" s="45"/>
      <c r="M287" s="45"/>
      <c r="N287" s="1"/>
      <c r="O287" s="1"/>
      <c r="P287" s="1"/>
      <c r="Q287" s="1"/>
      <c r="R287" s="1"/>
      <c r="S287" s="1"/>
      <c r="T287" s="1"/>
      <c r="U287" s="1"/>
      <c r="V287" s="1"/>
      <c r="W287" s="1"/>
      <c r="X287" s="1"/>
      <c r="Y287" s="1"/>
      <c r="Z287" s="1"/>
      <c r="AA287" s="1"/>
      <c r="AB287" s="1"/>
      <c r="AC287" s="1"/>
      <c r="AD287" s="1"/>
      <c r="AE287" s="1"/>
      <c r="AF287" s="1"/>
      <c r="AG287" s="1"/>
      <c r="AH287" s="1"/>
      <c r="AI287" s="1"/>
      <c r="AJ287" s="1"/>
    </row>
    <row r="288" spans="1:36" ht="16.5" x14ac:dyDescent="0.3">
      <c r="A288" s="43"/>
      <c r="B288" s="45"/>
      <c r="C288" s="45"/>
      <c r="D288" s="45"/>
      <c r="E288" s="45"/>
      <c r="F288" s="45"/>
      <c r="G288" s="45"/>
      <c r="H288" s="45"/>
      <c r="I288" s="45"/>
      <c r="J288" s="45"/>
      <c r="K288" s="45"/>
      <c r="L288" s="45"/>
      <c r="M288" s="45"/>
      <c r="N288" s="1"/>
      <c r="O288" s="1"/>
      <c r="P288" s="1"/>
      <c r="Q288" s="1"/>
      <c r="R288" s="1"/>
      <c r="S288" s="1"/>
      <c r="T288" s="1"/>
      <c r="U288" s="1"/>
      <c r="V288" s="1"/>
      <c r="W288" s="1"/>
      <c r="X288" s="1"/>
      <c r="Y288" s="1"/>
      <c r="Z288" s="1"/>
      <c r="AA288" s="1"/>
      <c r="AB288" s="1"/>
      <c r="AC288" s="1"/>
      <c r="AD288" s="1"/>
      <c r="AE288" s="1"/>
      <c r="AF288" s="1"/>
      <c r="AG288" s="1"/>
      <c r="AH288" s="1"/>
      <c r="AI288" s="1"/>
      <c r="AJ288" s="1"/>
    </row>
    <row r="289" spans="1:36" ht="16.5" x14ac:dyDescent="0.3">
      <c r="A289" s="43"/>
      <c r="B289" s="45"/>
      <c r="C289" s="45"/>
      <c r="D289" s="45"/>
      <c r="E289" s="45"/>
      <c r="F289" s="45"/>
      <c r="G289" s="45"/>
      <c r="H289" s="45"/>
      <c r="I289" s="45"/>
      <c r="J289" s="45"/>
      <c r="K289" s="45"/>
      <c r="L289" s="45"/>
      <c r="M289" s="45"/>
      <c r="N289" s="1"/>
      <c r="O289" s="1"/>
      <c r="P289" s="1"/>
      <c r="Q289" s="1"/>
      <c r="R289" s="1"/>
      <c r="S289" s="1"/>
      <c r="T289" s="1"/>
      <c r="U289" s="1"/>
      <c r="V289" s="1"/>
      <c r="W289" s="1"/>
      <c r="X289" s="1"/>
      <c r="Y289" s="1"/>
      <c r="Z289" s="1"/>
      <c r="AA289" s="1"/>
      <c r="AB289" s="1"/>
      <c r="AC289" s="1"/>
      <c r="AD289" s="1"/>
      <c r="AE289" s="1"/>
      <c r="AF289" s="1"/>
      <c r="AG289" s="1"/>
      <c r="AH289" s="1"/>
      <c r="AI289" s="1"/>
      <c r="AJ289" s="1"/>
    </row>
    <row r="290" spans="1:36" ht="16.5" x14ac:dyDescent="0.3">
      <c r="A290" s="43"/>
      <c r="B290" s="45"/>
      <c r="C290" s="45"/>
      <c r="D290" s="45"/>
      <c r="E290" s="45"/>
      <c r="F290" s="45"/>
      <c r="G290" s="45"/>
      <c r="H290" s="45"/>
      <c r="I290" s="45"/>
      <c r="J290" s="45"/>
      <c r="K290" s="45"/>
      <c r="L290" s="45"/>
      <c r="M290" s="45"/>
      <c r="N290" s="1"/>
      <c r="O290" s="1"/>
      <c r="P290" s="1"/>
      <c r="Q290" s="1"/>
      <c r="R290" s="1"/>
      <c r="S290" s="1"/>
      <c r="T290" s="1"/>
      <c r="U290" s="1"/>
      <c r="V290" s="1"/>
      <c r="W290" s="1"/>
      <c r="X290" s="1"/>
      <c r="Y290" s="1"/>
      <c r="Z290" s="1"/>
      <c r="AA290" s="1"/>
      <c r="AB290" s="1"/>
      <c r="AC290" s="1"/>
      <c r="AD290" s="1"/>
      <c r="AE290" s="1"/>
      <c r="AF290" s="1"/>
      <c r="AG290" s="1"/>
      <c r="AH290" s="1"/>
      <c r="AI290" s="1"/>
      <c r="AJ290" s="1"/>
    </row>
    <row r="291" spans="1:36" ht="16.5" x14ac:dyDescent="0.3">
      <c r="A291" s="43"/>
      <c r="B291" s="45"/>
      <c r="C291" s="45"/>
      <c r="D291" s="45"/>
      <c r="E291" s="45"/>
      <c r="F291" s="45"/>
      <c r="G291" s="45"/>
      <c r="H291" s="45"/>
      <c r="I291" s="45"/>
      <c r="J291" s="45"/>
      <c r="K291" s="45"/>
      <c r="L291" s="45"/>
      <c r="M291" s="45"/>
      <c r="N291" s="1"/>
      <c r="O291" s="1"/>
      <c r="P291" s="1"/>
    </row>
    <row r="292" spans="1:36" ht="16.5" x14ac:dyDescent="0.3">
      <c r="A292" s="43"/>
      <c r="B292" s="45"/>
      <c r="C292" s="45"/>
      <c r="D292" s="45"/>
      <c r="E292" s="45"/>
      <c r="F292" s="45"/>
      <c r="G292" s="45"/>
      <c r="H292" s="45"/>
      <c r="I292" s="45"/>
      <c r="J292" s="45"/>
      <c r="K292" s="45"/>
      <c r="L292" s="45"/>
      <c r="M292" s="45"/>
      <c r="N292" s="1"/>
      <c r="O292" s="1"/>
      <c r="P292" s="1"/>
    </row>
    <row r="293" spans="1:36" ht="16.5" x14ac:dyDescent="0.3">
      <c r="A293" s="43"/>
      <c r="B293" s="45"/>
      <c r="C293" s="45"/>
      <c r="D293" s="45"/>
      <c r="E293" s="45"/>
      <c r="F293" s="45"/>
      <c r="G293" s="45"/>
      <c r="H293" s="45"/>
      <c r="I293" s="45"/>
      <c r="J293" s="45"/>
      <c r="K293" s="45"/>
      <c r="L293" s="45"/>
      <c r="M293" s="45"/>
      <c r="N293" s="1"/>
      <c r="O293" s="1"/>
      <c r="P293" s="1"/>
    </row>
    <row r="294" spans="1:36" ht="16.5" x14ac:dyDescent="0.3">
      <c r="A294" s="43"/>
      <c r="B294" s="45"/>
      <c r="C294" s="45"/>
      <c r="D294" s="45"/>
      <c r="E294" s="45"/>
      <c r="F294" s="45"/>
      <c r="G294" s="45"/>
      <c r="H294" s="45"/>
      <c r="I294" s="45"/>
      <c r="J294" s="45"/>
      <c r="K294" s="45"/>
      <c r="L294" s="45"/>
      <c r="M294" s="45"/>
      <c r="N294" s="1"/>
      <c r="O294" s="1"/>
      <c r="P294" s="1"/>
    </row>
    <row r="295" spans="1:36" ht="16.5" x14ac:dyDescent="0.3">
      <c r="A295" s="43"/>
      <c r="B295" s="45"/>
      <c r="C295" s="45"/>
      <c r="D295" s="45"/>
      <c r="E295" s="45"/>
      <c r="F295" s="45"/>
      <c r="G295" s="45"/>
      <c r="H295" s="45"/>
      <c r="I295" s="45"/>
      <c r="J295" s="45"/>
      <c r="K295" s="45"/>
      <c r="L295" s="45"/>
      <c r="M295" s="45"/>
      <c r="N295" s="1"/>
      <c r="O295" s="1"/>
      <c r="P295" s="1"/>
    </row>
    <row r="296" spans="1:36" ht="16.5" x14ac:dyDescent="0.3">
      <c r="A296" s="43"/>
      <c r="B296" s="45"/>
      <c r="C296" s="45"/>
      <c r="D296" s="45"/>
      <c r="E296" s="45"/>
      <c r="F296" s="45"/>
      <c r="G296" s="45"/>
      <c r="H296" s="45"/>
      <c r="I296" s="45"/>
      <c r="J296" s="45"/>
      <c r="K296" s="45"/>
      <c r="L296" s="45"/>
      <c r="M296" s="45"/>
      <c r="N296" s="1"/>
      <c r="O296" s="1"/>
      <c r="P296" s="1"/>
    </row>
    <row r="297" spans="1:36" ht="16.5" x14ac:dyDescent="0.3">
      <c r="A297" s="43"/>
      <c r="B297" s="45"/>
      <c r="C297" s="45"/>
      <c r="D297" s="45"/>
      <c r="E297" s="45"/>
      <c r="F297" s="45"/>
      <c r="G297" s="45"/>
      <c r="H297" s="45"/>
      <c r="I297" s="45"/>
      <c r="J297" s="45"/>
      <c r="K297" s="45"/>
      <c r="L297" s="45"/>
      <c r="M297" s="45"/>
      <c r="N297" s="1"/>
      <c r="O297" s="1"/>
      <c r="P297" s="1"/>
    </row>
    <row r="298" spans="1:36" ht="16.5" x14ac:dyDescent="0.3">
      <c r="A298" s="43"/>
      <c r="B298" s="45"/>
      <c r="C298" s="45"/>
      <c r="D298" s="45"/>
      <c r="E298" s="45"/>
      <c r="F298" s="45"/>
      <c r="G298" s="45"/>
      <c r="H298" s="45"/>
      <c r="I298" s="45"/>
      <c r="J298" s="45"/>
      <c r="K298" s="45"/>
      <c r="L298" s="45"/>
      <c r="M298" s="45"/>
      <c r="N298" s="1"/>
      <c r="O298" s="1"/>
      <c r="P298" s="1"/>
    </row>
    <row r="299" spans="1:36" ht="16.5" x14ac:dyDescent="0.3">
      <c r="A299" s="43"/>
      <c r="B299" s="45"/>
      <c r="C299" s="45"/>
      <c r="D299" s="45"/>
      <c r="E299" s="45"/>
      <c r="F299" s="45"/>
      <c r="G299" s="45"/>
      <c r="H299" s="45"/>
      <c r="I299" s="45"/>
      <c r="J299" s="45"/>
      <c r="K299" s="45"/>
      <c r="L299" s="45"/>
      <c r="M299" s="45"/>
      <c r="N299" s="1"/>
      <c r="O299" s="1"/>
      <c r="P299" s="1"/>
    </row>
    <row r="300" spans="1:36" ht="16.5" x14ac:dyDescent="0.3">
      <c r="A300" s="43"/>
      <c r="B300" s="45"/>
      <c r="C300" s="45"/>
      <c r="D300" s="45"/>
      <c r="E300" s="45"/>
      <c r="F300" s="45"/>
      <c r="G300" s="45"/>
      <c r="H300" s="45"/>
      <c r="I300" s="45"/>
      <c r="J300" s="45"/>
      <c r="K300" s="45"/>
      <c r="L300" s="45"/>
      <c r="M300" s="45"/>
      <c r="N300" s="1"/>
      <c r="O300" s="1"/>
      <c r="P300" s="1"/>
    </row>
    <row r="301" spans="1:36" ht="16.5" x14ac:dyDescent="0.3">
      <c r="A301" s="43"/>
      <c r="B301" s="45"/>
      <c r="C301" s="45"/>
      <c r="D301" s="45"/>
      <c r="E301" s="45"/>
      <c r="F301" s="45"/>
      <c r="G301" s="45"/>
      <c r="H301" s="45"/>
      <c r="I301" s="45"/>
      <c r="J301" s="45"/>
      <c r="K301" s="45"/>
      <c r="L301" s="45"/>
      <c r="M301" s="45"/>
      <c r="N301" s="1"/>
      <c r="O301" s="1"/>
      <c r="P301" s="1"/>
    </row>
    <row r="302" spans="1:36" ht="16.5" x14ac:dyDescent="0.3">
      <c r="A302" s="43"/>
      <c r="B302" s="45"/>
      <c r="C302" s="45"/>
      <c r="D302" s="45"/>
      <c r="E302" s="45"/>
      <c r="F302" s="45"/>
      <c r="G302" s="45"/>
      <c r="H302" s="45"/>
      <c r="I302" s="45"/>
      <c r="J302" s="45"/>
      <c r="K302" s="45"/>
      <c r="L302" s="45"/>
      <c r="M302" s="45"/>
      <c r="N302" s="1"/>
      <c r="O302" s="1"/>
      <c r="P302" s="1"/>
    </row>
    <row r="303" spans="1:36" ht="16.5" x14ac:dyDescent="0.3">
      <c r="A303" s="43"/>
      <c r="B303" s="45"/>
      <c r="C303" s="45"/>
      <c r="D303" s="45"/>
      <c r="E303" s="45"/>
      <c r="F303" s="45"/>
      <c r="G303" s="45"/>
      <c r="H303" s="45"/>
      <c r="I303" s="45"/>
      <c r="J303" s="45"/>
      <c r="K303" s="45"/>
      <c r="L303" s="45"/>
      <c r="M303" s="45"/>
      <c r="N303" s="1"/>
      <c r="O303" s="1"/>
      <c r="P303" s="1"/>
    </row>
    <row r="304" spans="1:36" ht="16.5" x14ac:dyDescent="0.3">
      <c r="A304" s="43"/>
      <c r="B304" s="45"/>
      <c r="C304" s="45"/>
      <c r="D304" s="45"/>
      <c r="E304" s="45"/>
      <c r="F304" s="45"/>
      <c r="G304" s="45"/>
      <c r="H304" s="45"/>
      <c r="I304" s="45"/>
      <c r="J304" s="45"/>
      <c r="K304" s="45"/>
      <c r="L304" s="45"/>
      <c r="M304" s="45"/>
      <c r="N304" s="1"/>
      <c r="O304" s="1"/>
      <c r="P304" s="1"/>
    </row>
    <row r="305" spans="1:16" ht="16.5" x14ac:dyDescent="0.3">
      <c r="A305" s="43"/>
      <c r="B305" s="45"/>
      <c r="C305" s="45"/>
      <c r="D305" s="45"/>
      <c r="E305" s="45"/>
      <c r="F305" s="45"/>
      <c r="G305" s="45"/>
      <c r="H305" s="45"/>
      <c r="I305" s="45"/>
      <c r="J305" s="45"/>
      <c r="K305" s="45"/>
      <c r="L305" s="45"/>
      <c r="M305" s="45"/>
      <c r="N305" s="1"/>
      <c r="O305" s="1"/>
      <c r="P305" s="1"/>
    </row>
    <row r="306" spans="1:16" ht="16.5" x14ac:dyDescent="0.3">
      <c r="A306" s="43"/>
      <c r="B306" s="45"/>
      <c r="C306" s="45"/>
      <c r="D306" s="45"/>
      <c r="E306" s="45"/>
      <c r="F306" s="45"/>
      <c r="G306" s="45"/>
      <c r="H306" s="45"/>
      <c r="I306" s="45"/>
      <c r="J306" s="45"/>
      <c r="K306" s="45"/>
      <c r="L306" s="45"/>
      <c r="M306" s="45"/>
      <c r="N306" s="1"/>
      <c r="O306" s="1"/>
      <c r="P306" s="1"/>
    </row>
    <row r="307" spans="1:16" ht="16.5" x14ac:dyDescent="0.3">
      <c r="A307" s="43"/>
      <c r="B307" s="45"/>
      <c r="C307" s="45"/>
      <c r="D307" s="45"/>
      <c r="E307" s="45"/>
      <c r="F307" s="45"/>
      <c r="G307" s="45"/>
      <c r="H307" s="45"/>
      <c r="I307" s="45"/>
      <c r="J307" s="45"/>
      <c r="K307" s="45"/>
      <c r="L307" s="45"/>
      <c r="M307" s="45"/>
      <c r="N307" s="1"/>
      <c r="O307" s="1"/>
      <c r="P307" s="1"/>
    </row>
    <row r="308" spans="1:16" ht="16.5" x14ac:dyDescent="0.3">
      <c r="A308" s="43"/>
      <c r="B308" s="45"/>
      <c r="C308" s="45"/>
      <c r="D308" s="45"/>
      <c r="E308" s="45"/>
      <c r="F308" s="45"/>
      <c r="G308" s="45"/>
      <c r="H308" s="45"/>
      <c r="I308" s="45"/>
      <c r="J308" s="45"/>
      <c r="K308" s="45"/>
      <c r="L308" s="45"/>
      <c r="M308" s="45"/>
      <c r="N308" s="1"/>
      <c r="O308" s="1"/>
      <c r="P308" s="1"/>
    </row>
    <row r="309" spans="1:16" ht="16.5" x14ac:dyDescent="0.3">
      <c r="A309" s="43"/>
      <c r="B309" s="45"/>
      <c r="C309" s="45"/>
      <c r="D309" s="45"/>
      <c r="E309" s="45"/>
      <c r="F309" s="45"/>
      <c r="G309" s="45"/>
      <c r="H309" s="45"/>
      <c r="I309" s="45"/>
      <c r="J309" s="45"/>
      <c r="K309" s="45"/>
      <c r="L309" s="45"/>
      <c r="M309" s="45"/>
      <c r="N309" s="1"/>
      <c r="O309" s="1"/>
      <c r="P309" s="1"/>
    </row>
    <row r="310" spans="1:16" ht="16.5" x14ac:dyDescent="0.3">
      <c r="A310" s="43"/>
      <c r="B310" s="45"/>
      <c r="C310" s="45"/>
      <c r="D310" s="45"/>
      <c r="E310" s="45"/>
      <c r="F310" s="45"/>
      <c r="G310" s="45"/>
      <c r="H310" s="45"/>
      <c r="I310" s="45"/>
      <c r="J310" s="45"/>
      <c r="K310" s="45"/>
      <c r="L310" s="45"/>
      <c r="M310" s="45"/>
      <c r="N310" s="1"/>
      <c r="O310" s="1"/>
      <c r="P310" s="1"/>
    </row>
    <row r="311" spans="1:16" ht="16.5" x14ac:dyDescent="0.3">
      <c r="A311" s="43"/>
      <c r="B311" s="45"/>
      <c r="C311" s="45"/>
      <c r="D311" s="45"/>
      <c r="E311" s="45"/>
      <c r="F311" s="45"/>
      <c r="G311" s="45"/>
      <c r="H311" s="45"/>
      <c r="I311" s="45"/>
      <c r="J311" s="45"/>
      <c r="K311" s="45"/>
      <c r="L311" s="45"/>
      <c r="M311" s="45"/>
      <c r="N311" s="1"/>
      <c r="O311" s="1"/>
      <c r="P311" s="1"/>
    </row>
    <row r="312" spans="1:16" ht="16.5" x14ac:dyDescent="0.3">
      <c r="A312" s="43"/>
      <c r="B312" s="45"/>
      <c r="C312" s="45"/>
      <c r="D312" s="45"/>
      <c r="E312" s="45"/>
      <c r="F312" s="45"/>
      <c r="G312" s="45"/>
      <c r="H312" s="45"/>
      <c r="I312" s="45"/>
      <c r="J312" s="45"/>
      <c r="K312" s="45"/>
      <c r="L312" s="45"/>
      <c r="M312" s="45"/>
      <c r="N312" s="1"/>
      <c r="O312" s="1"/>
      <c r="P312" s="1"/>
    </row>
    <row r="313" spans="1:16" ht="16.5" x14ac:dyDescent="0.3">
      <c r="A313" s="43"/>
      <c r="B313" s="45"/>
      <c r="C313" s="45"/>
      <c r="D313" s="45"/>
      <c r="E313" s="45"/>
      <c r="F313" s="45"/>
      <c r="G313" s="45"/>
      <c r="H313" s="45"/>
      <c r="I313" s="45"/>
      <c r="J313" s="45"/>
      <c r="K313" s="45"/>
      <c r="L313" s="45"/>
      <c r="M313" s="45"/>
      <c r="N313" s="1"/>
      <c r="O313" s="1"/>
      <c r="P313" s="1"/>
    </row>
    <row r="314" spans="1:16" ht="16.5" x14ac:dyDescent="0.3">
      <c r="A314" s="43"/>
      <c r="B314" s="45"/>
      <c r="C314" s="45"/>
      <c r="D314" s="45"/>
      <c r="E314" s="45"/>
      <c r="F314" s="45"/>
      <c r="G314" s="43"/>
      <c r="H314" s="45"/>
      <c r="I314" s="43"/>
      <c r="J314" s="43"/>
      <c r="K314" s="43"/>
      <c r="L314" s="43"/>
      <c r="M314" s="45"/>
      <c r="N314" s="1"/>
      <c r="O314" s="1"/>
      <c r="P314" s="1"/>
    </row>
    <row r="315" spans="1:16" x14ac:dyDescent="0.25">
      <c r="A315" s="43"/>
      <c r="B315" s="43"/>
      <c r="C315" s="43"/>
      <c r="D315" s="43"/>
      <c r="E315" s="43"/>
      <c r="F315" s="43"/>
      <c r="G315" s="43"/>
      <c r="H315" s="43"/>
      <c r="I315" s="43"/>
      <c r="J315" s="43"/>
      <c r="K315" s="43"/>
      <c r="L315" s="43"/>
      <c r="M315" s="43"/>
    </row>
    <row r="316" spans="1:16" x14ac:dyDescent="0.25">
      <c r="A316" s="43"/>
      <c r="B316" s="43"/>
      <c r="C316" s="43"/>
      <c r="D316" s="43"/>
      <c r="E316" s="43"/>
      <c r="F316" s="43"/>
      <c r="G316" s="43"/>
      <c r="H316" s="43"/>
      <c r="I316" s="43"/>
      <c r="J316" s="43"/>
      <c r="K316" s="43"/>
      <c r="L316" s="43"/>
      <c r="M316" s="43"/>
    </row>
  </sheetData>
  <mergeCells count="241">
    <mergeCell ref="O214:O219"/>
    <mergeCell ref="P214:P219"/>
    <mergeCell ref="O220:O225"/>
    <mergeCell ref="P220:P225"/>
    <mergeCell ref="O226:O231"/>
    <mergeCell ref="P226:P231"/>
    <mergeCell ref="O184:O189"/>
    <mergeCell ref="P184:P189"/>
    <mergeCell ref="O190:O195"/>
    <mergeCell ref="P190:P195"/>
    <mergeCell ref="O196:O201"/>
    <mergeCell ref="P196:P201"/>
    <mergeCell ref="O202:O207"/>
    <mergeCell ref="P202:P207"/>
    <mergeCell ref="O208:O213"/>
    <mergeCell ref="P208:P213"/>
    <mergeCell ref="O154:O159"/>
    <mergeCell ref="P154:P159"/>
    <mergeCell ref="O160:O165"/>
    <mergeCell ref="P160:P165"/>
    <mergeCell ref="O166:O171"/>
    <mergeCell ref="P166:P171"/>
    <mergeCell ref="O172:O177"/>
    <mergeCell ref="P172:P177"/>
    <mergeCell ref="O178:O183"/>
    <mergeCell ref="P178:P183"/>
    <mergeCell ref="O124:O129"/>
    <mergeCell ref="P124:P129"/>
    <mergeCell ref="O130:O135"/>
    <mergeCell ref="P130:P135"/>
    <mergeCell ref="O136:O141"/>
    <mergeCell ref="P136:P141"/>
    <mergeCell ref="O142:O147"/>
    <mergeCell ref="P142:P147"/>
    <mergeCell ref="O148:O153"/>
    <mergeCell ref="P148:P153"/>
    <mergeCell ref="O94:O99"/>
    <mergeCell ref="P94:P99"/>
    <mergeCell ref="O100:O105"/>
    <mergeCell ref="P100:P105"/>
    <mergeCell ref="O106:O111"/>
    <mergeCell ref="P106:P111"/>
    <mergeCell ref="O112:O117"/>
    <mergeCell ref="P112:P117"/>
    <mergeCell ref="O118:O123"/>
    <mergeCell ref="P118:P123"/>
    <mergeCell ref="O64:O69"/>
    <mergeCell ref="P64:P69"/>
    <mergeCell ref="O70:O75"/>
    <mergeCell ref="P70:P75"/>
    <mergeCell ref="O76:O81"/>
    <mergeCell ref="P76:P81"/>
    <mergeCell ref="O82:O87"/>
    <mergeCell ref="P82:P87"/>
    <mergeCell ref="O88:O93"/>
    <mergeCell ref="P88:P93"/>
    <mergeCell ref="O34:O39"/>
    <mergeCell ref="P34:P39"/>
    <mergeCell ref="O40:O45"/>
    <mergeCell ref="P40:P45"/>
    <mergeCell ref="O46:O51"/>
    <mergeCell ref="P46:P51"/>
    <mergeCell ref="O52:O57"/>
    <mergeCell ref="P52:P57"/>
    <mergeCell ref="O58:O63"/>
    <mergeCell ref="P58:P63"/>
    <mergeCell ref="O1:O2"/>
    <mergeCell ref="P1:P2"/>
    <mergeCell ref="O10:O15"/>
    <mergeCell ref="P10:P15"/>
    <mergeCell ref="O16:O21"/>
    <mergeCell ref="P16:P21"/>
    <mergeCell ref="O22:O27"/>
    <mergeCell ref="P22:P27"/>
    <mergeCell ref="O28:O33"/>
    <mergeCell ref="P28:P33"/>
    <mergeCell ref="O4:O9"/>
    <mergeCell ref="P4:P9"/>
    <mergeCell ref="N1:N3"/>
    <mergeCell ref="B2:B3"/>
    <mergeCell ref="F2:G2"/>
    <mergeCell ref="J2:K2"/>
    <mergeCell ref="A10:A15"/>
    <mergeCell ref="D10:D15"/>
    <mergeCell ref="E10:E15"/>
    <mergeCell ref="N10:N15"/>
    <mergeCell ref="A1:A3"/>
    <mergeCell ref="C1:C2"/>
    <mergeCell ref="D1:D2"/>
    <mergeCell ref="E1:E2"/>
    <mergeCell ref="F1:L1"/>
    <mergeCell ref="M1:M2"/>
    <mergeCell ref="H2:I2"/>
    <mergeCell ref="A4:A9"/>
    <mergeCell ref="D4:D9"/>
    <mergeCell ref="E4:E9"/>
    <mergeCell ref="N4:N9"/>
    <mergeCell ref="A28:A33"/>
    <mergeCell ref="D28:D33"/>
    <mergeCell ref="E28:E33"/>
    <mergeCell ref="N28:N33"/>
    <mergeCell ref="A34:A39"/>
    <mergeCell ref="D34:D39"/>
    <mergeCell ref="E34:E39"/>
    <mergeCell ref="N34:N39"/>
    <mergeCell ref="A16:A21"/>
    <mergeCell ref="D16:D21"/>
    <mergeCell ref="E16:E21"/>
    <mergeCell ref="N16:N21"/>
    <mergeCell ref="A22:A27"/>
    <mergeCell ref="D22:D27"/>
    <mergeCell ref="E22:E27"/>
    <mergeCell ref="N22:N27"/>
    <mergeCell ref="A52:A57"/>
    <mergeCell ref="D52:D57"/>
    <mergeCell ref="E52:E57"/>
    <mergeCell ref="N52:N57"/>
    <mergeCell ref="A58:A63"/>
    <mergeCell ref="D58:D63"/>
    <mergeCell ref="E58:E63"/>
    <mergeCell ref="N58:N63"/>
    <mergeCell ref="A40:A45"/>
    <mergeCell ref="D40:D45"/>
    <mergeCell ref="E40:E45"/>
    <mergeCell ref="N40:N45"/>
    <mergeCell ref="A46:A51"/>
    <mergeCell ref="D46:D51"/>
    <mergeCell ref="E46:E51"/>
    <mergeCell ref="N46:N51"/>
    <mergeCell ref="A76:A81"/>
    <mergeCell ref="D76:D81"/>
    <mergeCell ref="E76:E81"/>
    <mergeCell ref="N76:N81"/>
    <mergeCell ref="A82:A87"/>
    <mergeCell ref="D82:D87"/>
    <mergeCell ref="E82:E87"/>
    <mergeCell ref="N82:N87"/>
    <mergeCell ref="A64:A69"/>
    <mergeCell ref="D64:D69"/>
    <mergeCell ref="E64:E69"/>
    <mergeCell ref="N64:N69"/>
    <mergeCell ref="A70:A75"/>
    <mergeCell ref="D70:D75"/>
    <mergeCell ref="E70:E75"/>
    <mergeCell ref="N70:N75"/>
    <mergeCell ref="A100:A105"/>
    <mergeCell ref="D100:D105"/>
    <mergeCell ref="E100:E105"/>
    <mergeCell ref="N100:N105"/>
    <mergeCell ref="A106:A111"/>
    <mergeCell ref="D106:D111"/>
    <mergeCell ref="E106:E111"/>
    <mergeCell ref="N106:N111"/>
    <mergeCell ref="A88:A93"/>
    <mergeCell ref="D88:D93"/>
    <mergeCell ref="E88:E93"/>
    <mergeCell ref="N88:N93"/>
    <mergeCell ref="A94:A99"/>
    <mergeCell ref="D94:D99"/>
    <mergeCell ref="E94:E99"/>
    <mergeCell ref="N94:N99"/>
    <mergeCell ref="A124:A129"/>
    <mergeCell ref="D124:D129"/>
    <mergeCell ref="E124:E129"/>
    <mergeCell ref="N124:N129"/>
    <mergeCell ref="A130:A135"/>
    <mergeCell ref="D130:D135"/>
    <mergeCell ref="E130:E135"/>
    <mergeCell ref="N130:N135"/>
    <mergeCell ref="A112:A117"/>
    <mergeCell ref="D112:D117"/>
    <mergeCell ref="E112:E117"/>
    <mergeCell ref="N112:N117"/>
    <mergeCell ref="A118:A123"/>
    <mergeCell ref="D118:D123"/>
    <mergeCell ref="E118:E123"/>
    <mergeCell ref="N118:N123"/>
    <mergeCell ref="A148:A153"/>
    <mergeCell ref="D148:D153"/>
    <mergeCell ref="E148:E153"/>
    <mergeCell ref="N148:N153"/>
    <mergeCell ref="A154:A159"/>
    <mergeCell ref="D154:D159"/>
    <mergeCell ref="E154:E159"/>
    <mergeCell ref="N154:N159"/>
    <mergeCell ref="A136:A141"/>
    <mergeCell ref="D136:D141"/>
    <mergeCell ref="E136:E141"/>
    <mergeCell ref="N136:N141"/>
    <mergeCell ref="A142:A147"/>
    <mergeCell ref="D142:D147"/>
    <mergeCell ref="E142:E147"/>
    <mergeCell ref="N142:N147"/>
    <mergeCell ref="A172:A177"/>
    <mergeCell ref="D172:D177"/>
    <mergeCell ref="E172:E177"/>
    <mergeCell ref="N172:N177"/>
    <mergeCell ref="A178:A183"/>
    <mergeCell ref="D178:D183"/>
    <mergeCell ref="E178:E183"/>
    <mergeCell ref="N178:N183"/>
    <mergeCell ref="A160:A165"/>
    <mergeCell ref="D160:D165"/>
    <mergeCell ref="E160:E165"/>
    <mergeCell ref="N160:N165"/>
    <mergeCell ref="A166:A171"/>
    <mergeCell ref="D166:D171"/>
    <mergeCell ref="E166:E171"/>
    <mergeCell ref="N166:N171"/>
    <mergeCell ref="A196:A201"/>
    <mergeCell ref="D196:D201"/>
    <mergeCell ref="E196:E201"/>
    <mergeCell ref="N196:N201"/>
    <mergeCell ref="A202:A207"/>
    <mergeCell ref="D202:D207"/>
    <mergeCell ref="E202:E207"/>
    <mergeCell ref="N202:N207"/>
    <mergeCell ref="A184:A189"/>
    <mergeCell ref="D184:D189"/>
    <mergeCell ref="E184:E189"/>
    <mergeCell ref="N184:N189"/>
    <mergeCell ref="A190:A195"/>
    <mergeCell ref="D190:D195"/>
    <mergeCell ref="E190:E195"/>
    <mergeCell ref="N190:N195"/>
    <mergeCell ref="A220:A225"/>
    <mergeCell ref="D220:D225"/>
    <mergeCell ref="E220:E225"/>
    <mergeCell ref="N220:N225"/>
    <mergeCell ref="A226:A231"/>
    <mergeCell ref="D226:D231"/>
    <mergeCell ref="E226:E231"/>
    <mergeCell ref="N226:N231"/>
    <mergeCell ref="A208:A213"/>
    <mergeCell ref="D208:D213"/>
    <mergeCell ref="E208:E213"/>
    <mergeCell ref="N208:N213"/>
    <mergeCell ref="A214:A219"/>
    <mergeCell ref="D214:D219"/>
    <mergeCell ref="E214:E219"/>
    <mergeCell ref="N214:N219"/>
  </mergeCells>
  <conditionalFormatting sqref="N226:N231 N10:N201">
    <cfRule type="colorScale" priority="20">
      <colorScale>
        <cfvo type="min"/>
        <cfvo type="percentile" val="50"/>
        <cfvo type="max"/>
        <color rgb="FFF8696B"/>
        <color rgb="FFFFEB84"/>
        <color rgb="FF63BE7B"/>
      </colorScale>
    </cfRule>
  </conditionalFormatting>
  <conditionalFormatting sqref="N202:N207">
    <cfRule type="colorScale" priority="19">
      <colorScale>
        <cfvo type="min"/>
        <cfvo type="percentile" val="50"/>
        <cfvo type="max"/>
        <color rgb="FFF8696B"/>
        <color rgb="FFFFEB84"/>
        <color rgb="FF63BE7B"/>
      </colorScale>
    </cfRule>
  </conditionalFormatting>
  <conditionalFormatting sqref="N208:N219">
    <cfRule type="colorScale" priority="18">
      <colorScale>
        <cfvo type="min"/>
        <cfvo type="percentile" val="50"/>
        <cfvo type="max"/>
        <color rgb="FFF8696B"/>
        <color rgb="FFFFEB84"/>
        <color rgb="FF63BE7B"/>
      </colorScale>
    </cfRule>
  </conditionalFormatting>
  <conditionalFormatting sqref="N220:N225">
    <cfRule type="colorScale" priority="17">
      <colorScale>
        <cfvo type="min"/>
        <cfvo type="percentile" val="50"/>
        <cfvo type="max"/>
        <color rgb="FFF8696B"/>
        <color rgb="FFFFEB84"/>
        <color rgb="FF63BE7B"/>
      </colorScale>
    </cfRule>
  </conditionalFormatting>
  <conditionalFormatting sqref="D10:D231">
    <cfRule type="top10" dxfId="7" priority="16" rank="1"/>
  </conditionalFormatting>
  <conditionalFormatting sqref="C123 E10:F117 E119:F231 E118">
    <cfRule type="top10" dxfId="6" priority="15" rank="1"/>
  </conditionalFormatting>
  <conditionalFormatting sqref="C113 J10:J231">
    <cfRule type="top10" dxfId="5" priority="14" rank="1"/>
  </conditionalFormatting>
  <conditionalFormatting sqref="P226:P231 P10:P201">
    <cfRule type="colorScale" priority="13">
      <colorScale>
        <cfvo type="min"/>
        <cfvo type="percentile" val="50"/>
        <cfvo type="max"/>
        <color rgb="FFF8696B"/>
        <color rgb="FFFFEB84"/>
        <color rgb="FF63BE7B"/>
      </colorScale>
    </cfRule>
  </conditionalFormatting>
  <conditionalFormatting sqref="P202:P207">
    <cfRule type="colorScale" priority="12">
      <colorScale>
        <cfvo type="min"/>
        <cfvo type="percentile" val="50"/>
        <cfvo type="max"/>
        <color rgb="FFF8696B"/>
        <color rgb="FFFFEB84"/>
        <color rgb="FF63BE7B"/>
      </colorScale>
    </cfRule>
  </conditionalFormatting>
  <conditionalFormatting sqref="P208:P219">
    <cfRule type="colorScale" priority="11">
      <colorScale>
        <cfvo type="min"/>
        <cfvo type="percentile" val="50"/>
        <cfvo type="max"/>
        <color rgb="FFF8696B"/>
        <color rgb="FFFFEB84"/>
        <color rgb="FF63BE7B"/>
      </colorScale>
    </cfRule>
  </conditionalFormatting>
  <conditionalFormatting sqref="P220:P225">
    <cfRule type="colorScale" priority="10">
      <colorScale>
        <cfvo type="min"/>
        <cfvo type="percentile" val="50"/>
        <cfvo type="max"/>
        <color rgb="FFF8696B"/>
        <color rgb="FFFFEB84"/>
        <color rgb="FF63BE7B"/>
      </colorScale>
    </cfRule>
  </conditionalFormatting>
  <conditionalFormatting sqref="O10:O231">
    <cfRule type="colorScale" priority="9">
      <colorScale>
        <cfvo type="min"/>
        <cfvo type="percentile" val="50"/>
        <cfvo type="max"/>
        <color rgb="FFF8696B"/>
        <color rgb="FFFFEB84"/>
        <color rgb="FF63BE7B"/>
      </colorScale>
    </cfRule>
  </conditionalFormatting>
  <conditionalFormatting sqref="H10:H231">
    <cfRule type="top10" dxfId="4" priority="8" rank="1"/>
  </conditionalFormatting>
  <conditionalFormatting sqref="N4:N9">
    <cfRule type="colorScale" priority="7">
      <colorScale>
        <cfvo type="min"/>
        <cfvo type="percentile" val="50"/>
        <cfvo type="max"/>
        <color rgb="FFF8696B"/>
        <color rgb="FFFFEB84"/>
        <color rgb="FF63BE7B"/>
      </colorScale>
    </cfRule>
  </conditionalFormatting>
  <conditionalFormatting sqref="D4:D9">
    <cfRule type="top10" dxfId="3" priority="6" rank="1"/>
  </conditionalFormatting>
  <conditionalFormatting sqref="E4:F9">
    <cfRule type="top10" dxfId="2" priority="5" rank="1"/>
  </conditionalFormatting>
  <conditionalFormatting sqref="J4:J9">
    <cfRule type="top10" dxfId="1" priority="4" rank="1"/>
  </conditionalFormatting>
  <conditionalFormatting sqref="P4:P9">
    <cfRule type="colorScale" priority="3">
      <colorScale>
        <cfvo type="min"/>
        <cfvo type="percentile" val="50"/>
        <cfvo type="max"/>
        <color rgb="FFF8696B"/>
        <color rgb="FFFFEB84"/>
        <color rgb="FF63BE7B"/>
      </colorScale>
    </cfRule>
  </conditionalFormatting>
  <conditionalFormatting sqref="O4:O9">
    <cfRule type="colorScale" priority="2">
      <colorScale>
        <cfvo type="min"/>
        <cfvo type="percentile" val="50"/>
        <cfvo type="max"/>
        <color rgb="FFF8696B"/>
        <color rgb="FFFFEB84"/>
        <color rgb="FF63BE7B"/>
      </colorScale>
    </cfRule>
  </conditionalFormatting>
  <conditionalFormatting sqref="H4:H9">
    <cfRule type="top10" dxfId="0" priority="1" rank="1"/>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RENDEMENT VARIETAL</vt:lpstr>
      <vt:lpstr>RECAP RENDEMENT</vt:lpstr>
      <vt:lpstr>TC 607 S1</vt:lpstr>
      <vt:lpstr>TC SORENTINO S1</vt:lpstr>
      <vt:lpstr>AVALANTINO S2</vt:lpstr>
      <vt:lpstr>KOMEET S3</vt:lpstr>
      <vt:lpstr>CORALINA S4</vt:lpstr>
    </vt:vector>
  </TitlesOfParts>
  <Company>ORGABURO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Serge</dc:creator>
  <cp:lastModifiedBy>Valerie</cp:lastModifiedBy>
  <cp:lastPrinted>2017-04-07T11:08:22Z</cp:lastPrinted>
  <dcterms:created xsi:type="dcterms:W3CDTF">2013-06-26T10:53:19Z</dcterms:created>
  <dcterms:modified xsi:type="dcterms:W3CDTF">2020-01-30T14:52:58Z</dcterms:modified>
</cp:coreProperties>
</file>