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ew folder\2. CASH OF NAME DAILY\2018\"/>
    </mc:Choice>
  </mc:AlternateContent>
  <bookViews>
    <workbookView xWindow="360" yWindow="420" windowWidth="19875" windowHeight="7650" firstSheet="14" activeTab="21"/>
  </bookViews>
  <sheets>
    <sheet name="30 Nov " sheetId="1" r:id="rId1"/>
    <sheet name="1 Des" sheetId="4" r:id="rId2"/>
    <sheet name="2 Des" sheetId="5" r:id="rId3"/>
    <sheet name="3 Des" sheetId="6" r:id="rId4"/>
    <sheet name="4 Des" sheetId="7" r:id="rId5"/>
    <sheet name="5 Des" sheetId="8" r:id="rId6"/>
    <sheet name="6 Des " sheetId="9" r:id="rId7"/>
    <sheet name="7 des " sheetId="11" r:id="rId8"/>
    <sheet name="8 Des" sheetId="12" r:id="rId9"/>
    <sheet name="9 DEs18" sheetId="13" r:id="rId10"/>
    <sheet name="10 Des" sheetId="14" r:id="rId11"/>
    <sheet name="11 Des " sheetId="15" r:id="rId12"/>
    <sheet name="12 Des" sheetId="16" r:id="rId13"/>
    <sheet name="13 Des" sheetId="17" r:id="rId14"/>
    <sheet name="14 Des" sheetId="18" r:id="rId15"/>
    <sheet name="16 Des" sheetId="21" r:id="rId16"/>
    <sheet name="17 Des " sheetId="22" r:id="rId17"/>
    <sheet name="18 Des" sheetId="23" r:id="rId18"/>
    <sheet name="19 Des" sheetId="24" r:id="rId19"/>
    <sheet name="20 Des" sheetId="25" r:id="rId20"/>
    <sheet name="21 Des  " sheetId="27" r:id="rId21"/>
    <sheet name="22 Des " sheetId="26" r:id="rId22"/>
    <sheet name="23 Des" sheetId="28" r:id="rId23"/>
  </sheets>
  <externalReferences>
    <externalReference r:id="rId24"/>
  </externalReferences>
  <definedNames>
    <definedName name="_xlnm.Print_Area" localSheetId="1">'1 Des'!$A$1:$I$75</definedName>
    <definedName name="_xlnm.Print_Area" localSheetId="10">'10 Des'!$A$1:$I$75</definedName>
    <definedName name="_xlnm.Print_Area" localSheetId="11">'11 Des '!$A$1:$I$75</definedName>
    <definedName name="_xlnm.Print_Area" localSheetId="12">'12 Des'!$A$1:$I$75</definedName>
    <definedName name="_xlnm.Print_Area" localSheetId="13">'13 Des'!$A$1:$I$75</definedName>
    <definedName name="_xlnm.Print_Area" localSheetId="14">'14 Des'!$A$1:$I$75</definedName>
    <definedName name="_xlnm.Print_Area" localSheetId="15">'16 Des'!$A$1:$I$75</definedName>
    <definedName name="_xlnm.Print_Area" localSheetId="16">'17 Des '!$A$1:$I$75</definedName>
    <definedName name="_xlnm.Print_Area" localSheetId="17">'18 Des'!$A$1:$I$75</definedName>
    <definedName name="_xlnm.Print_Area" localSheetId="18">'19 Des'!$A$1:$I$75</definedName>
    <definedName name="_xlnm.Print_Area" localSheetId="2">'2 Des'!$A$1:$I$75</definedName>
    <definedName name="_xlnm.Print_Area" localSheetId="19">'20 Des'!$A$1:$I$75</definedName>
    <definedName name="_xlnm.Print_Area" localSheetId="20">'21 Des  '!$A$1:$I$75</definedName>
    <definedName name="_xlnm.Print_Area" localSheetId="21">'22 Des '!$A$1:$I$75</definedName>
    <definedName name="_xlnm.Print_Area" localSheetId="22">'23 Des'!$A$1:$I$75</definedName>
    <definedName name="_xlnm.Print_Area" localSheetId="3">'3 Des'!$A$1:$I$75</definedName>
    <definedName name="_xlnm.Print_Area" localSheetId="4">'4 Des'!$A$1:$I$75</definedName>
    <definedName name="_xlnm.Print_Area" localSheetId="5">'5 Des'!$A$1:$I$75</definedName>
    <definedName name="_xlnm.Print_Area" localSheetId="6">'6 Des '!$A$1:$I$75</definedName>
    <definedName name="_xlnm.Print_Area" localSheetId="7">'7 des '!$A$1:$I$75</definedName>
    <definedName name="_xlnm.Print_Area" localSheetId="8">'8 Des'!$A$1:$I$75</definedName>
    <definedName name="_xlnm.Print_Area" localSheetId="9">'9 DEs18'!$A$1:$I$75</definedName>
  </definedNames>
  <calcPr calcId="152511"/>
</workbook>
</file>

<file path=xl/calcChain.xml><?xml version="1.0" encoding="utf-8"?>
<calcChain xmlns="http://schemas.openxmlformats.org/spreadsheetml/2006/main">
  <c r="G12" i="28" l="1"/>
  <c r="G11" i="28"/>
  <c r="G10" i="28"/>
  <c r="E9" i="28"/>
  <c r="G9" i="28" s="1"/>
  <c r="E8" i="28"/>
  <c r="G8" i="28" s="1"/>
  <c r="P119" i="28"/>
  <c r="N119" i="28"/>
  <c r="M119" i="28"/>
  <c r="H47" i="28" s="1"/>
  <c r="I49" i="28" s="1"/>
  <c r="Q111" i="28"/>
  <c r="H85" i="28"/>
  <c r="E85" i="28"/>
  <c r="A85" i="28"/>
  <c r="H53" i="28"/>
  <c r="S46" i="28"/>
  <c r="I44" i="28"/>
  <c r="O37" i="28"/>
  <c r="L37" i="28"/>
  <c r="H52" i="28" s="1"/>
  <c r="G24" i="28"/>
  <c r="G23" i="28"/>
  <c r="G22" i="28"/>
  <c r="E21" i="28"/>
  <c r="G21" i="28" s="1"/>
  <c r="G20" i="28"/>
  <c r="U16" i="28"/>
  <c r="T16" i="28"/>
  <c r="G16" i="28"/>
  <c r="G15" i="28"/>
  <c r="G14" i="28"/>
  <c r="G13" i="28"/>
  <c r="E8" i="26"/>
  <c r="E9" i="26"/>
  <c r="H26" i="28" l="1"/>
  <c r="I55" i="28"/>
  <c r="H17" i="28"/>
  <c r="I27" i="28" s="1"/>
  <c r="I57" i="28" s="1"/>
  <c r="O119" i="28"/>
  <c r="O120" i="28" s="1"/>
  <c r="E12" i="26"/>
  <c r="E11" i="26"/>
  <c r="P119" i="27"/>
  <c r="N119" i="27"/>
  <c r="M119" i="27"/>
  <c r="Q111" i="27"/>
  <c r="H85" i="27"/>
  <c r="E85" i="27"/>
  <c r="A85" i="27"/>
  <c r="H53" i="27"/>
  <c r="H47" i="27"/>
  <c r="I49" i="27" s="1"/>
  <c r="S46" i="27"/>
  <c r="I44" i="27"/>
  <c r="O37" i="27"/>
  <c r="L37" i="27"/>
  <c r="H52" i="27" s="1"/>
  <c r="G24" i="27"/>
  <c r="G23" i="27"/>
  <c r="G22" i="27"/>
  <c r="E21" i="27"/>
  <c r="G21" i="27" s="1"/>
  <c r="G20" i="27"/>
  <c r="U16" i="27"/>
  <c r="T16" i="27"/>
  <c r="G16" i="27"/>
  <c r="G15" i="27"/>
  <c r="G14" i="27"/>
  <c r="E13" i="27"/>
  <c r="G13" i="27" s="1"/>
  <c r="E12" i="27"/>
  <c r="G12" i="27" s="1"/>
  <c r="E11" i="27"/>
  <c r="G11" i="27" s="1"/>
  <c r="E10" i="27"/>
  <c r="G10" i="27" s="1"/>
  <c r="E9" i="27"/>
  <c r="G9" i="27" s="1"/>
  <c r="E8" i="27"/>
  <c r="G8" i="27" s="1"/>
  <c r="H17" i="27" s="1"/>
  <c r="I27" i="27" l="1"/>
  <c r="H26" i="27"/>
  <c r="I55" i="27"/>
  <c r="O119" i="27"/>
  <c r="O120" i="27" s="1"/>
  <c r="E21" i="26"/>
  <c r="E13" i="26"/>
  <c r="E10" i="26"/>
  <c r="I57" i="27" l="1"/>
  <c r="I31" i="26"/>
  <c r="G12" i="26"/>
  <c r="G11" i="26"/>
  <c r="G8" i="26"/>
  <c r="P119" i="26"/>
  <c r="N119" i="26"/>
  <c r="M119" i="26"/>
  <c r="H47" i="26" s="1"/>
  <c r="I49" i="26" s="1"/>
  <c r="Q111" i="26"/>
  <c r="H85" i="26"/>
  <c r="E85" i="26"/>
  <c r="A85" i="26"/>
  <c r="H53" i="26"/>
  <c r="S46" i="26"/>
  <c r="I44" i="26"/>
  <c r="O37" i="26"/>
  <c r="L37" i="26"/>
  <c r="H52" i="26" s="1"/>
  <c r="I55" i="26" s="1"/>
  <c r="G24" i="26"/>
  <c r="G23" i="26"/>
  <c r="G22" i="26"/>
  <c r="G21" i="26"/>
  <c r="G20" i="26"/>
  <c r="U16" i="26"/>
  <c r="T16" i="26"/>
  <c r="G16" i="26"/>
  <c r="G15" i="26"/>
  <c r="G14" i="26"/>
  <c r="G13" i="26"/>
  <c r="G10" i="26"/>
  <c r="G9" i="26"/>
  <c r="I56" i="26" l="1"/>
  <c r="J56" i="26" s="1"/>
  <c r="H26" i="26"/>
  <c r="H17" i="26"/>
  <c r="O119" i="26"/>
  <c r="O120" i="26" s="1"/>
  <c r="P119" i="25"/>
  <c r="N119" i="25"/>
  <c r="M119" i="25"/>
  <c r="H47" i="25" s="1"/>
  <c r="I49" i="25" s="1"/>
  <c r="Q111" i="25"/>
  <c r="H85" i="25"/>
  <c r="E85" i="25"/>
  <c r="A85" i="25"/>
  <c r="H53" i="25"/>
  <c r="S46" i="25"/>
  <c r="I44" i="25"/>
  <c r="O37" i="25"/>
  <c r="L37" i="25"/>
  <c r="H52" i="25" s="1"/>
  <c r="G24" i="25"/>
  <c r="G23" i="25"/>
  <c r="G22" i="25"/>
  <c r="G21" i="25"/>
  <c r="G20" i="25"/>
  <c r="U16" i="25"/>
  <c r="T16" i="25"/>
  <c r="G16" i="25"/>
  <c r="G15" i="25"/>
  <c r="G14" i="25"/>
  <c r="G13" i="25"/>
  <c r="G12" i="25"/>
  <c r="G11" i="25"/>
  <c r="G10" i="25"/>
  <c r="G9" i="25"/>
  <c r="G8" i="25"/>
  <c r="I27" i="26" l="1"/>
  <c r="I57" i="26" s="1"/>
  <c r="H26" i="25"/>
  <c r="H17" i="25"/>
  <c r="I55" i="25"/>
  <c r="O119" i="25"/>
  <c r="O120" i="25" s="1"/>
  <c r="P119" i="24"/>
  <c r="N119" i="24"/>
  <c r="M119" i="24"/>
  <c r="H47" i="24" s="1"/>
  <c r="I49" i="24" s="1"/>
  <c r="Q111" i="24"/>
  <c r="H85" i="24"/>
  <c r="E85" i="24"/>
  <c r="A85" i="24"/>
  <c r="H53" i="24"/>
  <c r="S46" i="24"/>
  <c r="I44" i="24"/>
  <c r="O37" i="24"/>
  <c r="L37" i="24"/>
  <c r="H52" i="24" s="1"/>
  <c r="I55" i="24" s="1"/>
  <c r="G24" i="24"/>
  <c r="G23" i="24"/>
  <c r="G22" i="24"/>
  <c r="G21" i="24"/>
  <c r="G20" i="24"/>
  <c r="H26" i="24" s="1"/>
  <c r="U16" i="24"/>
  <c r="T16" i="24"/>
  <c r="G16" i="24"/>
  <c r="G15" i="24"/>
  <c r="G14" i="24"/>
  <c r="G13" i="24"/>
  <c r="G12" i="24"/>
  <c r="G11" i="24"/>
  <c r="G10" i="24"/>
  <c r="G9" i="24"/>
  <c r="G8" i="24"/>
  <c r="I59" i="26" l="1"/>
  <c r="I31" i="28"/>
  <c r="I56" i="28" s="1"/>
  <c r="I27" i="25"/>
  <c r="H17" i="24"/>
  <c r="I27" i="24" s="1"/>
  <c r="I57" i="24" s="1"/>
  <c r="O119" i="24"/>
  <c r="O120" i="24" s="1"/>
  <c r="P119" i="23"/>
  <c r="N119" i="23"/>
  <c r="M119" i="23"/>
  <c r="H47" i="23" s="1"/>
  <c r="I49" i="23" s="1"/>
  <c r="Q111" i="23"/>
  <c r="H85" i="23"/>
  <c r="E85" i="23"/>
  <c r="A85" i="23"/>
  <c r="H53" i="23"/>
  <c r="S46" i="23"/>
  <c r="I44" i="23"/>
  <c r="O37" i="23"/>
  <c r="L37" i="23"/>
  <c r="H52" i="23" s="1"/>
  <c r="I55" i="23" s="1"/>
  <c r="G24" i="23"/>
  <c r="G23" i="23"/>
  <c r="G22" i="23"/>
  <c r="G21" i="23"/>
  <c r="G20" i="23"/>
  <c r="H26" i="23" s="1"/>
  <c r="U16" i="23"/>
  <c r="T16" i="23"/>
  <c r="G16" i="23"/>
  <c r="G15" i="23"/>
  <c r="G14" i="23"/>
  <c r="G13" i="23"/>
  <c r="G12" i="23"/>
  <c r="G11" i="23"/>
  <c r="G10" i="23"/>
  <c r="G9" i="23"/>
  <c r="G8" i="23"/>
  <c r="I57" i="25" l="1"/>
  <c r="I31" i="27"/>
  <c r="I56" i="27" s="1"/>
  <c r="J56" i="28"/>
  <c r="I59" i="28"/>
  <c r="H17" i="23"/>
  <c r="I27" i="23" s="1"/>
  <c r="I57" i="23" s="1"/>
  <c r="O119" i="23"/>
  <c r="O120" i="23" s="1"/>
  <c r="E8" i="22"/>
  <c r="E9" i="22"/>
  <c r="H54" i="22"/>
  <c r="J56" i="27" l="1"/>
  <c r="I59" i="27"/>
  <c r="E8" i="21"/>
  <c r="P119" i="22"/>
  <c r="N119" i="22"/>
  <c r="M119" i="22"/>
  <c r="Q111" i="22"/>
  <c r="H85" i="22"/>
  <c r="E85" i="22"/>
  <c r="A85" i="22"/>
  <c r="H53" i="22"/>
  <c r="H47" i="22"/>
  <c r="I49" i="22" s="1"/>
  <c r="S46" i="22"/>
  <c r="H43" i="22"/>
  <c r="I44" i="22" s="1"/>
  <c r="O37" i="22"/>
  <c r="L37" i="22"/>
  <c r="H52" i="22" s="1"/>
  <c r="G24" i="22"/>
  <c r="G23" i="22"/>
  <c r="G22" i="22"/>
  <c r="G21" i="22"/>
  <c r="G20" i="22"/>
  <c r="U16" i="22"/>
  <c r="T16" i="22"/>
  <c r="G16" i="22"/>
  <c r="G15" i="22"/>
  <c r="G14" i="22"/>
  <c r="G13" i="22"/>
  <c r="G12" i="22"/>
  <c r="G11" i="22"/>
  <c r="G10" i="22"/>
  <c r="G9" i="22"/>
  <c r="G8" i="22"/>
  <c r="E9" i="21"/>
  <c r="H26" i="22" l="1"/>
  <c r="I55" i="22"/>
  <c r="H17" i="22"/>
  <c r="I27" i="22" s="1"/>
  <c r="I57" i="22" s="1"/>
  <c r="I31" i="23" s="1"/>
  <c r="I56" i="23" s="1"/>
  <c r="O119" i="22"/>
  <c r="O120" i="22" s="1"/>
  <c r="P119" i="21"/>
  <c r="N119" i="21"/>
  <c r="M119" i="21"/>
  <c r="H47" i="21" s="1"/>
  <c r="I49" i="21" s="1"/>
  <c r="Q111" i="21"/>
  <c r="H85" i="21"/>
  <c r="E85" i="21"/>
  <c r="A85" i="21"/>
  <c r="H53" i="21"/>
  <c r="S46" i="21"/>
  <c r="H43" i="21"/>
  <c r="I44" i="21" s="1"/>
  <c r="O37" i="21"/>
  <c r="L37" i="21"/>
  <c r="H52" i="21" s="1"/>
  <c r="G24" i="21"/>
  <c r="G23" i="21"/>
  <c r="G22" i="21"/>
  <c r="G21" i="21"/>
  <c r="G20" i="21"/>
  <c r="H26" i="21" s="1"/>
  <c r="U16" i="21"/>
  <c r="T16" i="21"/>
  <c r="G16" i="21"/>
  <c r="G15" i="21"/>
  <c r="G14" i="21"/>
  <c r="G13" i="21"/>
  <c r="G12" i="21"/>
  <c r="G11" i="21"/>
  <c r="G10" i="21"/>
  <c r="G9" i="21"/>
  <c r="G8" i="21"/>
  <c r="J56" i="23" l="1"/>
  <c r="I31" i="24"/>
  <c r="I56" i="24" s="1"/>
  <c r="I59" i="23"/>
  <c r="I55" i="21"/>
  <c r="H17" i="21"/>
  <c r="I27" i="21" s="1"/>
  <c r="I57" i="21" s="1"/>
  <c r="O119" i="21"/>
  <c r="O120" i="21" s="1"/>
  <c r="J56" i="24" l="1"/>
  <c r="I31" i="25"/>
  <c r="I56" i="25" s="1"/>
  <c r="I59" i="24"/>
  <c r="J56" i="25" l="1"/>
  <c r="I59" i="25"/>
  <c r="M15" i="18"/>
  <c r="P119" i="18" l="1"/>
  <c r="O119" i="18"/>
  <c r="O120" i="18" s="1"/>
  <c r="N119" i="18"/>
  <c r="M119" i="18"/>
  <c r="H47" i="18" s="1"/>
  <c r="I49" i="18" s="1"/>
  <c r="Q111" i="18"/>
  <c r="H85" i="18"/>
  <c r="E85" i="18"/>
  <c r="A85" i="18"/>
  <c r="H53" i="18"/>
  <c r="S46" i="18"/>
  <c r="H43" i="18"/>
  <c r="I44" i="18" s="1"/>
  <c r="L37" i="18"/>
  <c r="H52" i="18" s="1"/>
  <c r="I55" i="18" s="1"/>
  <c r="G24" i="18"/>
  <c r="G23" i="18"/>
  <c r="G22" i="18"/>
  <c r="G21" i="18"/>
  <c r="G20" i="18"/>
  <c r="H26" i="18" s="1"/>
  <c r="U16" i="18"/>
  <c r="T16" i="18"/>
  <c r="G16" i="18"/>
  <c r="G15" i="18"/>
  <c r="G14" i="18"/>
  <c r="G13" i="18"/>
  <c r="G12" i="18"/>
  <c r="G11" i="18"/>
  <c r="G10" i="18"/>
  <c r="G9" i="18"/>
  <c r="G8" i="18"/>
  <c r="H17" i="18" l="1"/>
  <c r="I27" i="18" s="1"/>
  <c r="I57" i="18" s="1"/>
  <c r="H54" i="17"/>
  <c r="E9" i="17"/>
  <c r="E21" i="16" l="1"/>
  <c r="P119" i="17" l="1"/>
  <c r="O119" i="17"/>
  <c r="O120" i="17" s="1"/>
  <c r="N119" i="17"/>
  <c r="M119" i="17"/>
  <c r="H47" i="17" s="1"/>
  <c r="I49" i="17" s="1"/>
  <c r="Q111" i="17"/>
  <c r="H85" i="17"/>
  <c r="E85" i="17"/>
  <c r="A85" i="17"/>
  <c r="H53" i="17"/>
  <c r="S46" i="17"/>
  <c r="I44" i="17"/>
  <c r="H43" i="17"/>
  <c r="L37" i="17"/>
  <c r="H52" i="17" s="1"/>
  <c r="I55" i="17" s="1"/>
  <c r="G24" i="17"/>
  <c r="G23" i="17"/>
  <c r="G22" i="17"/>
  <c r="G21" i="17"/>
  <c r="G20" i="17"/>
  <c r="U16" i="17"/>
  <c r="T16" i="17"/>
  <c r="G16" i="17"/>
  <c r="G15" i="17"/>
  <c r="G14" i="17"/>
  <c r="G13" i="17"/>
  <c r="G12" i="17"/>
  <c r="G11" i="17"/>
  <c r="G10" i="17"/>
  <c r="G9" i="17"/>
  <c r="G8" i="17"/>
  <c r="P119" i="16"/>
  <c r="O119" i="16"/>
  <c r="O120" i="16" s="1"/>
  <c r="N119" i="16"/>
  <c r="M119" i="16"/>
  <c r="H47" i="16" s="1"/>
  <c r="I49" i="16" s="1"/>
  <c r="Q111" i="16"/>
  <c r="H85" i="16"/>
  <c r="E85" i="16"/>
  <c r="A85" i="16"/>
  <c r="H53" i="16"/>
  <c r="S46" i="16"/>
  <c r="H43" i="16"/>
  <c r="I44" i="16" s="1"/>
  <c r="L37" i="16"/>
  <c r="H52" i="16" s="1"/>
  <c r="I55" i="16" s="1"/>
  <c r="G24" i="16"/>
  <c r="G23" i="16"/>
  <c r="G22" i="16"/>
  <c r="G21" i="16"/>
  <c r="G20" i="16"/>
  <c r="H26" i="16" s="1"/>
  <c r="U16" i="16"/>
  <c r="T16" i="16"/>
  <c r="G16" i="16"/>
  <c r="G15" i="16"/>
  <c r="G14" i="16"/>
  <c r="G13" i="16"/>
  <c r="G12" i="16"/>
  <c r="G11" i="16"/>
  <c r="G10" i="16"/>
  <c r="G9" i="16"/>
  <c r="G8" i="16"/>
  <c r="H17" i="16" l="1"/>
  <c r="H26" i="17"/>
  <c r="H17" i="17"/>
  <c r="I27" i="17" s="1"/>
  <c r="I57" i="17" s="1"/>
  <c r="I27" i="16"/>
  <c r="I57" i="16" s="1"/>
  <c r="P119" i="15"/>
  <c r="O119" i="15"/>
  <c r="O120" i="15" s="1"/>
  <c r="N119" i="15"/>
  <c r="M119" i="15"/>
  <c r="H47" i="15" s="1"/>
  <c r="I49" i="15" s="1"/>
  <c r="Q111" i="15"/>
  <c r="H85" i="15"/>
  <c r="E85" i="15"/>
  <c r="A85" i="15"/>
  <c r="H53" i="15"/>
  <c r="S46" i="15"/>
  <c r="H43" i="15"/>
  <c r="I44" i="15" s="1"/>
  <c r="L37" i="15"/>
  <c r="H52" i="15" s="1"/>
  <c r="G24" i="15"/>
  <c r="G23" i="15"/>
  <c r="G22" i="15"/>
  <c r="E21" i="15"/>
  <c r="G21" i="15" s="1"/>
  <c r="G20" i="15"/>
  <c r="U16" i="15"/>
  <c r="T16" i="15"/>
  <c r="G16" i="15"/>
  <c r="G15" i="15"/>
  <c r="G14" i="15"/>
  <c r="G13" i="15"/>
  <c r="G12" i="15"/>
  <c r="G11" i="15"/>
  <c r="G10" i="15"/>
  <c r="G9" i="15"/>
  <c r="G8" i="15"/>
  <c r="H26" i="15" l="1"/>
  <c r="I55" i="15"/>
  <c r="H17" i="15"/>
  <c r="P119" i="14"/>
  <c r="O119" i="14"/>
  <c r="O120" i="14" s="1"/>
  <c r="N119" i="14"/>
  <c r="M119" i="14"/>
  <c r="H47" i="14" s="1"/>
  <c r="I49" i="14" s="1"/>
  <c r="Q111" i="14"/>
  <c r="H85" i="14"/>
  <c r="E85" i="14"/>
  <c r="A85" i="14"/>
  <c r="H53" i="14"/>
  <c r="S46" i="14"/>
  <c r="I44" i="14"/>
  <c r="H43" i="14"/>
  <c r="L37" i="14"/>
  <c r="H52" i="14" s="1"/>
  <c r="G24" i="14"/>
  <c r="G23" i="14"/>
  <c r="G22" i="14"/>
  <c r="E21" i="14"/>
  <c r="G21" i="14" s="1"/>
  <c r="G20" i="14"/>
  <c r="U16" i="14"/>
  <c r="T16" i="14"/>
  <c r="G16" i="14"/>
  <c r="G15" i="14"/>
  <c r="G14" i="14"/>
  <c r="G13" i="14"/>
  <c r="G12" i="14"/>
  <c r="G11" i="14"/>
  <c r="G10" i="14"/>
  <c r="G9" i="14"/>
  <c r="G8" i="14"/>
  <c r="E9" i="13"/>
  <c r="E8" i="13"/>
  <c r="G8" i="13" s="1"/>
  <c r="E12" i="13"/>
  <c r="E10" i="13"/>
  <c r="G10" i="13" s="1"/>
  <c r="L37" i="13"/>
  <c r="H52" i="13" s="1"/>
  <c r="P119" i="13"/>
  <c r="O119" i="13"/>
  <c r="O120" i="13" s="1"/>
  <c r="N119" i="13"/>
  <c r="M119" i="13"/>
  <c r="H47" i="13" s="1"/>
  <c r="I49" i="13" s="1"/>
  <c r="Q111" i="13"/>
  <c r="H85" i="13"/>
  <c r="E85" i="13"/>
  <c r="A85" i="13"/>
  <c r="H53" i="13"/>
  <c r="S46" i="13"/>
  <c r="H43" i="13"/>
  <c r="I44" i="13" s="1"/>
  <c r="G24" i="13"/>
  <c r="G23" i="13"/>
  <c r="G22" i="13"/>
  <c r="G21" i="13"/>
  <c r="E21" i="13"/>
  <c r="G20" i="13"/>
  <c r="H26" i="13" s="1"/>
  <c r="U16" i="13"/>
  <c r="T16" i="13"/>
  <c r="G16" i="13"/>
  <c r="G15" i="13"/>
  <c r="G14" i="13"/>
  <c r="E13" i="13"/>
  <c r="G13" i="13" s="1"/>
  <c r="G12" i="13"/>
  <c r="E11" i="13"/>
  <c r="G11" i="13" s="1"/>
  <c r="G9" i="13"/>
  <c r="P119" i="12"/>
  <c r="O119" i="12"/>
  <c r="O120" i="12" s="1"/>
  <c r="N119" i="12"/>
  <c r="M119" i="12"/>
  <c r="Q111" i="12"/>
  <c r="H85" i="12"/>
  <c r="E85" i="12"/>
  <c r="A85" i="12"/>
  <c r="L68" i="12"/>
  <c r="H53" i="12"/>
  <c r="H52" i="12"/>
  <c r="I55" i="12" s="1"/>
  <c r="H47" i="12"/>
  <c r="I49" i="12" s="1"/>
  <c r="S46" i="12"/>
  <c r="H43" i="12"/>
  <c r="I44" i="12" s="1"/>
  <c r="G24" i="12"/>
  <c r="G23" i="12"/>
  <c r="G22" i="12"/>
  <c r="E21" i="12"/>
  <c r="G21" i="12" s="1"/>
  <c r="G20" i="12"/>
  <c r="U16" i="12"/>
  <c r="T16" i="12"/>
  <c r="G16" i="12"/>
  <c r="G15" i="12"/>
  <c r="G14" i="12"/>
  <c r="E13" i="12"/>
  <c r="G13" i="12" s="1"/>
  <c r="E12" i="12"/>
  <c r="G12" i="12" s="1"/>
  <c r="E11" i="12"/>
  <c r="G11" i="12" s="1"/>
  <c r="E10" i="12"/>
  <c r="G10" i="12" s="1"/>
  <c r="E9" i="12"/>
  <c r="G9" i="12" s="1"/>
  <c r="E8" i="12"/>
  <c r="G8" i="12" s="1"/>
  <c r="H17" i="12" s="1"/>
  <c r="I27" i="12" l="1"/>
  <c r="I57" i="12" s="1"/>
  <c r="I31" i="13" s="1"/>
  <c r="H26" i="12"/>
  <c r="H26" i="14"/>
  <c r="I27" i="15"/>
  <c r="I57" i="15" s="1"/>
  <c r="I55" i="14"/>
  <c r="H17" i="14"/>
  <c r="I55" i="13"/>
  <c r="I56" i="13" s="1"/>
  <c r="H17" i="13"/>
  <c r="I27" i="13" s="1"/>
  <c r="I57" i="13" s="1"/>
  <c r="J56" i="13" l="1"/>
  <c r="I31" i="14"/>
  <c r="I56" i="14"/>
  <c r="I27" i="14"/>
  <c r="I57" i="14" s="1"/>
  <c r="I59" i="14"/>
  <c r="I59" i="13"/>
  <c r="P119" i="11"/>
  <c r="O119" i="11"/>
  <c r="O120" i="11" s="1"/>
  <c r="N119" i="11"/>
  <c r="Q111" i="11"/>
  <c r="H85" i="11"/>
  <c r="E85" i="11"/>
  <c r="A85" i="11"/>
  <c r="L68" i="11"/>
  <c r="H52" i="11" s="1"/>
  <c r="I55" i="11" s="1"/>
  <c r="H53" i="11"/>
  <c r="S46" i="11"/>
  <c r="H43" i="11"/>
  <c r="I44" i="11" s="1"/>
  <c r="G24" i="11"/>
  <c r="G23" i="11"/>
  <c r="G22" i="11"/>
  <c r="G21" i="11"/>
  <c r="G20" i="11"/>
  <c r="H26" i="11" s="1"/>
  <c r="U16" i="11"/>
  <c r="T16" i="11"/>
  <c r="M16" i="11"/>
  <c r="M119" i="11" s="1"/>
  <c r="H47" i="11" s="1"/>
  <c r="I49" i="11" s="1"/>
  <c r="G16" i="11"/>
  <c r="G15" i="11"/>
  <c r="G14" i="11"/>
  <c r="G13" i="11"/>
  <c r="G12" i="11"/>
  <c r="G11" i="11"/>
  <c r="G10" i="11"/>
  <c r="G9" i="11"/>
  <c r="G8" i="11"/>
  <c r="H17" i="11" s="1"/>
  <c r="I27" i="11" s="1"/>
  <c r="I57" i="11" l="1"/>
  <c r="I31" i="12"/>
  <c r="I56" i="12" s="1"/>
  <c r="J56" i="14"/>
  <c r="I31" i="15"/>
  <c r="I56" i="15" s="1"/>
  <c r="J56" i="15" l="1"/>
  <c r="I31" i="16"/>
  <c r="I56" i="16" s="1"/>
  <c r="I59" i="15"/>
  <c r="J56" i="12"/>
  <c r="I59" i="12"/>
  <c r="P119" i="9"/>
  <c r="O119" i="9"/>
  <c r="O120" i="9" s="1"/>
  <c r="N119" i="9"/>
  <c r="M119" i="9"/>
  <c r="H47" i="9" s="1"/>
  <c r="I49" i="9" s="1"/>
  <c r="Q111" i="9"/>
  <c r="H85" i="9"/>
  <c r="E85" i="9"/>
  <c r="A85" i="9"/>
  <c r="L68" i="9"/>
  <c r="H52" i="9" s="1"/>
  <c r="H53" i="9"/>
  <c r="S46" i="9"/>
  <c r="I44" i="9"/>
  <c r="H43" i="9"/>
  <c r="G24" i="9"/>
  <c r="G23" i="9"/>
  <c r="G22" i="9"/>
  <c r="G21" i="9"/>
  <c r="G20" i="9"/>
  <c r="U16" i="9"/>
  <c r="T16" i="9"/>
  <c r="G16" i="9"/>
  <c r="G15" i="9"/>
  <c r="G14" i="9"/>
  <c r="G13" i="9"/>
  <c r="E13" i="9"/>
  <c r="G12" i="9"/>
  <c r="G11" i="9"/>
  <c r="G10" i="9"/>
  <c r="G9" i="9"/>
  <c r="G8" i="9"/>
  <c r="H26" i="9" l="1"/>
  <c r="I31" i="17"/>
  <c r="I56" i="17" s="1"/>
  <c r="J56" i="16"/>
  <c r="I59" i="16"/>
  <c r="H17" i="9"/>
  <c r="I27" i="9" s="1"/>
  <c r="I57" i="9" s="1"/>
  <c r="I31" i="11" s="1"/>
  <c r="I56" i="11" s="1"/>
  <c r="I55" i="9"/>
  <c r="E12" i="8"/>
  <c r="E13" i="8"/>
  <c r="E9" i="8"/>
  <c r="E8" i="8"/>
  <c r="J56" i="11" l="1"/>
  <c r="I59" i="11"/>
  <c r="J56" i="17"/>
  <c r="I31" i="18"/>
  <c r="I56" i="18" s="1"/>
  <c r="I59" i="17"/>
  <c r="P119" i="8"/>
  <c r="O119" i="8"/>
  <c r="O120" i="8" s="1"/>
  <c r="N119" i="8"/>
  <c r="M119" i="8"/>
  <c r="H47" i="8" s="1"/>
  <c r="I49" i="8" s="1"/>
  <c r="Q111" i="8"/>
  <c r="H85" i="8"/>
  <c r="E85" i="8"/>
  <c r="A85" i="8"/>
  <c r="L68" i="8"/>
  <c r="H52" i="8" s="1"/>
  <c r="H53" i="8"/>
  <c r="S46" i="8"/>
  <c r="I44" i="8"/>
  <c r="H43" i="8"/>
  <c r="G24" i="8"/>
  <c r="G23" i="8"/>
  <c r="G22" i="8"/>
  <c r="G21" i="8"/>
  <c r="G20" i="8"/>
  <c r="U16" i="8"/>
  <c r="T16" i="8"/>
  <c r="G16" i="8"/>
  <c r="G15" i="8"/>
  <c r="G14" i="8"/>
  <c r="G13" i="8"/>
  <c r="G12" i="8"/>
  <c r="G11" i="8"/>
  <c r="G10" i="8"/>
  <c r="G9" i="8"/>
  <c r="G8" i="8"/>
  <c r="P119" i="7"/>
  <c r="O119" i="7"/>
  <c r="O120" i="7" s="1"/>
  <c r="N119" i="7"/>
  <c r="M119" i="7"/>
  <c r="H47" i="7" s="1"/>
  <c r="I49" i="7" s="1"/>
  <c r="Q111" i="7"/>
  <c r="H85" i="7"/>
  <c r="E85" i="7"/>
  <c r="A85" i="7"/>
  <c r="L68" i="7"/>
  <c r="H52" i="7" s="1"/>
  <c r="H53" i="7"/>
  <c r="S46" i="7"/>
  <c r="I44" i="7"/>
  <c r="H43" i="7"/>
  <c r="I30" i="7"/>
  <c r="I38" i="7" s="1"/>
  <c r="G24" i="7"/>
  <c r="G23" i="7"/>
  <c r="G22" i="7"/>
  <c r="G21" i="7"/>
  <c r="G20" i="7"/>
  <c r="U16" i="7"/>
  <c r="T16" i="7"/>
  <c r="G16" i="7"/>
  <c r="G15" i="7"/>
  <c r="G14" i="7"/>
  <c r="G13" i="7"/>
  <c r="G12" i="7"/>
  <c r="G11" i="7"/>
  <c r="G10" i="7"/>
  <c r="G9" i="7"/>
  <c r="G8" i="7"/>
  <c r="H17" i="7" s="1"/>
  <c r="J56" i="18" l="1"/>
  <c r="I31" i="21"/>
  <c r="I56" i="21" s="1"/>
  <c r="I59" i="18"/>
  <c r="I30" i="16"/>
  <c r="I38" i="16" s="1"/>
  <c r="I30" i="15"/>
  <c r="I38" i="15" s="1"/>
  <c r="I45" i="15" s="1"/>
  <c r="I30" i="14"/>
  <c r="I38" i="14" s="1"/>
  <c r="I45" i="14" s="1"/>
  <c r="I30" i="12"/>
  <c r="I38" i="12" s="1"/>
  <c r="I45" i="12" s="1"/>
  <c r="I30" i="13"/>
  <c r="I38" i="13" s="1"/>
  <c r="I45" i="13" s="1"/>
  <c r="I30" i="11"/>
  <c r="I38" i="11" s="1"/>
  <c r="I45" i="11" s="1"/>
  <c r="I30" i="9"/>
  <c r="I38" i="9" s="1"/>
  <c r="I45" i="9" s="1"/>
  <c r="I30" i="8"/>
  <c r="I38" i="8" s="1"/>
  <c r="I45" i="8" s="1"/>
  <c r="I55" i="8"/>
  <c r="H17" i="8"/>
  <c r="H26" i="8"/>
  <c r="H26" i="7"/>
  <c r="I45" i="7"/>
  <c r="I55" i="7"/>
  <c r="I27" i="7"/>
  <c r="I57" i="7" s="1"/>
  <c r="I30" i="27" l="1"/>
  <c r="I38" i="27" s="1"/>
  <c r="I45" i="27" s="1"/>
  <c r="I30" i="28"/>
  <c r="I38" i="28" s="1"/>
  <c r="I45" i="28" s="1"/>
  <c r="J56" i="21"/>
  <c r="I31" i="22"/>
  <c r="I56" i="22" s="1"/>
  <c r="I59" i="21"/>
  <c r="I30" i="26"/>
  <c r="I38" i="26" s="1"/>
  <c r="I45" i="26" s="1"/>
  <c r="I30" i="25"/>
  <c r="I38" i="25" s="1"/>
  <c r="I45" i="25" s="1"/>
  <c r="I30" i="23"/>
  <c r="I38" i="23" s="1"/>
  <c r="I45" i="23" s="1"/>
  <c r="I30" i="24"/>
  <c r="I38" i="24" s="1"/>
  <c r="I45" i="24" s="1"/>
  <c r="I30" i="21"/>
  <c r="I38" i="21" s="1"/>
  <c r="I45" i="21" s="1"/>
  <c r="I30" i="22"/>
  <c r="I38" i="22" s="1"/>
  <c r="I45" i="22" s="1"/>
  <c r="I45" i="16"/>
  <c r="I30" i="18"/>
  <c r="I38" i="18" s="1"/>
  <c r="I45" i="18" s="1"/>
  <c r="I30" i="17"/>
  <c r="I38" i="17" s="1"/>
  <c r="I45" i="17" s="1"/>
  <c r="I27" i="8"/>
  <c r="I57" i="8" s="1"/>
  <c r="P119" i="6"/>
  <c r="O119" i="6"/>
  <c r="O120" i="6" s="1"/>
  <c r="N119" i="6"/>
  <c r="M119" i="6"/>
  <c r="H47" i="6" s="1"/>
  <c r="I49" i="6" s="1"/>
  <c r="Q111" i="6"/>
  <c r="H85" i="6"/>
  <c r="E85" i="6"/>
  <c r="A85" i="6"/>
  <c r="L68" i="6"/>
  <c r="H52" i="6" s="1"/>
  <c r="H53" i="6"/>
  <c r="S46" i="6"/>
  <c r="H43" i="6"/>
  <c r="I44" i="6" s="1"/>
  <c r="I45" i="6" s="1"/>
  <c r="I30" i="6"/>
  <c r="G24" i="6"/>
  <c r="G23" i="6"/>
  <c r="G22" i="6"/>
  <c r="G21" i="6"/>
  <c r="G20" i="6"/>
  <c r="U16" i="6"/>
  <c r="T16" i="6"/>
  <c r="G16" i="6"/>
  <c r="G15" i="6"/>
  <c r="G14" i="6"/>
  <c r="G13" i="6"/>
  <c r="G12" i="6"/>
  <c r="G11" i="6"/>
  <c r="G10" i="6"/>
  <c r="G9" i="6"/>
  <c r="G8" i="6"/>
  <c r="J56" i="22" l="1"/>
  <c r="I59" i="22"/>
  <c r="H17" i="6"/>
  <c r="H26" i="6"/>
  <c r="I27" i="6" s="1"/>
  <c r="I57" i="6" s="1"/>
  <c r="I55" i="6"/>
  <c r="E8" i="5"/>
  <c r="E9" i="5"/>
  <c r="P119" i="5" l="1"/>
  <c r="O119" i="5"/>
  <c r="O120" i="5" s="1"/>
  <c r="N119" i="5"/>
  <c r="M119" i="5"/>
  <c r="H47" i="5" s="1"/>
  <c r="I49" i="5" s="1"/>
  <c r="Q111" i="5"/>
  <c r="H85" i="5"/>
  <c r="E85" i="5"/>
  <c r="A85" i="5"/>
  <c r="L68" i="5"/>
  <c r="H53" i="5"/>
  <c r="H52" i="5"/>
  <c r="S46" i="5"/>
  <c r="H43" i="5"/>
  <c r="I44" i="5" s="1"/>
  <c r="I45" i="5" s="1"/>
  <c r="I30" i="5"/>
  <c r="G24" i="5"/>
  <c r="E23" i="5"/>
  <c r="G23" i="5" s="1"/>
  <c r="E22" i="5"/>
  <c r="G22" i="5" s="1"/>
  <c r="G21" i="5"/>
  <c r="G20" i="5"/>
  <c r="H26" i="5" s="1"/>
  <c r="U16" i="5"/>
  <c r="T16" i="5"/>
  <c r="G16" i="5"/>
  <c r="G15" i="5"/>
  <c r="G14" i="5"/>
  <c r="G13" i="5"/>
  <c r="G12" i="5"/>
  <c r="G11" i="5"/>
  <c r="G10" i="5"/>
  <c r="G9" i="5"/>
  <c r="G8" i="5"/>
  <c r="H17" i="5" l="1"/>
  <c r="I27" i="5" s="1"/>
  <c r="I57" i="5" s="1"/>
  <c r="I55" i="5"/>
  <c r="E8" i="4"/>
  <c r="G8" i="4" s="1"/>
  <c r="H43" i="4"/>
  <c r="P119" i="4"/>
  <c r="O119" i="4"/>
  <c r="O120" i="4" s="1"/>
  <c r="N119" i="4"/>
  <c r="M119" i="4"/>
  <c r="H47" i="4" s="1"/>
  <c r="I49" i="4" s="1"/>
  <c r="Q111" i="4"/>
  <c r="H85" i="4"/>
  <c r="E85" i="4"/>
  <c r="A85" i="4"/>
  <c r="L68" i="4"/>
  <c r="H52" i="4" s="1"/>
  <c r="H53" i="4"/>
  <c r="S46" i="4"/>
  <c r="I44" i="4"/>
  <c r="I45" i="4" s="1"/>
  <c r="I30" i="4"/>
  <c r="G24" i="4"/>
  <c r="E23" i="4"/>
  <c r="G23" i="4" s="1"/>
  <c r="E22" i="4"/>
  <c r="G22" i="4" s="1"/>
  <c r="G21" i="4"/>
  <c r="G20" i="4"/>
  <c r="U16" i="4"/>
  <c r="T16" i="4"/>
  <c r="G16" i="4"/>
  <c r="G15" i="4"/>
  <c r="G14" i="4"/>
  <c r="G13" i="4"/>
  <c r="G12" i="4"/>
  <c r="G11" i="4"/>
  <c r="G10" i="4"/>
  <c r="G9" i="4"/>
  <c r="P119" i="1"/>
  <c r="O119" i="1"/>
  <c r="O120" i="1" s="1"/>
  <c r="N119" i="1"/>
  <c r="M119" i="1"/>
  <c r="Q111" i="1"/>
  <c r="H85" i="1"/>
  <c r="E85" i="1"/>
  <c r="A85" i="1"/>
  <c r="L68" i="1"/>
  <c r="H53" i="1"/>
  <c r="H52" i="1"/>
  <c r="H47" i="1"/>
  <c r="I49" i="1" s="1"/>
  <c r="S46" i="1"/>
  <c r="I44" i="1"/>
  <c r="I45" i="1" s="1"/>
  <c r="I31" i="1"/>
  <c r="I30" i="1"/>
  <c r="G24" i="1"/>
  <c r="E23" i="1"/>
  <c r="G23" i="1" s="1"/>
  <c r="E22" i="1"/>
  <c r="G22" i="1" s="1"/>
  <c r="G21" i="1"/>
  <c r="G20" i="1"/>
  <c r="U16" i="1"/>
  <c r="T16" i="1"/>
  <c r="G16" i="1"/>
  <c r="G15" i="1"/>
  <c r="G14" i="1"/>
  <c r="G13" i="1"/>
  <c r="G12" i="1"/>
  <c r="G11" i="1"/>
  <c r="G10" i="1"/>
  <c r="G9" i="1"/>
  <c r="G8" i="1"/>
  <c r="H17" i="1" s="1"/>
  <c r="I55" i="1" l="1"/>
  <c r="I56" i="1" s="1"/>
  <c r="H26" i="4"/>
  <c r="H17" i="4"/>
  <c r="I27" i="4" s="1"/>
  <c r="I57" i="4" s="1"/>
  <c r="I31" i="5" s="1"/>
  <c r="I56" i="5" s="1"/>
  <c r="I55" i="4"/>
  <c r="H26" i="1"/>
  <c r="I27" i="1" s="1"/>
  <c r="I57" i="1" s="1"/>
  <c r="I31" i="4" s="1"/>
  <c r="I31" i="6" l="1"/>
  <c r="I56" i="6" s="1"/>
  <c r="J56" i="5"/>
  <c r="I59" i="5"/>
  <c r="I56" i="4"/>
  <c r="I59" i="1"/>
  <c r="I59" i="4"/>
  <c r="J56" i="6" l="1"/>
  <c r="I31" i="7"/>
  <c r="I56" i="7" s="1"/>
  <c r="I59" i="6"/>
  <c r="J56" i="7" l="1"/>
  <c r="I31" i="8"/>
  <c r="I56" i="8" s="1"/>
  <c r="I59" i="7"/>
  <c r="J56" i="8" l="1"/>
  <c r="I31" i="9"/>
  <c r="I56" i="9" s="1"/>
  <c r="I59" i="8"/>
  <c r="I59" i="9" l="1"/>
  <c r="J56" i="9"/>
</calcChain>
</file>

<file path=xl/sharedStrings.xml><?xml version="1.0" encoding="utf-8"?>
<sst xmlns="http://schemas.openxmlformats.org/spreadsheetml/2006/main" count="1864" uniqueCount="76">
  <si>
    <t>CASH OPNAME</t>
  </si>
  <si>
    <t>Hari             :</t>
  </si>
  <si>
    <t xml:space="preserve">Jum'at </t>
  </si>
  <si>
    <t>Tanggal    :</t>
  </si>
  <si>
    <t>Pelaksana    :</t>
  </si>
  <si>
    <t>Keuangan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</si>
  <si>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</si>
  <si>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</si>
  <si>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</si>
  <si>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</si>
  <si>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</si>
  <si>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</si>
  <si>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</si>
  <si>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</si>
  <si>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</si>
  <si>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</si>
  <si>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</si>
  <si>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</si>
  <si>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No Bukti</t>
  </si>
  <si>
    <t>lebih</t>
  </si>
  <si>
    <t>kurang</t>
  </si>
  <si>
    <t>MUTASI</t>
  </si>
  <si>
    <t>Sub Total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</si>
  <si>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</si>
  <si>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</si>
  <si>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</si>
  <si>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</si>
  <si>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</si>
  <si>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</si>
  <si>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</si>
  <si>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</si>
  <si>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</si>
  <si>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</si>
  <si>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</si>
  <si>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</si>
  <si>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</si>
  <si>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</si>
  <si>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</si>
  <si>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</si>
  <si>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</si>
  <si>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</si>
  <si>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</si>
  <si>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</si>
  <si>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</si>
  <si>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</si>
  <si>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</si>
  <si>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</si>
  <si>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</si>
  <si>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</si>
  <si>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</si>
  <si>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</si>
  <si>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</si>
  <si>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S.E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</si>
  <si>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</si>
  <si>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</si>
  <si>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</si>
  <si>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</si>
  <si>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</si>
  <si>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</si>
  <si>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</si>
  <si>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 xml:space="preserve">Sabtu </t>
  </si>
  <si>
    <t xml:space="preserve">Minggu </t>
  </si>
  <si>
    <t xml:space="preserve">Senin </t>
  </si>
  <si>
    <t>Selasa</t>
  </si>
  <si>
    <t>Rabu</t>
  </si>
  <si>
    <t xml:space="preserve">Kamis </t>
  </si>
  <si>
    <t>1. Wafa Tsamrotul F</t>
  </si>
  <si>
    <t xml:space="preserve">Selasa </t>
  </si>
  <si>
    <t xml:space="preserve">Rabu </t>
  </si>
  <si>
    <t>Jum'at</t>
  </si>
  <si>
    <t>Hari              :</t>
  </si>
  <si>
    <t>Senin</t>
  </si>
  <si>
    <t>Kamis</t>
  </si>
  <si>
    <t>1. Wafa Tsamrotul Fuadah</t>
  </si>
  <si>
    <t>Sabtu</t>
  </si>
  <si>
    <t>Roni 49821-49837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</si>
</sst>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&quot;Rp&quot;#,##0"/>
  </numFmts>
  <fonts count="2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0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79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41" fontId="3" fillId="0" borderId="0" xfId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41" fontId="3" fillId="0" borderId="0" xfId="1" applyFont="1" applyFill="1" applyAlignment="1"/>
    <xf numFmtId="41" fontId="5" fillId="0" borderId="0" xfId="4" applyNumberFormat="1" applyFont="1"/>
    <xf numFmtId="41" fontId="6" fillId="0" borderId="0" xfId="4" applyNumberFormat="1" applyFont="1" applyFill="1" applyAlignment="1">
      <alignment horizontal="right"/>
    </xf>
    <xf numFmtId="0" fontId="3" fillId="0" borderId="0" xfId="3" applyNumberFormat="1" applyFont="1" applyFill="1" applyBorder="1"/>
    <xf numFmtId="41" fontId="3" fillId="0" borderId="1" xfId="3" applyNumberFormat="1" applyFont="1" applyFill="1" applyBorder="1" applyAlignment="1"/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/>
    <xf numFmtId="0" fontId="11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right"/>
    </xf>
    <xf numFmtId="41" fontId="12" fillId="3" borderId="1" xfId="3" applyNumberFormat="1" applyFont="1" applyFill="1" applyBorder="1" applyAlignment="1">
      <alignment horizontal="center"/>
    </xf>
    <xf numFmtId="41" fontId="13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6" fillId="0" borderId="1" xfId="5" applyFont="1" applyBorder="1" applyAlignment="1">
      <alignment vertical="center" wrapText="1"/>
    </xf>
    <xf numFmtId="3" fontId="17" fillId="0" borderId="1" xfId="0" applyNumberFormat="1" applyFont="1" applyBorder="1" applyAlignment="1">
      <alignment horizontal="right" vertical="center" wrapText="1"/>
    </xf>
    <xf numFmtId="41" fontId="7" fillId="3" borderId="0" xfId="0" applyNumberFormat="1" applyFont="1" applyFill="1"/>
    <xf numFmtId="0" fontId="17" fillId="0" borderId="1" xfId="5" applyFont="1" applyBorder="1" applyAlignment="1">
      <alignment vertical="center" wrapText="1"/>
    </xf>
    <xf numFmtId="41" fontId="17" fillId="0" borderId="1" xfId="1" applyFont="1" applyBorder="1" applyAlignment="1">
      <alignment vertical="center"/>
    </xf>
    <xf numFmtId="41" fontId="7" fillId="3" borderId="5" xfId="0" applyNumberFormat="1" applyFont="1" applyFill="1" applyBorder="1"/>
    <xf numFmtId="41" fontId="7" fillId="0" borderId="0" xfId="4" applyNumberFormat="1" applyFont="1" applyFill="1" applyBorder="1"/>
    <xf numFmtId="0" fontId="5" fillId="0" borderId="0" xfId="0" applyFont="1" applyBorder="1"/>
    <xf numFmtId="41" fontId="3" fillId="0" borderId="0" xfId="3" applyNumberFormat="1" applyFont="1" applyFill="1" applyBorder="1"/>
    <xf numFmtId="0" fontId="5" fillId="0" borderId="0" xfId="4" applyFont="1" applyBorder="1"/>
    <xf numFmtId="41" fontId="7" fillId="3" borderId="3" xfId="0" applyNumberFormat="1" applyFont="1" applyFill="1" applyBorder="1"/>
    <xf numFmtId="41" fontId="7" fillId="0" borderId="1" xfId="1" applyFont="1" applyFill="1" applyBorder="1" applyAlignment="1">
      <alignment horizontal="center" wrapText="1"/>
    </xf>
    <xf numFmtId="41" fontId="17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17" fillId="0" borderId="1" xfId="1" applyFont="1" applyBorder="1" applyAlignment="1">
      <alignment horizontal="right" vertical="center" wrapText="1"/>
    </xf>
    <xf numFmtId="41" fontId="3" fillId="0" borderId="0" xfId="3" applyNumberFormat="1" applyFont="1" applyFill="1"/>
    <xf numFmtId="41" fontId="18" fillId="3" borderId="1" xfId="1" applyFont="1" applyFill="1" applyBorder="1" applyAlignment="1">
      <alignment horizontal="left"/>
    </xf>
    <xf numFmtId="0" fontId="16" fillId="0" borderId="1" xfId="5" applyFont="1" applyBorder="1" applyAlignment="1">
      <alignment vertical="center"/>
    </xf>
    <xf numFmtId="41" fontId="7" fillId="0" borderId="1" xfId="1" quotePrefix="1" applyFont="1" applyFill="1" applyBorder="1" applyAlignment="1">
      <alignment horizontal="center" wrapText="1"/>
    </xf>
    <xf numFmtId="41" fontId="17" fillId="0" borderId="1" xfId="1" applyFont="1" applyBorder="1" applyAlignment="1">
      <alignment vertical="center" wrapText="1"/>
    </xf>
    <xf numFmtId="0" fontId="15" fillId="0" borderId="1" xfId="5" applyBorder="1" applyAlignment="1">
      <alignment horizontal="center" wrapText="1"/>
    </xf>
    <xf numFmtId="0" fontId="19" fillId="0" borderId="1" xfId="5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0" fontId="0" fillId="0" borderId="1" xfId="0" applyBorder="1"/>
    <xf numFmtId="41" fontId="5" fillId="0" borderId="1" xfId="1" applyFont="1" applyFill="1" applyBorder="1"/>
    <xf numFmtId="41" fontId="3" fillId="0" borderId="1" xfId="1" applyFont="1" applyFill="1" applyBorder="1"/>
    <xf numFmtId="41" fontId="3" fillId="0" borderId="6" xfId="3" applyNumberFormat="1" applyFont="1" applyBorder="1" applyAlignment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164" fontId="3" fillId="0" borderId="0" xfId="3" applyNumberFormat="1" applyFont="1" applyBorder="1" applyAlignment="1"/>
    <xf numFmtId="41" fontId="20" fillId="0" borderId="1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20" fillId="0" borderId="0" xfId="1" quotePrefix="1" applyFont="1" applyFill="1" applyBorder="1" applyAlignment="1">
      <alignment horizontal="center" wrapText="1"/>
    </xf>
    <xf numFmtId="3" fontId="0" fillId="0" borderId="0" xfId="0" applyNumberFormat="1" applyAlignment="1">
      <alignment horizontal="right" wrapText="1"/>
    </xf>
    <xf numFmtId="42" fontId="5" fillId="0" borderId="0" xfId="4" applyNumberFormat="1" applyFont="1"/>
    <xf numFmtId="0" fontId="14" fillId="3" borderId="1" xfId="0" applyFont="1" applyFill="1" applyBorder="1" applyAlignment="1">
      <alignment horizontal="right" vertical="center" wrapText="1"/>
    </xf>
    <xf numFmtId="0" fontId="17" fillId="0" borderId="3" xfId="0" applyFont="1" applyBorder="1" applyAlignment="1">
      <alignment horizontal="right" wrapText="1"/>
    </xf>
    <xf numFmtId="164" fontId="3" fillId="0" borderId="6" xfId="3" applyNumberFormat="1" applyFont="1" applyBorder="1" applyAlignment="1"/>
    <xf numFmtId="164" fontId="21" fillId="0" borderId="0" xfId="3" applyNumberFormat="1" applyFont="1" applyBorder="1" applyAlignment="1"/>
    <xf numFmtId="0" fontId="17" fillId="0" borderId="1" xfId="0" applyFont="1" applyBorder="1" applyAlignment="1">
      <alignment vertical="center"/>
    </xf>
    <xf numFmtId="164" fontId="21" fillId="0" borderId="0" xfId="3" applyNumberFormat="1" applyFont="1" applyAlignment="1"/>
    <xf numFmtId="164" fontId="9" fillId="0" borderId="0" xfId="3" applyNumberFormat="1" applyFont="1" applyAlignment="1"/>
    <xf numFmtId="0" fontId="17" fillId="0" borderId="1" xfId="0" applyFont="1" applyBorder="1" applyAlignment="1">
      <alignment vertical="center" wrapText="1"/>
    </xf>
    <xf numFmtId="41" fontId="22" fillId="0" borderId="0" xfId="2" applyNumberFormat="1" applyFont="1" applyFill="1" applyBorder="1"/>
    <xf numFmtId="41" fontId="3" fillId="3" borderId="0" xfId="3" applyNumberFormat="1" applyFont="1" applyFill="1"/>
    <xf numFmtId="164" fontId="3" fillId="0" borderId="6" xfId="6" applyNumberFormat="1" applyFont="1" applyFill="1" applyBorder="1" applyAlignment="1">
      <alignment horizontal="left"/>
    </xf>
    <xf numFmtId="164" fontId="17" fillId="0" borderId="1" xfId="0" applyNumberFormat="1" applyFont="1" applyBorder="1" applyAlignment="1">
      <alignment vertical="center" wrapText="1"/>
    </xf>
    <xf numFmtId="0" fontId="5" fillId="0" borderId="0" xfId="4" applyFont="1" applyFill="1"/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7" fillId="3" borderId="1" xfId="0" applyNumberFormat="1" applyFont="1" applyFill="1" applyBorder="1"/>
    <xf numFmtId="0" fontId="3" fillId="0" borderId="0" xfId="3" quotePrefix="1" applyFont="1" applyAlignment="1"/>
    <xf numFmtId="0" fontId="17" fillId="0" borderId="1" xfId="0" applyFont="1" applyBorder="1" applyAlignment="1">
      <alignment wrapText="1"/>
    </xf>
    <xf numFmtId="164" fontId="17" fillId="0" borderId="1" xfId="0" applyNumberFormat="1" applyFont="1" applyBorder="1" applyAlignment="1">
      <alignment wrapText="1"/>
    </xf>
    <xf numFmtId="164" fontId="17" fillId="0" borderId="2" xfId="0" applyNumberFormat="1" applyFont="1" applyBorder="1" applyAlignment="1">
      <alignment wrapText="1"/>
    </xf>
    <xf numFmtId="42" fontId="5" fillId="0" borderId="0" xfId="0" applyNumberFormat="1" applyFont="1"/>
    <xf numFmtId="0" fontId="17" fillId="0" borderId="2" xfId="0" applyFont="1" applyBorder="1" applyAlignment="1">
      <alignment wrapText="1"/>
    </xf>
    <xf numFmtId="41" fontId="7" fillId="3" borderId="0" xfId="4" applyNumberFormat="1" applyFont="1" applyFill="1"/>
    <xf numFmtId="0" fontId="0" fillId="0" borderId="0" xfId="0" applyAlignment="1">
      <alignment wrapText="1"/>
    </xf>
    <xf numFmtId="41" fontId="7" fillId="0" borderId="0" xfId="0" applyNumberFormat="1" applyFont="1"/>
    <xf numFmtId="42" fontId="3" fillId="0" borderId="0" xfId="3" applyNumberFormat="1" applyFont="1"/>
    <xf numFmtId="164" fontId="3" fillId="0" borderId="0" xfId="3" applyNumberFormat="1" applyFont="1" applyFill="1" applyAlignment="1"/>
    <xf numFmtId="3" fontId="17" fillId="4" borderId="1" xfId="0" applyNumberFormat="1" applyFont="1" applyFill="1" applyBorder="1" applyAlignment="1">
      <alignment horizontal="right" wrapText="1"/>
    </xf>
    <xf numFmtId="41" fontId="7" fillId="0" borderId="1" xfId="0" applyNumberFormat="1" applyFont="1" applyBorder="1"/>
    <xf numFmtId="0" fontId="23" fillId="0" borderId="0" xfId="3" applyFont="1" applyAlignment="1">
      <alignment horizontal="left"/>
    </xf>
    <xf numFmtId="0" fontId="23" fillId="0" borderId="0" xfId="3" applyFont="1"/>
    <xf numFmtId="0" fontId="3" fillId="0" borderId="0" xfId="3" applyFont="1"/>
    <xf numFmtId="0" fontId="6" fillId="0" borderId="1" xfId="0" applyFont="1" applyFill="1" applyBorder="1" applyAlignment="1">
      <alignment horizontal="right"/>
    </xf>
    <xf numFmtId="0" fontId="7" fillId="0" borderId="0" xfId="0" applyFont="1"/>
    <xf numFmtId="3" fontId="0" fillId="0" borderId="1" xfId="0" applyNumberFormat="1" applyBorder="1"/>
    <xf numFmtId="0" fontId="7" fillId="0" borderId="0" xfId="3" applyFont="1" applyAlignment="1">
      <alignment horizontal="left"/>
    </xf>
    <xf numFmtId="0" fontId="16" fillId="0" borderId="0" xfId="5" applyFont="1" applyBorder="1" applyAlignment="1">
      <alignment vertical="center" wrapText="1"/>
    </xf>
    <xf numFmtId="166" fontId="0" fillId="0" borderId="1" xfId="0" applyNumberFormat="1" applyBorder="1"/>
    <xf numFmtId="0" fontId="15" fillId="0" borderId="0" xfId="5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0" fontId="17" fillId="0" borderId="0" xfId="0" applyFont="1" applyBorder="1" applyAlignment="1">
      <alignment vertical="center"/>
    </xf>
    <xf numFmtId="41" fontId="3" fillId="0" borderId="0" xfId="3" applyNumberFormat="1" applyFont="1" applyBorder="1"/>
    <xf numFmtId="164" fontId="5" fillId="0" borderId="0" xfId="4" applyNumberFormat="1" applyFont="1"/>
    <xf numFmtId="0" fontId="24" fillId="0" borderId="0" xfId="3" applyFont="1" applyBorder="1"/>
    <xf numFmtId="164" fontId="25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3" fontId="17" fillId="0" borderId="0" xfId="0" applyNumberFormat="1" applyFont="1" applyBorder="1" applyAlignment="1">
      <alignment horizontal="right" vertical="center" wrapText="1"/>
    </xf>
    <xf numFmtId="41" fontId="22" fillId="0" borderId="0" xfId="0" applyNumberFormat="1" applyFont="1"/>
    <xf numFmtId="0" fontId="26" fillId="0" borderId="0" xfId="4" applyFont="1"/>
    <xf numFmtId="42" fontId="22" fillId="0" borderId="0" xfId="4" applyNumberFormat="1" applyFont="1"/>
    <xf numFmtId="0" fontId="16" fillId="0" borderId="1" xfId="5" applyFont="1" applyBorder="1" applyAlignment="1">
      <alignment wrapText="1"/>
    </xf>
    <xf numFmtId="3" fontId="17" fillId="0" borderId="5" xfId="0" applyNumberFormat="1" applyFont="1" applyBorder="1" applyAlignment="1">
      <alignment horizontal="right" vertical="center" wrapText="1"/>
    </xf>
    <xf numFmtId="0" fontId="26" fillId="0" borderId="0" xfId="0" applyFont="1"/>
    <xf numFmtId="42" fontId="26" fillId="0" borderId="0" xfId="4" applyNumberFormat="1" applyFont="1"/>
    <xf numFmtId="0" fontId="17" fillId="0" borderId="1" xfId="0" applyFont="1" applyBorder="1"/>
    <xf numFmtId="42" fontId="26" fillId="0" borderId="0" xfId="0" applyNumberFormat="1" applyFont="1"/>
    <xf numFmtId="42" fontId="7" fillId="0" borderId="0" xfId="0" applyNumberFormat="1" applyFont="1"/>
    <xf numFmtId="0" fontId="22" fillId="0" borderId="0" xfId="0" applyFont="1"/>
    <xf numFmtId="42" fontId="22" fillId="0" borderId="0" xfId="0" applyNumberFormat="1" applyFont="1"/>
    <xf numFmtId="41" fontId="7" fillId="0" borderId="0" xfId="2" applyNumberFormat="1" applyFont="1" applyFill="1"/>
    <xf numFmtId="41" fontId="27" fillId="0" borderId="0" xfId="0" applyNumberFormat="1" applyFont="1"/>
    <xf numFmtId="0" fontId="5" fillId="0" borderId="1" xfId="0" applyFont="1" applyBorder="1" applyAlignment="1">
      <alignment horizontal="center"/>
    </xf>
    <xf numFmtId="41" fontId="5" fillId="0" borderId="0" xfId="0" applyNumberFormat="1" applyFont="1"/>
    <xf numFmtId="3" fontId="17" fillId="0" borderId="1" xfId="0" applyNumberFormat="1" applyFont="1" applyBorder="1" applyAlignment="1">
      <alignment horizontal="right" wrapText="1"/>
    </xf>
    <xf numFmtId="3" fontId="17" fillId="0" borderId="0" xfId="0" applyNumberFormat="1" applyFont="1" applyAlignment="1">
      <alignment horizontal="right" wrapText="1"/>
    </xf>
    <xf numFmtId="41" fontId="6" fillId="0" borderId="1" xfId="1" applyFont="1" applyFill="1" applyBorder="1" applyAlignment="1">
      <alignment horizontal="right"/>
    </xf>
    <xf numFmtId="41" fontId="6" fillId="0" borderId="0" xfId="1" applyFont="1" applyFill="1" applyAlignment="1">
      <alignment horizontal="right"/>
    </xf>
    <xf numFmtId="41" fontId="6" fillId="0" borderId="1" xfId="0" applyNumberFormat="1" applyFont="1" applyFill="1" applyBorder="1" applyAlignment="1">
      <alignment horizontal="right"/>
    </xf>
    <xf numFmtId="41" fontId="6" fillId="0" borderId="0" xfId="0" applyNumberFormat="1" applyFont="1" applyFill="1" applyAlignment="1">
      <alignment horizontal="right"/>
    </xf>
    <xf numFmtId="166" fontId="6" fillId="0" borderId="1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41" fontId="18" fillId="3" borderId="3" xfId="1" applyFont="1" applyFill="1" applyBorder="1" applyAlignment="1">
      <alignment horizontal="left"/>
    </xf>
    <xf numFmtId="166" fontId="0" fillId="0" borderId="1" xfId="0" applyNumberFormat="1" applyBorder="1" applyAlignment="1">
      <alignment horizontal="right" wrapText="1"/>
    </xf>
    <xf numFmtId="166" fontId="17" fillId="0" borderId="1" xfId="1" applyNumberFormat="1" applyFont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41" fontId="0" fillId="0" borderId="1" xfId="1" applyFont="1" applyBorder="1" applyAlignment="1">
      <alignment horizontal="right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0" fillId="0" borderId="1" xfId="1" applyFont="1" applyBorder="1" applyAlignment="1">
      <alignment wrapText="1"/>
    </xf>
    <xf numFmtId="0" fontId="0" fillId="0" borderId="1" xfId="0" applyBorder="1" applyAlignment="1"/>
    <xf numFmtId="41" fontId="0" fillId="0" borderId="1" xfId="0" applyNumberFormat="1" applyBorder="1" applyAlignment="1">
      <alignment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6" fillId="0" borderId="3" xfId="4" applyFont="1" applyFill="1" applyBorder="1" applyAlignment="1">
      <alignment horizontal="center"/>
    </xf>
    <xf numFmtId="41" fontId="7" fillId="0" borderId="2" xfId="4" applyNumberFormat="1" applyFont="1" applyFill="1" applyBorder="1" applyAlignment="1">
      <alignment horizontal="center"/>
    </xf>
    <xf numFmtId="41" fontId="7" fillId="0" borderId="3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1.%20Co%20Daily%20-%20November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Nov"/>
      <sheetName val="02 Nov"/>
      <sheetName val="03 nOV"/>
      <sheetName val="04 nOV"/>
      <sheetName val="5 Nov"/>
      <sheetName val="6 Nov"/>
      <sheetName val="7 Nov"/>
      <sheetName val="8 Nov"/>
      <sheetName val="9 Nov"/>
      <sheetName val="10 Nov"/>
      <sheetName val="12 Nov"/>
      <sheetName val="13 Nov"/>
      <sheetName val="14 Nov"/>
      <sheetName val="15 Nov"/>
      <sheetName val="16 Nov (2)"/>
      <sheetName val="17 Nov"/>
      <sheetName val="18 Nov"/>
      <sheetName val="19 Nov"/>
      <sheetName val="21 Nov"/>
      <sheetName val="22 Nov"/>
      <sheetName val="23 Nov"/>
      <sheetName val="24 Nov"/>
      <sheetName val="25 Nov"/>
      <sheetName val="26 Nov"/>
      <sheetName val="27 Nov "/>
      <sheetName val="28 Nov"/>
      <sheetName val="29 Nov "/>
      <sheetName val="30 Nov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8">
          <cell r="I38">
            <v>1029017793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>
        <row r="56">
          <cell r="I56">
            <v>61848300</v>
          </cell>
        </row>
      </sheetData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topLeftCell="D13" workbookViewId="0">
      <selection activeCell="M14" sqref="M1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43434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676</v>
      </c>
      <c r="F8" s="21"/>
      <c r="G8" s="16">
        <f t="shared" ref="G8:G16" si="0">C8*E8</f>
        <v>67600000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222</v>
      </c>
      <c r="F9" s="21"/>
      <c r="G9" s="16">
        <f t="shared" si="0"/>
        <v>11100000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31</v>
      </c>
      <c r="F11" s="21"/>
      <c r="G11" s="16">
        <f t="shared" si="0"/>
        <v>310000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82</v>
      </c>
      <c r="F12" s="21"/>
      <c r="G12" s="16">
        <f t="shared" si="0"/>
        <v>410000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7"/>
      <c r="J13" s="37"/>
      <c r="K13" s="38"/>
      <c r="L13" s="39">
        <v>19975000</v>
      </c>
      <c r="M13" s="40">
        <v>1480000</v>
      </c>
      <c r="N13" s="41"/>
      <c r="O13" s="42">
        <v>2275000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>
        <v>-2275000</v>
      </c>
      <c r="M14" s="48">
        <v>3190000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>
        <v>3000000</v>
      </c>
      <c r="M15" s="48">
        <v>250000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>
        <v>150000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79420000</v>
      </c>
      <c r="I17" s="9"/>
      <c r="J17" s="37"/>
      <c r="K17" s="38"/>
      <c r="L17" s="39"/>
      <c r="M17" s="54">
        <v>68000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58"/>
      <c r="K20" s="64"/>
      <c r="L20" s="52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526</v>
      </c>
      <c r="F21" s="7"/>
      <c r="G21" s="22">
        <f>C21*E21</f>
        <v>263000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265300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79685300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+'[1]21 Nov'!I38</f>
        <v>1029017793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+'[1]29 Nov '!I56</f>
        <v>61848300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v>1029468993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v>100904136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322362593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1351831586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5138000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5138000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20700000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2275000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22975000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79685300</v>
      </c>
      <c r="J56" s="95"/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79685300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20700000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5138000</v>
      </c>
      <c r="N119" s="146">
        <f>SUM(N13:N118)</f>
        <v>0</v>
      </c>
      <c r="O119" s="146">
        <f>SUM(O13:O118)</f>
        <v>2275000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4550000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9" zoomScaleNormal="100" zoomScaleSheetLayoutView="100" workbookViewId="0">
      <selection activeCell="A66" sqref="A6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5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43443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2-2+140+266+5</f>
        <v>411</v>
      </c>
      <c r="F8" s="21"/>
      <c r="G8" s="16">
        <f t="shared" ref="G8:G16" si="0">C8*E8</f>
        <v>41100000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27-6+281+178+5</f>
        <v>485</v>
      </c>
      <c r="F9" s="21"/>
      <c r="G9" s="16">
        <f t="shared" si="0"/>
        <v>24250000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f>64+5+2</f>
        <v>71</v>
      </c>
      <c r="F10" s="21"/>
      <c r="G10" s="16">
        <f t="shared" si="0"/>
        <v>1420000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f>22+5</f>
        <v>27</v>
      </c>
      <c r="F11" s="21"/>
      <c r="G11" s="16">
        <f t="shared" si="0"/>
        <v>270000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f>56+3+1</f>
        <v>60</v>
      </c>
      <c r="F12" s="21"/>
      <c r="G12" s="16">
        <f t="shared" si="0"/>
        <v>300000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C13" s="22">
        <v>2000</v>
      </c>
      <c r="D13" s="7"/>
      <c r="E13" s="21">
        <f>49+9</f>
        <v>58</v>
      </c>
      <c r="F13" s="21"/>
      <c r="G13" s="16">
        <f t="shared" si="0"/>
        <v>116000</v>
      </c>
      <c r="H13" s="8"/>
      <c r="I13" s="7"/>
      <c r="J13" s="37"/>
      <c r="K13" s="154"/>
      <c r="L13" s="159">
        <v>15090000</v>
      </c>
      <c r="M13" s="40">
        <v>220000</v>
      </c>
      <c r="N13" s="41"/>
      <c r="O13" s="42">
        <v>28435000</v>
      </c>
      <c r="P13" s="43"/>
      <c r="Q13" s="44"/>
      <c r="R13" s="45"/>
      <c r="S13" s="46"/>
      <c r="T13" s="47"/>
      <c r="U13" s="47"/>
    </row>
    <row r="14" spans="1:21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4"/>
      <c r="L14" s="159">
        <v>2400000</v>
      </c>
      <c r="M14" s="48"/>
      <c r="N14" s="41"/>
      <c r="O14" s="39"/>
      <c r="P14" s="49"/>
      <c r="Q14" s="50"/>
      <c r="R14" s="51"/>
    </row>
    <row r="15" spans="1:21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4"/>
      <c r="L15" s="159">
        <v>19025000</v>
      </c>
      <c r="M15" s="48"/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4"/>
      <c r="L16" s="159">
        <v>-28435000</v>
      </c>
      <c r="M16" s="155"/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67456000</v>
      </c>
      <c r="I17" s="9"/>
      <c r="J17" s="37"/>
      <c r="K17" s="154"/>
      <c r="L17" s="156"/>
      <c r="M17" s="155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4"/>
      <c r="L18" s="156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4"/>
      <c r="L19" s="156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1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f>501+3</f>
        <v>504</v>
      </c>
      <c r="F21" s="7"/>
      <c r="G21" s="22">
        <f>C21*E21</f>
        <v>252000</v>
      </c>
      <c r="H21" s="8"/>
      <c r="I21" s="22"/>
      <c r="J21" s="58"/>
      <c r="K21" s="153"/>
      <c r="L21" s="156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56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252000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67708000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+'8 Des'!I57</f>
        <v>31413000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/>
      <c r="I37" s="7" t="s">
        <v>7</v>
      </c>
      <c r="J37" s="37"/>
      <c r="K37" s="153"/>
      <c r="L37" s="159">
        <f>SUM(L13:L28)</f>
        <v>8080000</v>
      </c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220000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220000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8080000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28435000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36515000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67708000</v>
      </c>
      <c r="J56" s="95">
        <f>+I56-18000000</f>
        <v>49708000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67708000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220000</v>
      </c>
      <c r="N119" s="146">
        <f>SUM(N13:N118)</f>
        <v>0</v>
      </c>
      <c r="O119" s="146">
        <f>SUM(O13:O118)</f>
        <v>28435000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56870000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zoomScaleNormal="100" zoomScaleSheetLayoutView="100" workbookViewId="0">
      <selection activeCell="A66" sqref="A6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5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43444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400</v>
      </c>
      <c r="F8" s="21"/>
      <c r="G8" s="16">
        <f t="shared" ref="G8:G16" si="0">C8*E8</f>
        <v>40000000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430</v>
      </c>
      <c r="F9" s="21"/>
      <c r="G9" s="16">
        <f t="shared" si="0"/>
        <v>21500000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76</v>
      </c>
      <c r="F10" s="21"/>
      <c r="G10" s="16">
        <f t="shared" si="0"/>
        <v>1520000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28</v>
      </c>
      <c r="F11" s="21"/>
      <c r="G11" s="16">
        <f t="shared" si="0"/>
        <v>280000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58</v>
      </c>
      <c r="F12" s="21"/>
      <c r="G12" s="16">
        <f t="shared" si="0"/>
        <v>290000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C13" s="22">
        <v>2000</v>
      </c>
      <c r="D13" s="7"/>
      <c r="E13" s="21">
        <v>60</v>
      </c>
      <c r="F13" s="21"/>
      <c r="G13" s="16">
        <f t="shared" si="0"/>
        <v>120000</v>
      </c>
      <c r="H13" s="8"/>
      <c r="I13" s="7"/>
      <c r="J13" s="37"/>
      <c r="K13" s="154"/>
      <c r="L13" s="159">
        <v>14050000</v>
      </c>
      <c r="M13" s="40">
        <v>5160000</v>
      </c>
      <c r="N13" s="41"/>
      <c r="O13" s="42">
        <v>7675000</v>
      </c>
      <c r="P13" s="43"/>
      <c r="Q13" s="44"/>
      <c r="R13" s="45"/>
      <c r="S13" s="46"/>
      <c r="T13" s="47"/>
      <c r="U13" s="47"/>
    </row>
    <row r="14" spans="1:21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4"/>
      <c r="L14" s="159">
        <v>3250000</v>
      </c>
      <c r="M14" s="48">
        <v>350000</v>
      </c>
      <c r="N14" s="41"/>
      <c r="O14" s="39"/>
      <c r="P14" s="49"/>
      <c r="Q14" s="50"/>
      <c r="R14" s="51"/>
    </row>
    <row r="15" spans="1:21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4"/>
      <c r="L15" s="159">
        <v>-7675000</v>
      </c>
      <c r="M15" s="48">
        <v>700000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4"/>
      <c r="L16" s="159"/>
      <c r="M16" s="155">
        <v>850000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63710000</v>
      </c>
      <c r="I17" s="9"/>
      <c r="J17" s="37"/>
      <c r="K17" s="154"/>
      <c r="L17" s="156"/>
      <c r="M17" s="155">
        <v>50000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4"/>
      <c r="L18" s="156"/>
      <c r="M18" s="48">
        <v>14000000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4"/>
      <c r="L19" s="156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1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f>501+3</f>
        <v>504</v>
      </c>
      <c r="F21" s="7"/>
      <c r="G21" s="22">
        <f>C21*E21</f>
        <v>252000</v>
      </c>
      <c r="H21" s="8"/>
      <c r="I21" s="22"/>
      <c r="J21" s="58"/>
      <c r="K21" s="153"/>
      <c r="L21" s="156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56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252000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63962000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+'9 DEs18'!I56</f>
        <v>67708000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/>
      <c r="I37" s="7" t="s">
        <v>7</v>
      </c>
      <c r="J37" s="37"/>
      <c r="K37" s="153"/>
      <c r="L37" s="159">
        <f>SUM(L13:L28)</f>
        <v>9625000</v>
      </c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21110000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21110000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9625000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7675000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64000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17364000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63962000</v>
      </c>
      <c r="J56" s="95">
        <f>+I56-18000000</f>
        <v>45962000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63962000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21110000</v>
      </c>
      <c r="N119" s="146">
        <f>SUM(N13:N118)</f>
        <v>0</v>
      </c>
      <c r="O119" s="146">
        <f>SUM(O13:O118)</f>
        <v>7675000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15350000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0" zoomScaleNormal="100" zoomScaleSheetLayoutView="100" workbookViewId="0">
      <selection activeCell="H49" sqref="H4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6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43445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511</v>
      </c>
      <c r="F8" s="21"/>
      <c r="G8" s="16">
        <f t="shared" ref="G8:G16" si="0">C8*E8</f>
        <v>51100000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531</v>
      </c>
      <c r="F9" s="21"/>
      <c r="G9" s="16">
        <f t="shared" si="0"/>
        <v>26550000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77</v>
      </c>
      <c r="F10" s="21"/>
      <c r="G10" s="16">
        <f t="shared" si="0"/>
        <v>1540000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28</v>
      </c>
      <c r="F11" s="21"/>
      <c r="G11" s="16">
        <f t="shared" si="0"/>
        <v>280000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58</v>
      </c>
      <c r="F12" s="21"/>
      <c r="G12" s="16">
        <f t="shared" si="0"/>
        <v>290000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C13" s="22">
        <v>2000</v>
      </c>
      <c r="D13" s="7"/>
      <c r="E13" s="21">
        <v>60</v>
      </c>
      <c r="F13" s="21"/>
      <c r="G13" s="16">
        <f t="shared" si="0"/>
        <v>120000</v>
      </c>
      <c r="H13" s="8"/>
      <c r="I13" s="7"/>
      <c r="J13" s="37"/>
      <c r="K13" s="154"/>
      <c r="L13" s="159">
        <v>18625000</v>
      </c>
      <c r="M13" s="40">
        <v>99000</v>
      </c>
      <c r="N13" s="41"/>
      <c r="O13" s="42">
        <v>14985000</v>
      </c>
      <c r="P13" s="43"/>
      <c r="Q13" s="44"/>
      <c r="R13" s="45"/>
      <c r="S13" s="46"/>
      <c r="T13" s="47"/>
      <c r="U13" s="47"/>
    </row>
    <row r="14" spans="1:21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4"/>
      <c r="L14" s="159">
        <v>-14985000</v>
      </c>
      <c r="M14" s="48">
        <v>300000</v>
      </c>
      <c r="N14" s="41"/>
      <c r="O14" s="39"/>
      <c r="P14" s="49"/>
      <c r="Q14" s="50"/>
      <c r="R14" s="51"/>
    </row>
    <row r="15" spans="1:21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4"/>
      <c r="L15" s="159"/>
      <c r="M15" s="48">
        <v>1350000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4"/>
      <c r="L16" s="159"/>
      <c r="M16" s="155">
        <v>50000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79880000</v>
      </c>
      <c r="I17" s="9"/>
      <c r="J17" s="37"/>
      <c r="K17" s="154"/>
      <c r="L17" s="156"/>
      <c r="M17" s="155">
        <v>100000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4"/>
      <c r="L18" s="156"/>
      <c r="M18" s="48">
        <v>550000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4"/>
      <c r="L19" s="156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58"/>
      <c r="K20" s="64"/>
      <c r="L20" s="1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f>501+3</f>
        <v>504</v>
      </c>
      <c r="F21" s="7"/>
      <c r="G21" s="22">
        <f>C21*E21</f>
        <v>252000</v>
      </c>
      <c r="H21" s="8"/>
      <c r="I21" s="22"/>
      <c r="J21" s="58"/>
      <c r="K21" s="153"/>
      <c r="L21" s="156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56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253000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80133000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+'10 Des'!I56</f>
        <v>63962000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/>
      <c r="I37" s="7" t="s">
        <v>7</v>
      </c>
      <c r="J37" s="37"/>
      <c r="K37" s="153"/>
      <c r="L37" s="159">
        <f>SUM(L13:L28)</f>
        <v>3640000</v>
      </c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2449000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5000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2454000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3640000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14985000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18625000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80133000</v>
      </c>
      <c r="J56" s="95">
        <f>+I56-18000000</f>
        <v>62133000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80133000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2449000</v>
      </c>
      <c r="N119" s="146">
        <f>SUM(N13:N118)</f>
        <v>0</v>
      </c>
      <c r="O119" s="146">
        <f>SUM(O13:O118)</f>
        <v>14985000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29970000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43" zoomScaleNormal="100" zoomScaleSheetLayoutView="100" workbookViewId="0">
      <selection activeCell="E20" sqref="E20:E2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6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43446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303</v>
      </c>
      <c r="F8" s="21"/>
      <c r="G8" s="16">
        <f t="shared" ref="G8:G16" si="0">C8*E8</f>
        <v>30300000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464</v>
      </c>
      <c r="F9" s="21"/>
      <c r="G9" s="16">
        <f t="shared" si="0"/>
        <v>23200000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55</v>
      </c>
      <c r="F10" s="21"/>
      <c r="G10" s="16">
        <f t="shared" si="0"/>
        <v>1100000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28</v>
      </c>
      <c r="F11" s="21"/>
      <c r="G11" s="16">
        <f t="shared" si="0"/>
        <v>280000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47</v>
      </c>
      <c r="F12" s="21"/>
      <c r="G12" s="16">
        <f t="shared" si="0"/>
        <v>235000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C13" s="22">
        <v>2000</v>
      </c>
      <c r="D13" s="7"/>
      <c r="E13" s="21">
        <v>60</v>
      </c>
      <c r="F13" s="21"/>
      <c r="G13" s="16">
        <f t="shared" si="0"/>
        <v>120000</v>
      </c>
      <c r="H13" s="8"/>
      <c r="I13" s="7"/>
      <c r="J13" s="37"/>
      <c r="K13" s="154"/>
      <c r="L13" s="159">
        <v>50000000</v>
      </c>
      <c r="M13" s="40">
        <v>74645000</v>
      </c>
      <c r="N13" s="41"/>
      <c r="O13" s="42"/>
      <c r="P13" s="43"/>
      <c r="Q13" s="44"/>
      <c r="R13" s="45"/>
      <c r="S13" s="46"/>
      <c r="T13" s="47"/>
      <c r="U13" s="47"/>
    </row>
    <row r="14" spans="1:21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4"/>
      <c r="L14" s="159"/>
      <c r="M14" s="48"/>
      <c r="N14" s="41"/>
      <c r="O14" s="39"/>
      <c r="P14" s="49"/>
      <c r="Q14" s="50"/>
      <c r="R14" s="51"/>
    </row>
    <row r="15" spans="1:21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4"/>
      <c r="L15" s="159"/>
      <c r="M15" s="48"/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4"/>
      <c r="L16" s="159"/>
      <c r="M16" s="155"/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55235000</v>
      </c>
      <c r="I17" s="9"/>
      <c r="J17" s="37"/>
      <c r="K17" s="154"/>
      <c r="L17" s="156"/>
      <c r="M17" s="155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4"/>
      <c r="L18" s="156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4"/>
      <c r="L19" s="156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58"/>
      <c r="K20" s="64"/>
      <c r="L20" s="1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f>501+3</f>
        <v>504</v>
      </c>
      <c r="F21" s="7"/>
      <c r="G21" s="22">
        <f>C21*E21</f>
        <v>252000</v>
      </c>
      <c r="H21" s="8"/>
      <c r="I21" s="22"/>
      <c r="J21" s="58"/>
      <c r="K21" s="153"/>
      <c r="L21" s="156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56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253000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55488000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+'11 Des '!I56</f>
        <v>80133000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50000000</v>
      </c>
      <c r="I37" s="7" t="s">
        <v>7</v>
      </c>
      <c r="J37" s="37"/>
      <c r="K37" s="153"/>
      <c r="L37" s="159">
        <f>SUM(L13:L28)</f>
        <v>50000000</v>
      </c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1116132807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74645000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74645000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50000000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50000000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55488000</v>
      </c>
      <c r="J56" s="95">
        <f>+I56-18000000</f>
        <v>37488000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55488000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74645000</v>
      </c>
      <c r="N119" s="146">
        <f>SUM(N13:N118)</f>
        <v>0</v>
      </c>
      <c r="O119" s="146">
        <f>SUM(O13:O118)</f>
        <v>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1" zoomScaleNormal="100" zoomScaleSheetLayoutView="100" workbookViewId="0">
      <selection activeCell="L13" sqref="L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6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43447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151</v>
      </c>
      <c r="F8" s="21"/>
      <c r="G8" s="16">
        <f t="shared" ref="G8:G16" si="0">C8*E8</f>
        <v>15100000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262-6</f>
        <v>256</v>
      </c>
      <c r="F9" s="21"/>
      <c r="G9" s="16">
        <f t="shared" si="0"/>
        <v>12800000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54</v>
      </c>
      <c r="F10" s="21"/>
      <c r="G10" s="16">
        <f t="shared" si="0"/>
        <v>1080000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27</v>
      </c>
      <c r="F11" s="21"/>
      <c r="G11" s="16">
        <f t="shared" si="0"/>
        <v>270000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44</v>
      </c>
      <c r="F12" s="21"/>
      <c r="G12" s="16">
        <f t="shared" si="0"/>
        <v>220000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C13" s="22">
        <v>2000</v>
      </c>
      <c r="D13" s="7"/>
      <c r="E13" s="21">
        <v>59</v>
      </c>
      <c r="F13" s="21"/>
      <c r="G13" s="16">
        <f t="shared" si="0"/>
        <v>118000</v>
      </c>
      <c r="H13" s="8"/>
      <c r="I13" s="7"/>
      <c r="J13" s="37"/>
      <c r="K13" s="154"/>
      <c r="L13" s="159">
        <v>8243000</v>
      </c>
      <c r="M13" s="40">
        <v>1030000</v>
      </c>
      <c r="N13" s="41"/>
      <c r="O13" s="42"/>
      <c r="P13" s="43"/>
      <c r="Q13" s="44"/>
      <c r="R13" s="45"/>
      <c r="S13" s="46"/>
      <c r="T13" s="47"/>
      <c r="U13" s="47"/>
    </row>
    <row r="14" spans="1:21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4"/>
      <c r="L14" s="159"/>
      <c r="M14" s="48">
        <v>500000</v>
      </c>
      <c r="N14" s="41"/>
      <c r="O14" s="39"/>
      <c r="P14" s="49"/>
      <c r="Q14" s="50"/>
      <c r="R14" s="51"/>
    </row>
    <row r="15" spans="1:21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4"/>
      <c r="L15" s="159"/>
      <c r="M15" s="48">
        <v>36000000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4"/>
      <c r="L16" s="159"/>
      <c r="M16" s="155">
        <v>100000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29588000</v>
      </c>
      <c r="I17" s="9"/>
      <c r="J17" s="37"/>
      <c r="K17" s="154"/>
      <c r="L17" s="156"/>
      <c r="M17" s="155">
        <v>2000000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4"/>
      <c r="L18" s="156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4"/>
      <c r="L19" s="156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58"/>
      <c r="K20" s="64"/>
      <c r="L20" s="1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58"/>
      <c r="K21" s="153"/>
      <c r="L21" s="156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56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251000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29839000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+'12 Des'!I56</f>
        <v>55488000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53"/>
      <c r="L37" s="159">
        <f>SUM(L13:L28)</f>
        <v>8243000</v>
      </c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1116132807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39630000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39630000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8243000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f>5228000+510000</f>
        <v>5738000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13981000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29839000</v>
      </c>
      <c r="J56" s="95">
        <f>+I56-18000000</f>
        <v>11839000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29839000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39630000</v>
      </c>
      <c r="N119" s="146">
        <f>SUM(N13:N118)</f>
        <v>0</v>
      </c>
      <c r="O119" s="146">
        <f>SUM(O13:O118)</f>
        <v>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zoomScaleNormal="100" zoomScaleSheetLayoutView="100" workbookViewId="0">
      <selection activeCell="H26" sqref="H2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6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69</v>
      </c>
      <c r="C3" s="9"/>
      <c r="D3" s="7"/>
      <c r="E3" s="7"/>
      <c r="F3" s="7"/>
      <c r="G3" s="7"/>
      <c r="H3" s="7" t="s">
        <v>3</v>
      </c>
      <c r="I3" s="11">
        <v>43448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v>252</v>
      </c>
      <c r="F8" s="21"/>
      <c r="G8" s="16">
        <f t="shared" ref="G8:G16" si="0">C8*E8</f>
        <v>25200000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v>227</v>
      </c>
      <c r="F9" s="21"/>
      <c r="G9" s="16">
        <f t="shared" si="0"/>
        <v>11350000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31</v>
      </c>
      <c r="F10" s="21"/>
      <c r="G10" s="16">
        <f t="shared" si="0"/>
        <v>620000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1</v>
      </c>
      <c r="F11" s="21"/>
      <c r="G11" s="16">
        <f t="shared" si="0"/>
        <v>10000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29</v>
      </c>
      <c r="F12" s="21"/>
      <c r="G12" s="16">
        <f t="shared" si="0"/>
        <v>145000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44</v>
      </c>
      <c r="F13" s="21"/>
      <c r="G13" s="16">
        <f t="shared" si="0"/>
        <v>88000</v>
      </c>
      <c r="H13" s="8"/>
      <c r="I13" s="7"/>
      <c r="J13" s="37"/>
      <c r="K13" s="154"/>
      <c r="L13" s="159">
        <v>22250000</v>
      </c>
      <c r="M13" s="40">
        <v>6482000</v>
      </c>
      <c r="N13" s="41"/>
      <c r="O13" s="42">
        <v>7050000</v>
      </c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4"/>
      <c r="L14" s="159">
        <v>-7050000</v>
      </c>
      <c r="M14" s="48">
        <v>1690000</v>
      </c>
      <c r="N14" s="41"/>
      <c r="O14" s="39"/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4"/>
      <c r="L15" s="159"/>
      <c r="M15" s="48">
        <f>3527500+12500+100000</f>
        <v>3640000</v>
      </c>
      <c r="N15" s="41"/>
      <c r="O15" s="39"/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4"/>
      <c r="L16" s="159"/>
      <c r="M16" s="155">
        <v>318000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37413000</v>
      </c>
      <c r="I17" s="9"/>
      <c r="J17" s="37"/>
      <c r="K17" s="154"/>
      <c r="L17" s="156"/>
      <c r="M17" s="155">
        <v>57000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4"/>
      <c r="L18" s="156"/>
      <c r="M18" s="48">
        <v>228000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4"/>
      <c r="L19" s="156"/>
      <c r="M19" s="48">
        <v>1700000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157"/>
      <c r="M20" s="48">
        <v>311000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58"/>
      <c r="K21" s="153"/>
      <c r="L21" s="156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56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250000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37663000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+'13 Des'!I56</f>
        <v>29839000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53"/>
      <c r="L37" s="159">
        <f>SUM(L13:L28)</f>
        <v>15200000</v>
      </c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1116132807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14426000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14426000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15200000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7050000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22250000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37663000</v>
      </c>
      <c r="J56" s="95">
        <f>+I56-18000000</f>
        <v>19663000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37663000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14426000</v>
      </c>
      <c r="N119" s="146">
        <f>SUM(N13:N118)</f>
        <v>0</v>
      </c>
      <c r="O119" s="146">
        <f>SUM(O13:O118)</f>
        <v>7050000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14100000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topLeftCell="A43" zoomScaleNormal="100" zoomScaleSheetLayoutView="100" workbookViewId="0">
      <selection activeCell="E12" sqref="E1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6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43450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f>252+201+5</f>
        <v>458</v>
      </c>
      <c r="F8" s="21"/>
      <c r="G8" s="16">
        <f t="shared" ref="G8:G16" si="0">C8*E8</f>
        <v>45800000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f>227+270</f>
        <v>497</v>
      </c>
      <c r="F9" s="21"/>
      <c r="G9" s="16">
        <f t="shared" si="0"/>
        <v>24850000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37</v>
      </c>
      <c r="F10" s="21"/>
      <c r="G10" s="16">
        <f t="shared" si="0"/>
        <v>740000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3</v>
      </c>
      <c r="F11" s="21"/>
      <c r="G11" s="16">
        <f t="shared" si="0"/>
        <v>30000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30</v>
      </c>
      <c r="F12" s="21"/>
      <c r="G12" s="16">
        <f t="shared" si="0"/>
        <v>150000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46</v>
      </c>
      <c r="F13" s="21"/>
      <c r="G13" s="16">
        <f t="shared" si="0"/>
        <v>92000</v>
      </c>
      <c r="H13" s="8"/>
      <c r="I13" s="7"/>
      <c r="J13" s="37"/>
      <c r="K13" s="153"/>
      <c r="L13" s="164"/>
      <c r="M13" s="40">
        <v>626000</v>
      </c>
      <c r="N13" s="41"/>
      <c r="O13" s="42">
        <v>17575000</v>
      </c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3"/>
      <c r="L14" s="164"/>
      <c r="M14" s="48"/>
      <c r="N14" s="41"/>
      <c r="O14" s="39">
        <v>4200000</v>
      </c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3"/>
      <c r="L15" s="164"/>
      <c r="M15" s="48"/>
      <c r="N15" s="41"/>
      <c r="O15" s="39">
        <v>13100000</v>
      </c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3"/>
      <c r="L16" s="164"/>
      <c r="M16" s="155"/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71662000</v>
      </c>
      <c r="I17" s="9"/>
      <c r="J17" s="37"/>
      <c r="K17" s="153"/>
      <c r="L17" s="164"/>
      <c r="M17" s="155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3"/>
      <c r="L18" s="164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3"/>
      <c r="L19" s="164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165"/>
      <c r="L20" s="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58"/>
      <c r="K21" s="153"/>
      <c r="L21" s="164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64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250000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71912000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+'14 Des'!I56</f>
        <v>37663000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66"/>
      <c r="L37" s="159">
        <f>SUM(L13:L28)</f>
        <v>0</v>
      </c>
      <c r="M37" s="77"/>
      <c r="N37" s="38"/>
      <c r="O37" s="39">
        <f>SUM(O13:O36)</f>
        <v>34875000</v>
      </c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1116132807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626000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626000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34875000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34875000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71912000</v>
      </c>
      <c r="J56" s="95">
        <f>+I56-18000000</f>
        <v>53912000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71912000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626000</v>
      </c>
      <c r="N119" s="146">
        <f>SUM(N13:N118)</f>
        <v>0</v>
      </c>
      <c r="O119" s="146">
        <f>SUM(O13:O118)</f>
        <v>69750000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139500000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topLeftCell="H7" zoomScaleNormal="100" zoomScaleSheetLayoutView="100" workbookViewId="0">
      <selection activeCell="E4" sqref="E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6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71</v>
      </c>
      <c r="C3" s="9"/>
      <c r="D3" s="7"/>
      <c r="E3" s="7"/>
      <c r="F3" s="7"/>
      <c r="G3" s="7"/>
      <c r="H3" s="7" t="s">
        <v>3</v>
      </c>
      <c r="I3" s="11">
        <v>43451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f>518+97+8-10</f>
        <v>613</v>
      </c>
      <c r="F8" s="21"/>
      <c r="G8" s="16">
        <f t="shared" ref="G8:G16" si="0">C8*E8</f>
        <v>61300000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f>498+58</f>
        <v>556</v>
      </c>
      <c r="F9" s="21"/>
      <c r="G9" s="16">
        <f t="shared" si="0"/>
        <v>27800000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41</v>
      </c>
      <c r="F10" s="21"/>
      <c r="G10" s="16">
        <f t="shared" si="0"/>
        <v>820000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6</v>
      </c>
      <c r="F11" s="21"/>
      <c r="G11" s="16">
        <f t="shared" si="0"/>
        <v>60000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38</v>
      </c>
      <c r="F12" s="21"/>
      <c r="G12" s="16">
        <f t="shared" si="0"/>
        <v>190000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47</v>
      </c>
      <c r="F13" s="21"/>
      <c r="G13" s="16">
        <f t="shared" si="0"/>
        <v>94000</v>
      </c>
      <c r="H13" s="8"/>
      <c r="I13" s="7"/>
      <c r="J13" s="37"/>
      <c r="K13" s="153"/>
      <c r="L13" s="164">
        <v>13500000</v>
      </c>
      <c r="M13" s="40">
        <v>510000</v>
      </c>
      <c r="N13" s="41"/>
      <c r="O13" s="42">
        <v>1900000</v>
      </c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3"/>
      <c r="L14" s="164">
        <v>-1900000</v>
      </c>
      <c r="M14" s="48">
        <v>1000000</v>
      </c>
      <c r="N14" s="41"/>
      <c r="O14" s="39"/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3"/>
      <c r="L15" s="164"/>
      <c r="M15" s="48"/>
      <c r="N15" s="41"/>
      <c r="O15" s="39"/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3"/>
      <c r="L16" s="164"/>
      <c r="M16" s="155"/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90264000</v>
      </c>
      <c r="I17" s="9"/>
      <c r="J17" s="37"/>
      <c r="K17" s="153"/>
      <c r="L17" s="164"/>
      <c r="M17" s="155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3"/>
      <c r="L18" s="164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3"/>
      <c r="L19" s="164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165"/>
      <c r="L20" s="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58"/>
      <c r="K21" s="153"/>
      <c r="L21" s="164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64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250000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90514000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+'16 Des'!I56</f>
        <v>71912000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66"/>
      <c r="L37" s="159">
        <f>SUM(L13:L28)</f>
        <v>11600000</v>
      </c>
      <c r="M37" s="77"/>
      <c r="N37" s="38"/>
      <c r="O37" s="39">
        <f>SUM(O13:O36)</f>
        <v>1900000</v>
      </c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1116132807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1510000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1510000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11600000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1900000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f>10000+6487000+115000</f>
        <v>6612000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20112000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90514000</v>
      </c>
      <c r="J56" s="95">
        <f>+I56-18000000</f>
        <v>72514000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90514000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1510000</v>
      </c>
      <c r="N119" s="146">
        <f>SUM(N13:N118)</f>
        <v>0</v>
      </c>
      <c r="O119" s="146">
        <f>SUM(O13:O118)</f>
        <v>3800000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7600000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topLeftCell="I7" zoomScaleNormal="100" zoomScaleSheetLayoutView="100" workbookViewId="0">
      <selection activeCell="N20" sqref="N2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6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43452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v>723</v>
      </c>
      <c r="F8" s="21"/>
      <c r="G8" s="16">
        <f t="shared" ref="G8:G16" si="0">C8*E8</f>
        <v>72300000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v>857</v>
      </c>
      <c r="F9" s="21"/>
      <c r="G9" s="16">
        <f t="shared" si="0"/>
        <v>42850000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40</v>
      </c>
      <c r="F10" s="21"/>
      <c r="G10" s="16">
        <f t="shared" si="0"/>
        <v>800000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15</v>
      </c>
      <c r="F11" s="21"/>
      <c r="G11" s="16">
        <f t="shared" si="0"/>
        <v>150000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36</v>
      </c>
      <c r="F12" s="21"/>
      <c r="G12" s="16">
        <f t="shared" si="0"/>
        <v>180000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54</v>
      </c>
      <c r="F13" s="21"/>
      <c r="G13" s="16">
        <f t="shared" si="0"/>
        <v>108000</v>
      </c>
      <c r="H13" s="8"/>
      <c r="I13" s="7"/>
      <c r="J13" s="37"/>
      <c r="K13" s="153"/>
      <c r="L13" s="164">
        <v>42509000</v>
      </c>
      <c r="M13" s="40">
        <v>50000</v>
      </c>
      <c r="N13" s="41"/>
      <c r="O13" s="42">
        <v>13300000</v>
      </c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3"/>
      <c r="L14" s="164">
        <v>-13300000</v>
      </c>
      <c r="M14" s="48">
        <v>100000</v>
      </c>
      <c r="N14" s="41"/>
      <c r="O14" s="39"/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3"/>
      <c r="L15" s="164"/>
      <c r="M15" s="48">
        <v>400000</v>
      </c>
      <c r="N15" s="41"/>
      <c r="O15" s="39"/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3"/>
      <c r="L16" s="164"/>
      <c r="M16" s="155">
        <v>146000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116388000</v>
      </c>
      <c r="I17" s="9"/>
      <c r="J17" s="37"/>
      <c r="K17" s="153"/>
      <c r="L17" s="164"/>
      <c r="M17" s="155">
        <v>281000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3"/>
      <c r="L18" s="164"/>
      <c r="M18" s="48">
        <v>150000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3"/>
      <c r="L19" s="164"/>
      <c r="M19" s="48">
        <v>990000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165"/>
      <c r="L20" s="57"/>
      <c r="M20" s="48">
        <v>12779000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58"/>
      <c r="K21" s="153"/>
      <c r="L21" s="164"/>
      <c r="M21" s="48">
        <v>590000</v>
      </c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64"/>
      <c r="M22" s="48">
        <v>300000</v>
      </c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>
        <v>600000</v>
      </c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250000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116638000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+'17 Des '!I57</f>
        <v>90514000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66"/>
      <c r="L37" s="159">
        <f>SUM(L13:L28)</f>
        <v>29209000</v>
      </c>
      <c r="M37" s="77"/>
      <c r="N37" s="38"/>
      <c r="O37" s="39">
        <f>SUM(O13:O36)</f>
        <v>13300000</v>
      </c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v>172763888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394222345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1225730138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16386000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16386000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29209000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13300000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1000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42510000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116638000</v>
      </c>
      <c r="J56" s="95">
        <f>+I56-18000000</f>
        <v>98638000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116638000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16386000</v>
      </c>
      <c r="N119" s="146">
        <f>SUM(N13:N118)</f>
        <v>0</v>
      </c>
      <c r="O119" s="146">
        <f>SUM(O13:O118)</f>
        <v>26600000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53200000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topLeftCell="A40" zoomScaleNormal="100" zoomScaleSheetLayoutView="100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6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43453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v>826</v>
      </c>
      <c r="F8" s="21"/>
      <c r="G8" s="16">
        <f t="shared" ref="G8:G16" si="0">C8*E8</f>
        <v>82600000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v>933</v>
      </c>
      <c r="F9" s="21"/>
      <c r="G9" s="16">
        <f t="shared" si="0"/>
        <v>46650000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52</v>
      </c>
      <c r="F10" s="21"/>
      <c r="G10" s="16">
        <f t="shared" si="0"/>
        <v>1040000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17</v>
      </c>
      <c r="F11" s="21"/>
      <c r="G11" s="16">
        <f t="shared" si="0"/>
        <v>170000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35</v>
      </c>
      <c r="F12" s="21"/>
      <c r="G12" s="16">
        <f t="shared" si="0"/>
        <v>175000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54</v>
      </c>
      <c r="F13" s="21"/>
      <c r="G13" s="16">
        <f t="shared" si="0"/>
        <v>108000</v>
      </c>
      <c r="H13" s="8"/>
      <c r="I13" s="7"/>
      <c r="J13" s="37"/>
      <c r="K13" s="153"/>
      <c r="L13" s="164">
        <v>18577000</v>
      </c>
      <c r="M13" s="40">
        <v>767000</v>
      </c>
      <c r="N13" s="41"/>
      <c r="O13" s="42">
        <v>2400000</v>
      </c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3"/>
      <c r="L14" s="164">
        <v>-2400000</v>
      </c>
      <c r="M14" s="48">
        <v>105000</v>
      </c>
      <c r="N14" s="41"/>
      <c r="O14" s="39"/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3"/>
      <c r="L15" s="164"/>
      <c r="M15" s="48">
        <v>1150000</v>
      </c>
      <c r="N15" s="41"/>
      <c r="O15" s="39"/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3"/>
      <c r="L16" s="164"/>
      <c r="M16" s="155">
        <v>500000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130743000</v>
      </c>
      <c r="I17" s="9"/>
      <c r="J17" s="37"/>
      <c r="K17" s="153"/>
      <c r="L17" s="164"/>
      <c r="M17" s="155">
        <v>110000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3"/>
      <c r="L18" s="164"/>
      <c r="M18" s="48">
        <v>790000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3"/>
      <c r="L19" s="164"/>
      <c r="M19" s="48">
        <v>600000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165"/>
      <c r="L20" s="57"/>
      <c r="M20" s="48">
        <v>150000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58"/>
      <c r="K21" s="153"/>
      <c r="L21" s="164"/>
      <c r="M21" s="48">
        <v>50000</v>
      </c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64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250000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130993000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+'18 Des'!I56</f>
        <v>116638000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66"/>
      <c r="L37" s="159">
        <f>SUM(L13:L28)</f>
        <v>16177000</v>
      </c>
      <c r="M37" s="77"/>
      <c r="N37" s="38"/>
      <c r="O37" s="39">
        <f>SUM(O13:O36)</f>
        <v>2400000</v>
      </c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v>172763888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394222345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1225730138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4222000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4222000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16177000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2400000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18577000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130993000</v>
      </c>
      <c r="J56" s="95">
        <f>+I56-18000000</f>
        <v>112993000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130993000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4222000</v>
      </c>
      <c r="N119" s="146">
        <f>SUM(N13:N118)</f>
        <v>0</v>
      </c>
      <c r="O119" s="146">
        <f>SUM(O13:O118)</f>
        <v>4800000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9600000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4" zoomScaleNormal="100" zoomScaleSheetLayoutView="100" workbookViewId="0">
      <selection activeCell="B34" sqref="B34:I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60</v>
      </c>
      <c r="C3" s="9"/>
      <c r="D3" s="7"/>
      <c r="E3" s="7"/>
      <c r="F3" s="7"/>
      <c r="G3" s="7"/>
      <c r="H3" s="7" t="s">
        <v>3</v>
      </c>
      <c r="I3" s="11">
        <v>43435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676+127</f>
        <v>803</v>
      </c>
      <c r="F8" s="21"/>
      <c r="G8" s="16">
        <f t="shared" ref="G8:G16" si="0">C8*E8</f>
        <v>80300000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322</v>
      </c>
      <c r="F9" s="21"/>
      <c r="G9" s="16">
        <f t="shared" si="0"/>
        <v>16100000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0</v>
      </c>
      <c r="F10" s="21"/>
      <c r="G10" s="16">
        <f t="shared" si="0"/>
        <v>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28</v>
      </c>
      <c r="F11" s="21"/>
      <c r="G11" s="16">
        <f t="shared" si="0"/>
        <v>280000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82</v>
      </c>
      <c r="F12" s="21"/>
      <c r="G12" s="16">
        <f t="shared" si="0"/>
        <v>410000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7"/>
      <c r="J13" s="37"/>
      <c r="K13" s="38"/>
      <c r="L13" s="39">
        <v>17825000</v>
      </c>
      <c r="M13" s="40">
        <v>50000</v>
      </c>
      <c r="N13" s="41"/>
      <c r="O13" s="42">
        <v>9825000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>
        <v>-9825000</v>
      </c>
      <c r="M14" s="48">
        <v>50000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>
        <v>40000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>
        <v>15000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97090000</v>
      </c>
      <c r="I17" s="9"/>
      <c r="J17" s="37"/>
      <c r="K17" s="38"/>
      <c r="L17" s="39"/>
      <c r="M17" s="54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58"/>
      <c r="K20" s="64"/>
      <c r="L20" s="52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526</v>
      </c>
      <c r="F21" s="7"/>
      <c r="G21" s="22">
        <f>C21*E21</f>
        <v>263000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265300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97355300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+'[1]21 Nov'!I38</f>
        <v>1029017793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+'30 Nov '!I57</f>
        <v>79685300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v>1029468993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1314094007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155000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155000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8000000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9825000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17825000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97355300</v>
      </c>
      <c r="J56" s="95"/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97355300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8000000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155000</v>
      </c>
      <c r="N119" s="146">
        <f>SUM(N13:N118)</f>
        <v>0</v>
      </c>
      <c r="O119" s="146">
        <f>SUM(O13:O118)</f>
        <v>9825000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19650000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topLeftCell="A37" zoomScaleNormal="100" zoomScaleSheetLayoutView="100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7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72</v>
      </c>
      <c r="C3" s="9"/>
      <c r="D3" s="7"/>
      <c r="E3" s="7"/>
      <c r="F3" s="7"/>
      <c r="G3" s="7"/>
      <c r="H3" s="7" t="s">
        <v>3</v>
      </c>
      <c r="I3" s="11">
        <v>43454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v>914</v>
      </c>
      <c r="F8" s="21"/>
      <c r="G8" s="16">
        <f t="shared" ref="G8:G16" si="0">C8*E8</f>
        <v>91400000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v>1012</v>
      </c>
      <c r="F9" s="21"/>
      <c r="G9" s="16">
        <f t="shared" si="0"/>
        <v>50600000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50</v>
      </c>
      <c r="F10" s="21"/>
      <c r="G10" s="16">
        <f t="shared" si="0"/>
        <v>1000000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16</v>
      </c>
      <c r="F11" s="21"/>
      <c r="G11" s="16">
        <f t="shared" si="0"/>
        <v>160000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33</v>
      </c>
      <c r="F12" s="21"/>
      <c r="G12" s="16">
        <f t="shared" si="0"/>
        <v>165000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48</v>
      </c>
      <c r="F13" s="21"/>
      <c r="G13" s="16">
        <f t="shared" si="0"/>
        <v>96000</v>
      </c>
      <c r="H13" s="8"/>
      <c r="I13" s="7"/>
      <c r="J13" s="37"/>
      <c r="K13" s="153"/>
      <c r="L13" s="164">
        <v>12200000</v>
      </c>
      <c r="M13" s="40">
        <v>1200000</v>
      </c>
      <c r="N13" s="41"/>
      <c r="O13" s="42"/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3"/>
      <c r="L14" s="164">
        <v>5000000</v>
      </c>
      <c r="M14" s="48">
        <v>2000000</v>
      </c>
      <c r="N14" s="41"/>
      <c r="O14" s="39"/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3"/>
      <c r="L15" s="164"/>
      <c r="M15" s="48">
        <v>150000</v>
      </c>
      <c r="N15" s="41"/>
      <c r="O15" s="39"/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3"/>
      <c r="L16" s="164"/>
      <c r="M16" s="155">
        <v>102000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143421000</v>
      </c>
      <c r="I17" s="9"/>
      <c r="J17" s="37"/>
      <c r="K17" s="153"/>
      <c r="L17" s="164"/>
      <c r="M17" s="155">
        <v>70000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3"/>
      <c r="L18" s="164"/>
      <c r="M18" s="48">
        <v>102000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3"/>
      <c r="L19" s="164"/>
      <c r="M19" s="48">
        <v>10000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58"/>
      <c r="K20" s="165"/>
      <c r="L20" s="57"/>
      <c r="M20" s="48">
        <v>86000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506</v>
      </c>
      <c r="F21" s="7"/>
      <c r="G21" s="22">
        <f>C21*E21</f>
        <v>253000</v>
      </c>
      <c r="H21" s="8"/>
      <c r="I21" s="22"/>
      <c r="J21" s="58"/>
      <c r="K21" s="153"/>
      <c r="L21" s="164"/>
      <c r="M21" s="48">
        <v>150000</v>
      </c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64"/>
      <c r="M22" s="48">
        <v>50000</v>
      </c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>
        <v>350000</v>
      </c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>
        <v>525000</v>
      </c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>
        <v>127000</v>
      </c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254000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143675000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+'19 Des'!I56</f>
        <v>130993000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66"/>
      <c r="L37" s="159">
        <f>SUM(L13:L28)</f>
        <v>17200000</v>
      </c>
      <c r="M37" s="77"/>
      <c r="N37" s="38"/>
      <c r="O37" s="39">
        <f>SUM(O13:O36)</f>
        <v>0</v>
      </c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v>172763888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394222345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1225730138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4922000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4922000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17200000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404000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17604000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143675000</v>
      </c>
      <c r="J56" s="95">
        <f>+I56-18000000</f>
        <v>125675000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143675000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4922000</v>
      </c>
      <c r="N119" s="146">
        <f>SUM(N13:N118)</f>
        <v>0</v>
      </c>
      <c r="O119" s="146">
        <f>SUM(O13:O118)</f>
        <v>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topLeftCell="E1" zoomScaleNormal="100" zoomScaleSheetLayoutView="100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7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69</v>
      </c>
      <c r="C3" s="9"/>
      <c r="D3" s="7"/>
      <c r="E3" s="7"/>
      <c r="F3" s="7"/>
      <c r="G3" s="7"/>
      <c r="H3" s="7" t="s">
        <v>3</v>
      </c>
      <c r="I3" s="11">
        <v>43455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f>914+12+102</f>
        <v>1028</v>
      </c>
      <c r="F8" s="21"/>
      <c r="G8" s="16">
        <f t="shared" ref="G8:G16" si="0">C8*E8</f>
        <v>102800000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f>1012-10+40</f>
        <v>1042</v>
      </c>
      <c r="F9" s="21"/>
      <c r="G9" s="16">
        <f t="shared" si="0"/>
        <v>52100000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f>50-5+1-10-5+3</f>
        <v>34</v>
      </c>
      <c r="F10" s="21"/>
      <c r="G10" s="16">
        <f t="shared" si="0"/>
        <v>680000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f>16-12-3</f>
        <v>1</v>
      </c>
      <c r="F11" s="21"/>
      <c r="G11" s="16">
        <f t="shared" si="0"/>
        <v>10000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f>33-10-2-14+1</f>
        <v>8</v>
      </c>
      <c r="F12" s="21"/>
      <c r="G12" s="16">
        <f t="shared" si="0"/>
        <v>40000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f>48-21+5+1</f>
        <v>33</v>
      </c>
      <c r="F13" s="21"/>
      <c r="G13" s="16">
        <f t="shared" si="0"/>
        <v>66000</v>
      </c>
      <c r="H13" s="8"/>
      <c r="I13" s="7"/>
      <c r="J13" s="37"/>
      <c r="K13" s="153"/>
      <c r="L13" s="164">
        <v>14542500</v>
      </c>
      <c r="M13" s="40">
        <v>100000</v>
      </c>
      <c r="N13" s="41"/>
      <c r="O13" s="42">
        <v>7500000</v>
      </c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3"/>
      <c r="L14" s="164"/>
      <c r="M14" s="48">
        <v>750000</v>
      </c>
      <c r="N14" s="41"/>
      <c r="O14" s="39"/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3"/>
      <c r="L15" s="164"/>
      <c r="M15" s="48">
        <v>200000</v>
      </c>
      <c r="N15" s="41"/>
      <c r="O15" s="39"/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3"/>
      <c r="L16" s="164"/>
      <c r="M16" s="155">
        <v>50000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155696000</v>
      </c>
      <c r="I17" s="9"/>
      <c r="J17" s="37"/>
      <c r="K17" s="153"/>
      <c r="L17" s="164"/>
      <c r="M17" s="155">
        <v>3325000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3"/>
      <c r="L18" s="164"/>
      <c r="M18" s="48">
        <v>5350000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3"/>
      <c r="L19" s="164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58"/>
      <c r="K20" s="165"/>
      <c r="L20" s="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f>506-40+24+1</f>
        <v>491</v>
      </c>
      <c r="F21" s="7"/>
      <c r="G21" s="22">
        <f>C21*E21</f>
        <v>245500</v>
      </c>
      <c r="H21" s="8"/>
      <c r="I21" s="22"/>
      <c r="J21" s="58"/>
      <c r="K21" s="153"/>
      <c r="L21" s="164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64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246500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155942500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'20 Des'!I27</f>
        <v>143675000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66"/>
      <c r="L37" s="159">
        <f>SUM(L13:L28)</f>
        <v>14542500</v>
      </c>
      <c r="M37" s="77"/>
      <c r="N37" s="38"/>
      <c r="O37" s="39">
        <f>SUM(O13:O36)</f>
        <v>7500000</v>
      </c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v>172763888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394222345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1225730138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9775000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9775000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14542500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7500000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22042500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155942500</v>
      </c>
      <c r="J56" s="95">
        <f>+I56-18000000</f>
        <v>137942500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155942500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73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9775000</v>
      </c>
      <c r="N119" s="146">
        <f>SUM(N13:N118)</f>
        <v>0</v>
      </c>
      <c r="O119" s="146">
        <f>SUM(O13:O118)</f>
        <v>15000000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30000000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tabSelected="1" view="pageBreakPreview" topLeftCell="D46" zoomScaleNormal="100" zoomScaleSheetLayoutView="100" workbookViewId="0">
      <selection activeCell="G56" sqref="G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7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74</v>
      </c>
      <c r="C3" s="9"/>
      <c r="D3" s="7"/>
      <c r="E3" s="7"/>
      <c r="F3" s="7"/>
      <c r="G3" s="7"/>
      <c r="H3" s="7" t="s">
        <v>3</v>
      </c>
      <c r="I3" s="11">
        <v>43456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0.54166666666666663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f>914+12+102+180</f>
        <v>1208</v>
      </c>
      <c r="F8" s="21"/>
      <c r="G8" s="16">
        <f t="shared" ref="G8:G16" si="0">C8*E8</f>
        <v>120800000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f>1012-10+40+12</f>
        <v>1054</v>
      </c>
      <c r="F9" s="21"/>
      <c r="G9" s="16">
        <f t="shared" si="0"/>
        <v>52700000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f>50-5+1-10-5+3</f>
        <v>34</v>
      </c>
      <c r="F10" s="21"/>
      <c r="G10" s="16">
        <f t="shared" si="0"/>
        <v>680000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f>16-12-3+1</f>
        <v>2</v>
      </c>
      <c r="F11" s="21"/>
      <c r="G11" s="16">
        <f t="shared" si="0"/>
        <v>20000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f>33-10-2-14+1+1</f>
        <v>9</v>
      </c>
      <c r="F12" s="21"/>
      <c r="G12" s="16">
        <f t="shared" si="0"/>
        <v>45000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f>48-21+5+1</f>
        <v>33</v>
      </c>
      <c r="F13" s="21"/>
      <c r="G13" s="16">
        <f t="shared" si="0"/>
        <v>66000</v>
      </c>
      <c r="H13" s="8"/>
      <c r="I13" s="7"/>
      <c r="J13" s="37" t="s">
        <v>75</v>
      </c>
      <c r="K13" s="153"/>
      <c r="L13" s="164">
        <v>4740000</v>
      </c>
      <c r="M13" s="40">
        <v>150000</v>
      </c>
      <c r="N13" s="41"/>
      <c r="O13" s="42">
        <v>9725000</v>
      </c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3"/>
      <c r="L14" s="164">
        <v>5000000</v>
      </c>
      <c r="M14" s="48">
        <v>900000</v>
      </c>
      <c r="N14" s="41"/>
      <c r="O14" s="39"/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3"/>
      <c r="L15" s="164">
        <v>200000</v>
      </c>
      <c r="M15" s="48"/>
      <c r="N15" s="41"/>
      <c r="O15" s="39"/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3"/>
      <c r="L16" s="164"/>
      <c r="M16" s="155"/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174311000</v>
      </c>
      <c r="I17" s="9"/>
      <c r="J17" s="37"/>
      <c r="K17" s="153"/>
      <c r="L17" s="164"/>
      <c r="M17" s="155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3"/>
      <c r="L18" s="164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3"/>
      <c r="L19" s="164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58"/>
      <c r="K20" s="165"/>
      <c r="L20" s="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f>506-40+24+1</f>
        <v>491</v>
      </c>
      <c r="F21" s="7"/>
      <c r="G21" s="22">
        <f>C21*E21</f>
        <v>245500</v>
      </c>
      <c r="H21" s="8"/>
      <c r="I21" s="22"/>
      <c r="J21" s="58"/>
      <c r="K21" s="153"/>
      <c r="L21" s="164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64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246500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174557500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'21 Des  '!I27</f>
        <v>155942500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66"/>
      <c r="L37" s="159">
        <f>SUM(L13:L28)</f>
        <v>9940000</v>
      </c>
      <c r="M37" s="77"/>
      <c r="N37" s="38"/>
      <c r="O37" s="39">
        <f>SUM(O13:O36)</f>
        <v>9725000</v>
      </c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v>172763888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394222345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1225730138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1050000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1050000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9940000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9725000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19665000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174557500</v>
      </c>
      <c r="J56" s="95">
        <f>+I56-18000000</f>
        <v>156557500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174557500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73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1050000</v>
      </c>
      <c r="N119" s="146">
        <f>SUM(N13:N118)</f>
        <v>0</v>
      </c>
      <c r="O119" s="146">
        <f>SUM(O13:O118)</f>
        <v>19450000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38900000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30"/>
  <sheetViews>
    <sheetView view="pageBreakPreview" topLeftCell="A34" zoomScaleNormal="100" zoomScaleSheetLayoutView="100" workbookViewId="0">
      <selection activeCell="G12" sqref="G1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8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7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8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8" ht="14.25" x14ac:dyDescent="0.2">
      <c r="A3" s="7" t="s">
        <v>70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43457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8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0.54166666666666663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8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8" ht="14.25" x14ac:dyDescent="0.2">
      <c r="J6" s="15"/>
      <c r="K6" s="19"/>
      <c r="L6" s="13"/>
      <c r="M6" s="4"/>
      <c r="N6" s="4"/>
      <c r="O6" s="13"/>
      <c r="P6" s="4"/>
      <c r="Q6" s="7"/>
      <c r="R6" s="2"/>
      <c r="S6" s="2"/>
      <c r="T6" s="17"/>
      <c r="U6" s="18"/>
      <c r="V6" s="7"/>
      <c r="W6" s="7"/>
      <c r="X6" s="7"/>
      <c r="Y6" s="7"/>
      <c r="Z6" s="7" t="s">
        <v>7</v>
      </c>
      <c r="AA6" s="8"/>
      <c r="AB6" s="7"/>
    </row>
    <row r="7" spans="1:28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8" ht="14.25" x14ac:dyDescent="0.2">
      <c r="A8" s="7"/>
      <c r="C8" s="22">
        <v>100000</v>
      </c>
      <c r="D8" s="7"/>
      <c r="E8" s="21">
        <f>914+12+102+180+717</f>
        <v>1925</v>
      </c>
      <c r="F8" s="21"/>
      <c r="G8" s="16">
        <f t="shared" ref="G8:G16" si="0">C8*E8</f>
        <v>192500000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8" x14ac:dyDescent="0.25">
      <c r="C9" s="22">
        <v>50000</v>
      </c>
      <c r="D9" s="7"/>
      <c r="E9" s="21">
        <f>1012-10+40+12+466</f>
        <v>1520</v>
      </c>
      <c r="F9" s="21"/>
      <c r="G9" s="16">
        <f t="shared" si="0"/>
        <v>76000000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8" x14ac:dyDescent="0.25">
      <c r="C10" s="22">
        <v>20000</v>
      </c>
      <c r="D10" s="7"/>
      <c r="E10" s="21">
        <v>36</v>
      </c>
      <c r="F10" s="21"/>
      <c r="G10" s="16">
        <f t="shared" si="0"/>
        <v>720000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8" x14ac:dyDescent="0.25">
      <c r="C11" s="22">
        <v>10000</v>
      </c>
      <c r="D11" s="7"/>
      <c r="E11" s="21">
        <v>5</v>
      </c>
      <c r="F11" s="21"/>
      <c r="G11" s="16">
        <f t="shared" si="0"/>
        <v>50000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8" x14ac:dyDescent="0.25">
      <c r="C12" s="22">
        <v>5000</v>
      </c>
      <c r="D12" s="7"/>
      <c r="E12" s="21">
        <v>7</v>
      </c>
      <c r="F12" s="21"/>
      <c r="G12" s="16">
        <f t="shared" si="0"/>
        <v>35000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8" x14ac:dyDescent="0.25">
      <c r="C13" s="22">
        <v>2000</v>
      </c>
      <c r="D13" s="7"/>
      <c r="E13" s="21">
        <v>34</v>
      </c>
      <c r="F13" s="21"/>
      <c r="G13" s="16">
        <f t="shared" si="0"/>
        <v>68000</v>
      </c>
      <c r="H13" s="8"/>
      <c r="I13" s="7"/>
      <c r="J13" s="37"/>
      <c r="K13" s="153"/>
      <c r="L13" s="164">
        <v>96118000</v>
      </c>
      <c r="M13" s="40">
        <v>1000000</v>
      </c>
      <c r="N13" s="41"/>
      <c r="O13" s="42">
        <v>67748000</v>
      </c>
      <c r="P13" s="43"/>
      <c r="Q13" s="44"/>
      <c r="R13" s="45"/>
      <c r="S13" s="46"/>
      <c r="T13" s="47"/>
      <c r="U13" s="47"/>
    </row>
    <row r="14" spans="1:28" x14ac:dyDescent="0.25"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7"/>
      <c r="J14" s="37"/>
      <c r="K14" s="153"/>
      <c r="L14" s="164">
        <v>-67748000</v>
      </c>
      <c r="M14" s="48">
        <v>55000</v>
      </c>
      <c r="N14" s="41"/>
      <c r="O14" s="39"/>
      <c r="P14" s="49"/>
      <c r="Q14" s="50"/>
      <c r="R14" s="51"/>
    </row>
    <row r="15" spans="1:28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3"/>
      <c r="L15" s="164"/>
      <c r="M15" s="48"/>
      <c r="N15" s="41"/>
      <c r="O15" s="39"/>
      <c r="P15" s="49"/>
      <c r="Q15" s="52"/>
      <c r="R15" s="46"/>
      <c r="S15" s="53"/>
      <c r="T15" s="51"/>
      <c r="U15" s="51"/>
    </row>
    <row r="16" spans="1:28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3"/>
      <c r="L16" s="164"/>
      <c r="M16" s="155"/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269374000</v>
      </c>
      <c r="I17" s="9"/>
      <c r="J17" s="37"/>
      <c r="K17" s="153"/>
      <c r="L17" s="164"/>
      <c r="M17" s="155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3"/>
      <c r="L18" s="164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3"/>
      <c r="L19" s="164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58"/>
      <c r="K20" s="165"/>
      <c r="L20" s="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f>506-40+24+1</f>
        <v>491</v>
      </c>
      <c r="F21" s="7"/>
      <c r="G21" s="22">
        <f>C21*E21</f>
        <v>245500</v>
      </c>
      <c r="H21" s="8"/>
      <c r="I21" s="22"/>
      <c r="J21" s="58"/>
      <c r="K21" s="153"/>
      <c r="L21" s="164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/>
      <c r="L22" s="164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/>
      <c r="L23" s="156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/>
      <c r="L24" s="156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/>
      <c r="L25" s="156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246500</v>
      </c>
      <c r="I26" s="8"/>
      <c r="J26" s="37"/>
      <c r="K26" s="153"/>
      <c r="L26" s="156"/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269620500</v>
      </c>
      <c r="J27" s="37"/>
      <c r="K27" s="153"/>
      <c r="L27" s="156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/>
      <c r="L28" s="156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/>
      <c r="L29" s="156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+'12 Des'!I38</f>
        <v>831507793</v>
      </c>
      <c r="J30" s="37"/>
      <c r="K30" s="153"/>
      <c r="L30" s="156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+'22 Des '!I57</f>
        <v>174557500</v>
      </c>
      <c r="J31" s="37"/>
      <c r="K31" s="153"/>
      <c r="L31" s="156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/>
      <c r="L32" s="156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>
        <v>8</v>
      </c>
      <c r="C33" s="17" t="s">
        <v>28</v>
      </c>
      <c r="D33" s="7"/>
      <c r="E33" s="7"/>
      <c r="F33" s="7"/>
      <c r="G33" s="7"/>
      <c r="H33" s="8"/>
      <c r="I33" s="46"/>
      <c r="J33" s="37"/>
      <c r="K33" s="153"/>
      <c r="L33" s="156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/>
      <c r="L34" s="156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/>
      <c r="L35" s="156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/>
      <c r="L36" s="156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166"/>
      <c r="L37" s="159">
        <f>SUM(L13:L28)</f>
        <v>28370000</v>
      </c>
      <c r="M37" s="77"/>
      <c r="N37" s="38"/>
      <c r="O37" s="39">
        <f>SUM(O13:O36)</f>
        <v>67748000</v>
      </c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831507793</v>
      </c>
      <c r="J38" s="37"/>
      <c r="K38" s="153"/>
      <c r="L38" s="156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/>
      <c r="L39" s="156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/>
      <c r="L40" s="156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v>172763888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394222345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1225730138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1055000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1055000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+L37</f>
        <v>28370000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67748000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96118000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269620500</v>
      </c>
      <c r="J56" s="95">
        <f>+I56-18000000</f>
        <v>251620500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269620500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73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/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1055000</v>
      </c>
      <c r="N119" s="146">
        <f>SUM(N13:N118)</f>
        <v>0</v>
      </c>
      <c r="O119" s="146">
        <f>SUM(O13:O118)</f>
        <v>135496000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270992000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zoomScaleNormal="100" zoomScaleSheetLayoutView="100" workbookViewId="0">
      <selection activeCell="I3" sqref="I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43436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997+46</f>
        <v>1043</v>
      </c>
      <c r="F8" s="21"/>
      <c r="G8" s="16">
        <f t="shared" ref="G8:G16" si="0">C8*E8</f>
        <v>104300000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323+8</f>
        <v>331</v>
      </c>
      <c r="F9" s="21"/>
      <c r="G9" s="16">
        <f t="shared" si="0"/>
        <v>16550000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28</v>
      </c>
      <c r="F11" s="21"/>
      <c r="G11" s="16">
        <f t="shared" si="0"/>
        <v>280000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83</v>
      </c>
      <c r="F12" s="21"/>
      <c r="G12" s="16">
        <f t="shared" si="0"/>
        <v>415000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7"/>
      <c r="J13" s="37"/>
      <c r="K13" s="38"/>
      <c r="L13" s="39"/>
      <c r="N13" s="41"/>
      <c r="O13" s="42">
        <v>19475000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/>
      <c r="M14" s="48"/>
      <c r="N14" s="41"/>
      <c r="O14" s="39">
        <v>5000000</v>
      </c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/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/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121565000</v>
      </c>
      <c r="I17" s="9"/>
      <c r="J17" s="37"/>
      <c r="K17" s="38"/>
      <c r="L17" s="39"/>
      <c r="M17" s="54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58"/>
      <c r="K20" s="64"/>
      <c r="L20" s="52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526</v>
      </c>
      <c r="F21" s="7"/>
      <c r="G21" s="22">
        <f>C21*E21</f>
        <v>263000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f>0+1</f>
        <v>1</v>
      </c>
      <c r="F22" s="7"/>
      <c r="G22" s="22">
        <f>C22*E22</f>
        <v>200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f>0+1</f>
        <v>1</v>
      </c>
      <c r="F23" s="7"/>
      <c r="G23" s="22">
        <f>C23*E23</f>
        <v>100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265300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121830300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+'[1]21 Nov'!I38</f>
        <v>1029017793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+'1 Des'!I57</f>
        <v>97355300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v>1029468993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1314094007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24475000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24475000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121830300</v>
      </c>
      <c r="J56" s="95">
        <f>+I56-18000000</f>
        <v>103830300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121830300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0</v>
      </c>
      <c r="N119" s="146">
        <f>SUM(N13:N118)</f>
        <v>0</v>
      </c>
      <c r="O119" s="146">
        <f>SUM(O13:O118)</f>
        <v>24475000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48950000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3" zoomScaleNormal="100" zoomScaleSheetLayoutView="100" workbookViewId="0">
      <selection activeCell="G7" sqref="G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4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43437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934</v>
      </c>
      <c r="F8" s="21"/>
      <c r="G8" s="16">
        <f t="shared" ref="G8:G16" si="0">C8*E8</f>
        <v>93400000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248</v>
      </c>
      <c r="F9" s="21"/>
      <c r="G9" s="16">
        <f t="shared" si="0"/>
        <v>12400000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1</v>
      </c>
      <c r="F10" s="21"/>
      <c r="G10" s="16">
        <f t="shared" si="0"/>
        <v>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1</v>
      </c>
      <c r="F11" s="21"/>
      <c r="G11" s="16">
        <f t="shared" si="0"/>
        <v>10000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7"/>
      <c r="J13" s="37"/>
      <c r="K13" s="38"/>
      <c r="L13" s="39">
        <v>4650000</v>
      </c>
      <c r="M13" s="40">
        <v>165000</v>
      </c>
      <c r="N13" s="41"/>
      <c r="O13" s="42">
        <v>3500000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>
        <v>-3500000</v>
      </c>
      <c r="M14" s="48">
        <v>300000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>
        <v>375000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>
        <v>50000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105830000</v>
      </c>
      <c r="I17" s="9"/>
      <c r="J17" s="37"/>
      <c r="K17" s="38"/>
      <c r="L17" s="39"/>
      <c r="M17" s="54">
        <v>250000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>
        <v>2440000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>
        <v>10000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52"/>
      <c r="M20" s="48">
        <v>17351000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0</v>
      </c>
      <c r="F21" s="7"/>
      <c r="G21" s="22">
        <f>C21*E21</f>
        <v>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105830000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+'[1]21 Nov'!I38</f>
        <v>1029017793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+'2 Des'!I56</f>
        <v>121830300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0</v>
      </c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v>1029468993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1314094007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20941000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20941000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1150000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3500000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290700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4940700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105830000</v>
      </c>
      <c r="J56" s="95">
        <f>+I56-18000000</f>
        <v>87830000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105830000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1150000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20941000</v>
      </c>
      <c r="N119" s="146">
        <f>SUM(N13:N118)</f>
        <v>0</v>
      </c>
      <c r="O119" s="146">
        <f>SUM(O13:O118)</f>
        <v>3500000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7000000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1" zoomScaleNormal="100" zoomScaleSheetLayoutView="100" workbookViewId="0">
      <selection activeCell="B4" sqref="B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5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43438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183</v>
      </c>
      <c r="F8" s="21"/>
      <c r="G8" s="16">
        <f t="shared" ref="G8:G16" si="0">C8*E8</f>
        <v>18300000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308</v>
      </c>
      <c r="F9" s="21"/>
      <c r="G9" s="16">
        <f t="shared" si="0"/>
        <v>15400000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98</v>
      </c>
      <c r="F10" s="21"/>
      <c r="G10" s="16">
        <f t="shared" si="0"/>
        <v>1960000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95</v>
      </c>
      <c r="F11" s="21"/>
      <c r="G11" s="16">
        <f t="shared" si="0"/>
        <v>950000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97</v>
      </c>
      <c r="F12" s="21"/>
      <c r="G12" s="16">
        <f t="shared" si="0"/>
        <v>485000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80</v>
      </c>
      <c r="F13" s="21"/>
      <c r="G13" s="16">
        <f t="shared" si="0"/>
        <v>160000</v>
      </c>
      <c r="H13" s="8"/>
      <c r="I13" s="7"/>
      <c r="J13" s="37"/>
      <c r="K13" s="38"/>
      <c r="L13" s="39">
        <v>12545000</v>
      </c>
      <c r="M13" s="40">
        <v>80665000</v>
      </c>
      <c r="N13" s="41"/>
      <c r="O13" s="42"/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/>
      <c r="M14" s="48">
        <v>210000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/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/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37255000</v>
      </c>
      <c r="I17" s="9"/>
      <c r="J17" s="37"/>
      <c r="K17" s="38"/>
      <c r="L17" s="39"/>
      <c r="M17" s="54"/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52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490</v>
      </c>
      <c r="F21" s="7"/>
      <c r="G21" s="22">
        <f>C21*E21</f>
        <v>245000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245000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37500000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+'[1]21 Nov'!I38</f>
        <v>1029017793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+'3 Des'!I56</f>
        <v>105830000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>
        <v>147510000</v>
      </c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80875000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80875000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12545000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12545000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37500000</v>
      </c>
      <c r="J56" s="95">
        <f>+I56-18000000</f>
        <v>19500000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37500000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12545000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80875000</v>
      </c>
      <c r="N119" s="146">
        <f>SUM(N13:N118)</f>
        <v>0</v>
      </c>
      <c r="O119" s="146">
        <f>SUM(O13:O118)</f>
        <v>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9" zoomScaleNormal="100" zoomScaleSheetLayoutView="100" workbookViewId="0">
      <selection activeCell="H9" sqref="H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5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43439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94+53</f>
        <v>147</v>
      </c>
      <c r="F8" s="21"/>
      <c r="G8" s="16">
        <f t="shared" ref="G8:G16" si="0">C8*E8</f>
        <v>14700000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157+5</f>
        <v>162</v>
      </c>
      <c r="F9" s="21"/>
      <c r="G9" s="16">
        <f t="shared" si="0"/>
        <v>8100000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76</v>
      </c>
      <c r="F10" s="21"/>
      <c r="G10" s="16">
        <f t="shared" si="0"/>
        <v>1520000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75</v>
      </c>
      <c r="F11" s="21"/>
      <c r="G11" s="16">
        <f t="shared" si="0"/>
        <v>750000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f>76+2</f>
        <v>78</v>
      </c>
      <c r="F12" s="21"/>
      <c r="G12" s="16">
        <f t="shared" si="0"/>
        <v>390000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f>61+22</f>
        <v>83</v>
      </c>
      <c r="F13" s="21"/>
      <c r="G13" s="16">
        <f t="shared" si="0"/>
        <v>166000</v>
      </c>
      <c r="H13" s="8"/>
      <c r="I13" s="7"/>
      <c r="J13" s="37"/>
      <c r="K13" s="38"/>
      <c r="L13" s="39">
        <v>5900000</v>
      </c>
      <c r="M13" s="40">
        <v>500000</v>
      </c>
      <c r="N13" s="41"/>
      <c r="O13" s="42">
        <v>4900000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2</v>
      </c>
      <c r="F14" s="21"/>
      <c r="G14" s="16">
        <f t="shared" si="0"/>
        <v>2000</v>
      </c>
      <c r="H14" s="8"/>
      <c r="I14" s="7"/>
      <c r="J14" s="37"/>
      <c r="K14" s="38"/>
      <c r="L14" s="39">
        <v>-4900000</v>
      </c>
      <c r="M14" s="48">
        <v>75000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>
        <v>162000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>
        <v>8625000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25628000</v>
      </c>
      <c r="I17" s="9"/>
      <c r="J17" s="37"/>
      <c r="K17" s="38"/>
      <c r="L17" s="39"/>
      <c r="M17" s="54">
        <v>7877500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>
        <v>200000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>
        <v>35000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52"/>
      <c r="M20" s="48">
        <v>60000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58"/>
      <c r="K21" s="64"/>
      <c r="L21" s="52"/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37"/>
      <c r="L22" s="52"/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250500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25878500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+'4 Des'!I56</f>
        <v>37500000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/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17534500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17534500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1000000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4900000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13000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5913000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25878500</v>
      </c>
      <c r="J56" s="95">
        <f>+I56-18000000</f>
        <v>7878500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25878500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1000000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17534500</v>
      </c>
      <c r="N119" s="146">
        <f>SUM(N13:N118)</f>
        <v>0</v>
      </c>
      <c r="O119" s="146">
        <f>SUM(O13:O118)</f>
        <v>4900000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9800000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3" zoomScaleNormal="100" zoomScaleSheetLayoutView="100" workbookViewId="0">
      <selection activeCell="G12" sqref="G1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5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43440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179</v>
      </c>
      <c r="F8" s="21"/>
      <c r="G8" s="16">
        <f t="shared" ref="G8:G16" si="0">C8*E8</f>
        <v>17900000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179</v>
      </c>
      <c r="F9" s="21"/>
      <c r="G9" s="16">
        <f t="shared" si="0"/>
        <v>8950000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76</v>
      </c>
      <c r="F10" s="21"/>
      <c r="G10" s="16">
        <f t="shared" si="0"/>
        <v>1520000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75</v>
      </c>
      <c r="F11" s="21"/>
      <c r="G11" s="16">
        <f t="shared" si="0"/>
        <v>750000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79</v>
      </c>
      <c r="F12" s="21"/>
      <c r="G12" s="16">
        <f t="shared" si="0"/>
        <v>395000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f>61+22</f>
        <v>83</v>
      </c>
      <c r="F13" s="21"/>
      <c r="G13" s="16">
        <f t="shared" si="0"/>
        <v>166000</v>
      </c>
      <c r="H13" s="8"/>
      <c r="I13" s="7"/>
      <c r="J13" s="37"/>
      <c r="K13" s="38"/>
      <c r="L13" s="39">
        <v>8325000</v>
      </c>
      <c r="M13" s="40">
        <v>150000</v>
      </c>
      <c r="N13" s="41"/>
      <c r="O13" s="42">
        <v>6325000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2</v>
      </c>
      <c r="F14" s="21"/>
      <c r="G14" s="16">
        <f t="shared" si="0"/>
        <v>2000</v>
      </c>
      <c r="H14" s="8"/>
      <c r="I14" s="7"/>
      <c r="J14" s="37"/>
      <c r="K14" s="38"/>
      <c r="L14" s="39">
        <v>-6325000</v>
      </c>
      <c r="M14" s="48">
        <v>1200000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/>
      <c r="M15" s="48">
        <v>150000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>
        <v>2200000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29683000</v>
      </c>
      <c r="I17" s="9"/>
      <c r="J17" s="37"/>
      <c r="K17" s="38"/>
      <c r="L17" s="39"/>
      <c r="M17" s="54">
        <v>10000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>
        <v>20000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>
        <v>150000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52"/>
      <c r="M20" s="48">
        <v>120000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58"/>
      <c r="K21" s="64"/>
      <c r="L21" s="52"/>
      <c r="M21" s="48">
        <v>70000</v>
      </c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37"/>
      <c r="L22" s="52"/>
      <c r="M22" s="48">
        <v>200000</v>
      </c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37"/>
      <c r="L23" s="52"/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250500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29933500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+'5 Des'!I56</f>
        <v>25878500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/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4270000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4270000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2000000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6325000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8325000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29933500</v>
      </c>
      <c r="J56" s="95">
        <f>+I56-18000000</f>
        <v>11933500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29933500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2000000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4270000</v>
      </c>
      <c r="N119" s="146">
        <f>SUM(N13:N118)</f>
        <v>0</v>
      </c>
      <c r="O119" s="146">
        <f>SUM(O13:O118)</f>
        <v>6325000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12650000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G49" zoomScaleNormal="100" zoomScaleSheetLayoutView="100" workbookViewId="0">
      <selection activeCell="L68" sqref="L6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5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43441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v>2</v>
      </c>
      <c r="F8" s="21"/>
      <c r="G8" s="16">
        <f t="shared" ref="G8:G16" si="0">C8*E8</f>
        <v>200000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v>27</v>
      </c>
      <c r="F9" s="21"/>
      <c r="G9" s="16">
        <f t="shared" si="0"/>
        <v>1350000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v>64</v>
      </c>
      <c r="F10" s="21"/>
      <c r="G10" s="16">
        <f t="shared" si="0"/>
        <v>1280000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v>22</v>
      </c>
      <c r="F11" s="21"/>
      <c r="G11" s="16">
        <f t="shared" si="0"/>
        <v>220000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v>56</v>
      </c>
      <c r="F12" s="21"/>
      <c r="G12" s="16">
        <f t="shared" si="0"/>
        <v>280000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C13" s="22">
        <v>2000</v>
      </c>
      <c r="D13" s="7"/>
      <c r="E13" s="21">
        <v>49</v>
      </c>
      <c r="F13" s="21"/>
      <c r="G13" s="16">
        <f t="shared" si="0"/>
        <v>98000</v>
      </c>
      <c r="H13" s="8"/>
      <c r="I13" s="7"/>
      <c r="J13" s="37"/>
      <c r="K13" s="38"/>
      <c r="L13" s="39">
        <v>1000000</v>
      </c>
      <c r="M13" s="40">
        <v>90000</v>
      </c>
      <c r="N13" s="41"/>
      <c r="O13" s="42">
        <v>3900000</v>
      </c>
      <c r="P13" s="43"/>
      <c r="Q13" s="44"/>
      <c r="R13" s="45"/>
      <c r="S13" s="46"/>
      <c r="T13" s="47"/>
      <c r="U13" s="47"/>
    </row>
    <row r="14" spans="1:21" x14ac:dyDescent="0.2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38"/>
      <c r="L14" s="39">
        <v>3900000</v>
      </c>
      <c r="M14" s="48">
        <v>19000</v>
      </c>
      <c r="N14" s="41"/>
      <c r="O14" s="39"/>
      <c r="P14" s="49"/>
      <c r="Q14" s="50"/>
      <c r="R14" s="51"/>
    </row>
    <row r="15" spans="1:21" x14ac:dyDescent="0.2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38"/>
      <c r="L15" s="39">
        <v>-3900000</v>
      </c>
      <c r="M15" s="48">
        <v>8000000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38"/>
      <c r="L16" s="39"/>
      <c r="M16" s="54">
        <f>1750000*6</f>
        <v>10500000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3428000</v>
      </c>
      <c r="I17" s="9"/>
      <c r="J17" s="37"/>
      <c r="K17" s="38"/>
      <c r="L17" s="39"/>
      <c r="M17" s="54">
        <v>3355000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38"/>
      <c r="L18" s="39"/>
      <c r="M18" s="48">
        <v>500000</v>
      </c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38"/>
      <c r="L19" s="39"/>
      <c r="M19" s="48">
        <v>200000</v>
      </c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52"/>
      <c r="M20" s="48">
        <v>120000</v>
      </c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58"/>
      <c r="K21" s="64"/>
      <c r="L21" s="52"/>
      <c r="M21" s="48">
        <v>5850000</v>
      </c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37"/>
      <c r="L22" s="52"/>
      <c r="M22" s="48">
        <v>1146000</v>
      </c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37"/>
      <c r="L23" s="52"/>
      <c r="M23" s="48">
        <v>725000</v>
      </c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37"/>
      <c r="L24" s="52"/>
      <c r="M24" s="48">
        <v>50000</v>
      </c>
      <c r="N24" s="38"/>
      <c r="O24" s="39"/>
      <c r="P24" s="66"/>
      <c r="Q24" s="44"/>
      <c r="R24" s="46"/>
      <c r="S24" s="53"/>
      <c r="T24" s="63"/>
      <c r="U24" s="53"/>
    </row>
    <row r="25" spans="1:21" x14ac:dyDescent="0.2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7"/>
      <c r="L25" s="52"/>
      <c r="M25" s="48">
        <v>600000</v>
      </c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250500</v>
      </c>
      <c r="I26" s="8"/>
      <c r="J26" s="37"/>
      <c r="K26" s="37"/>
      <c r="L26" s="52"/>
      <c r="N26" s="38"/>
      <c r="O26" s="39"/>
      <c r="P26" s="71"/>
      <c r="Q26" s="50"/>
      <c r="R26" s="69"/>
    </row>
    <row r="27" spans="1:21" x14ac:dyDescent="0.2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3678500</v>
      </c>
      <c r="J27" s="37"/>
      <c r="K27" s="37"/>
      <c r="L27" s="52"/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37"/>
      <c r="L28" s="52"/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37"/>
      <c r="L29" s="52"/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37"/>
      <c r="L30" s="52"/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+'6 Des '!I57</f>
        <v>29933500</v>
      </c>
      <c r="J31" s="37"/>
      <c r="K31" s="37"/>
      <c r="L31" s="39"/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37"/>
      <c r="L32" s="39"/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37"/>
      <c r="L33" s="39"/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37"/>
      <c r="L34" s="39"/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37"/>
      <c r="L35" s="39"/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37"/>
      <c r="L36" s="39"/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/>
      <c r="I37" s="7" t="s">
        <v>7</v>
      </c>
      <c r="J37" s="37"/>
      <c r="K37" s="37"/>
      <c r="L37" s="39"/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37"/>
      <c r="L38" s="39"/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37"/>
      <c r="L39" s="39"/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37"/>
      <c r="L40" s="39"/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/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31155000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31155000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1000000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3900000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4900000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3678500</v>
      </c>
      <c r="J56" s="95">
        <f>+I56-18000000</f>
        <v>-14321500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3678500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52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1000000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31155000</v>
      </c>
      <c r="N119" s="146">
        <f>SUM(N13:N118)</f>
        <v>0</v>
      </c>
      <c r="O119" s="146">
        <f>SUM(O13:O118)</f>
        <v>3900000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7800000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B34" zoomScaleNormal="100" zoomScaleSheetLayoutView="100" workbookViewId="0">
      <selection activeCell="M17" sqref="M1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8" bestFit="1" customWidth="1"/>
    <col min="13" max="14" width="20.7109375" style="40" customWidth="1"/>
    <col min="15" max="15" width="18.5703125" style="148" bestFit="1" customWidth="1"/>
    <col min="16" max="16" width="20.7109375" style="40" customWidth="1"/>
    <col min="17" max="17" width="21.5703125" style="109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5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60</v>
      </c>
      <c r="C3" s="9"/>
      <c r="D3" s="7"/>
      <c r="E3" s="7"/>
      <c r="F3" s="7"/>
      <c r="G3" s="7"/>
      <c r="H3" s="7" t="s">
        <v>3</v>
      </c>
      <c r="I3" s="11">
        <v>43442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C7" s="20" t="s">
        <v>8</v>
      </c>
      <c r="D7" s="20"/>
      <c r="E7" s="20" t="s">
        <v>9</v>
      </c>
      <c r="F7" s="20"/>
      <c r="G7" s="20" t="s">
        <v>10</v>
      </c>
      <c r="H7" s="8"/>
      <c r="I7" s="21"/>
      <c r="J7" s="15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C8" s="22">
        <v>100000</v>
      </c>
      <c r="D8" s="7"/>
      <c r="E8" s="21">
        <f>2-2+140</f>
        <v>140</v>
      </c>
      <c r="F8" s="21"/>
      <c r="G8" s="16">
        <f t="shared" ref="G8:G16" si="0">C8*E8</f>
        <v>14000000</v>
      </c>
      <c r="H8" s="23"/>
      <c r="I8" s="21"/>
      <c r="J8" s="24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C9" s="22">
        <v>50000</v>
      </c>
      <c r="D9" s="7"/>
      <c r="E9" s="21">
        <f>27-6+281</f>
        <v>302</v>
      </c>
      <c r="F9" s="21"/>
      <c r="G9" s="16">
        <f t="shared" si="0"/>
        <v>15100000</v>
      </c>
      <c r="H9" s="23"/>
      <c r="I9" s="21"/>
      <c r="J9" s="16"/>
      <c r="K9" s="25"/>
      <c r="L9" s="26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C10" s="22">
        <v>20000</v>
      </c>
      <c r="D10" s="7"/>
      <c r="E10" s="21">
        <f>64+5</f>
        <v>69</v>
      </c>
      <c r="F10" s="21"/>
      <c r="G10" s="16">
        <f t="shared" si="0"/>
        <v>1380000</v>
      </c>
      <c r="H10" s="8"/>
      <c r="I10" s="21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C11" s="22">
        <v>10000</v>
      </c>
      <c r="D11" s="7"/>
      <c r="E11" s="21">
        <f>22+5</f>
        <v>27</v>
      </c>
      <c r="F11" s="21"/>
      <c r="G11" s="16">
        <f t="shared" si="0"/>
        <v>270000</v>
      </c>
      <c r="H11" s="8"/>
      <c r="I11" s="21"/>
      <c r="J11" s="28"/>
      <c r="K11" s="29"/>
      <c r="L11" s="175" t="s">
        <v>12</v>
      </c>
      <c r="M11" s="176"/>
      <c r="N11" s="177" t="s">
        <v>13</v>
      </c>
      <c r="O11" s="178"/>
      <c r="P11" s="30"/>
      <c r="Q11" s="8"/>
      <c r="R11" s="2"/>
      <c r="S11" s="2"/>
      <c r="T11" s="2" t="s">
        <v>14</v>
      </c>
      <c r="U11" s="2"/>
    </row>
    <row r="12" spans="1:21" x14ac:dyDescent="0.25">
      <c r="C12" s="22">
        <v>5000</v>
      </c>
      <c r="D12" s="7"/>
      <c r="E12" s="21">
        <f>56+3</f>
        <v>59</v>
      </c>
      <c r="F12" s="21"/>
      <c r="G12" s="16">
        <f t="shared" si="0"/>
        <v>295000</v>
      </c>
      <c r="H12" s="8"/>
      <c r="I12" s="21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C13" s="22">
        <v>2000</v>
      </c>
      <c r="D13" s="7"/>
      <c r="E13" s="21">
        <f>49+9</f>
        <v>58</v>
      </c>
      <c r="F13" s="21"/>
      <c r="G13" s="16">
        <f t="shared" si="0"/>
        <v>116000</v>
      </c>
      <c r="H13" s="8"/>
      <c r="I13" s="7"/>
      <c r="J13" s="37"/>
      <c r="K13" s="154">
        <v>49591</v>
      </c>
      <c r="L13" s="156">
        <v>1000000</v>
      </c>
      <c r="M13" s="40">
        <v>500000</v>
      </c>
      <c r="N13" s="41"/>
      <c r="O13" s="42">
        <v>20100000</v>
      </c>
      <c r="P13" s="43"/>
      <c r="Q13" s="44"/>
      <c r="R13" s="45"/>
      <c r="S13" s="46"/>
      <c r="T13" s="47"/>
      <c r="U13" s="47"/>
    </row>
    <row r="14" spans="1:21" x14ac:dyDescent="0.25"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7"/>
      <c r="J14" s="37"/>
      <c r="K14" s="154">
        <v>49592</v>
      </c>
      <c r="L14" s="156">
        <v>800000</v>
      </c>
      <c r="M14" s="48">
        <v>455000</v>
      </c>
      <c r="N14" s="41"/>
      <c r="O14" s="39"/>
      <c r="P14" s="49"/>
      <c r="Q14" s="50"/>
      <c r="R14" s="51"/>
    </row>
    <row r="15" spans="1:21" x14ac:dyDescent="0.25"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7"/>
      <c r="J15" s="37"/>
      <c r="K15" s="154">
        <v>49593</v>
      </c>
      <c r="L15" s="156">
        <v>420000</v>
      </c>
      <c r="M15" s="48">
        <v>195000</v>
      </c>
      <c r="N15" s="41"/>
      <c r="O15" s="39"/>
      <c r="P15" s="49"/>
      <c r="Q15" s="52"/>
      <c r="R15" s="46"/>
      <c r="S15" s="53"/>
      <c r="T15" s="51"/>
      <c r="U15" s="51"/>
    </row>
    <row r="16" spans="1:21" ht="18.75" x14ac:dyDescent="0.3">
      <c r="A16" s="7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154">
        <v>49594</v>
      </c>
      <c r="L16" s="156">
        <v>800000</v>
      </c>
      <c r="M16" s="155">
        <v>60000</v>
      </c>
      <c r="N16" s="55"/>
      <c r="O16" s="39"/>
      <c r="P16" s="56"/>
      <c r="Q16" s="52"/>
      <c r="R16" s="46"/>
      <c r="S16" s="53"/>
      <c r="T16" s="51">
        <f>SUM(T7:T15)</f>
        <v>0</v>
      </c>
      <c r="U16" s="51">
        <f>SUM(U7:U15)</f>
        <v>0</v>
      </c>
    </row>
    <row r="17" spans="1:21" ht="18.75" x14ac:dyDescent="0.3">
      <c r="A17" s="7"/>
      <c r="B17" s="7"/>
      <c r="C17" s="17" t="s">
        <v>22</v>
      </c>
      <c r="D17" s="7"/>
      <c r="E17" s="21"/>
      <c r="F17" s="7"/>
      <c r="G17" s="7"/>
      <c r="H17" s="8">
        <f>SUM(G8:G16)</f>
        <v>31161000</v>
      </c>
      <c r="I17" s="9"/>
      <c r="J17" s="37"/>
      <c r="K17" s="154">
        <v>49597</v>
      </c>
      <c r="L17" s="156">
        <v>4000000</v>
      </c>
      <c r="M17" s="155">
        <v>25500</v>
      </c>
      <c r="N17" s="38"/>
      <c r="O17" s="39"/>
      <c r="P17" s="57"/>
      <c r="Q17" s="29"/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58"/>
      <c r="K18" s="154">
        <v>49598</v>
      </c>
      <c r="L18" s="156">
        <v>850000</v>
      </c>
      <c r="M18" s="48"/>
      <c r="N18" s="59"/>
      <c r="O18" s="39"/>
      <c r="P18" s="57"/>
      <c r="Q18" s="60"/>
      <c r="R18" s="61"/>
    </row>
    <row r="19" spans="1:21" x14ac:dyDescent="0.25">
      <c r="A19" s="7"/>
      <c r="B19" s="21"/>
      <c r="C19" s="7" t="s">
        <v>8</v>
      </c>
      <c r="D19" s="7"/>
      <c r="E19" s="7" t="s">
        <v>23</v>
      </c>
      <c r="F19" s="7"/>
      <c r="G19" s="7" t="s">
        <v>10</v>
      </c>
      <c r="H19" s="8"/>
      <c r="I19" s="22"/>
      <c r="J19" s="58"/>
      <c r="K19" s="154">
        <v>49609</v>
      </c>
      <c r="L19" s="156">
        <v>1000000</v>
      </c>
      <c r="M19" s="48"/>
      <c r="N19" s="59"/>
      <c r="O19" s="39"/>
      <c r="P19" s="56"/>
      <c r="Q19" s="62"/>
      <c r="R19" s="46"/>
      <c r="S19" s="53"/>
      <c r="T19" s="63" t="s">
        <v>24</v>
      </c>
      <c r="U19" s="53"/>
    </row>
    <row r="20" spans="1:21" x14ac:dyDescent="0.25">
      <c r="A20" s="7"/>
      <c r="B20" s="21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58"/>
      <c r="K20" s="64"/>
      <c r="L20" s="157"/>
      <c r="M20" s="48"/>
      <c r="N20" s="38"/>
      <c r="O20" s="39"/>
      <c r="P20" s="65"/>
      <c r="Q20" s="30"/>
      <c r="R20" s="46"/>
      <c r="S20" s="53"/>
      <c r="T20" s="63"/>
      <c r="U20" s="53"/>
    </row>
    <row r="21" spans="1:21" x14ac:dyDescent="0.25">
      <c r="A21" s="7"/>
      <c r="B21" s="21" t="s">
        <v>7</v>
      </c>
      <c r="C21" s="22">
        <v>500</v>
      </c>
      <c r="D21" s="7"/>
      <c r="E21" s="7">
        <f>501+3</f>
        <v>504</v>
      </c>
      <c r="F21" s="7"/>
      <c r="G21" s="22">
        <f>C21*E21</f>
        <v>252000</v>
      </c>
      <c r="H21" s="8"/>
      <c r="I21" s="22"/>
      <c r="J21" s="58"/>
      <c r="K21" s="153">
        <v>49601</v>
      </c>
      <c r="L21" s="156">
        <v>950000</v>
      </c>
      <c r="M21" s="48"/>
      <c r="N21" s="38"/>
      <c r="O21" s="39"/>
      <c r="P21" s="57"/>
      <c r="Q21" s="52"/>
      <c r="R21" s="61"/>
    </row>
    <row r="22" spans="1:21" x14ac:dyDescent="0.25">
      <c r="A22" s="7"/>
      <c r="B22" s="21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58"/>
      <c r="K22" s="153">
        <v>49604</v>
      </c>
      <c r="L22" s="156">
        <v>775000</v>
      </c>
      <c r="M22" s="48"/>
      <c r="N22" s="38"/>
      <c r="O22" s="39"/>
      <c r="P22" s="57"/>
      <c r="Q22" s="52"/>
      <c r="R22" s="61"/>
    </row>
    <row r="23" spans="1:21" x14ac:dyDescent="0.25">
      <c r="A23" s="7"/>
      <c r="B23" s="21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58"/>
      <c r="K23" s="153">
        <v>49608</v>
      </c>
      <c r="L23" s="156">
        <v>750000</v>
      </c>
      <c r="M23" s="48"/>
      <c r="N23" s="38"/>
      <c r="O23" s="39"/>
      <c r="P23" s="57"/>
      <c r="Q23" s="52"/>
      <c r="R23" s="61"/>
    </row>
    <row r="24" spans="1:21" x14ac:dyDescent="0.25">
      <c r="A24" s="7"/>
      <c r="B24" s="21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58"/>
      <c r="K24" s="153">
        <v>49595</v>
      </c>
      <c r="L24" s="156">
        <v>700000</v>
      </c>
      <c r="M24" s="48"/>
      <c r="N24" s="38"/>
      <c r="O24" s="39"/>
      <c r="P24" s="66"/>
      <c r="Q24" s="44"/>
      <c r="R24" s="46"/>
      <c r="S24" s="53"/>
      <c r="T24" s="63"/>
      <c r="U24" s="53"/>
    </row>
    <row r="25" spans="1:21" x14ac:dyDescent="0.25">
      <c r="A25" s="7"/>
      <c r="B25" s="21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153">
        <v>49596</v>
      </c>
      <c r="L25" s="156">
        <v>850000</v>
      </c>
      <c r="M25" s="48"/>
      <c r="N25" s="38"/>
      <c r="O25" s="39"/>
      <c r="P25" s="68"/>
      <c r="Q25" s="50"/>
      <c r="R25" s="69"/>
    </row>
    <row r="26" spans="1:21" x14ac:dyDescent="0.25">
      <c r="A26" s="7"/>
      <c r="B26" s="21"/>
      <c r="C26" s="17"/>
      <c r="D26" s="7"/>
      <c r="E26" s="7"/>
      <c r="F26" s="7"/>
      <c r="G26" s="7"/>
      <c r="H26" s="70">
        <f>SUM(G20:G25)</f>
        <v>252000</v>
      </c>
      <c r="I26" s="8"/>
      <c r="J26" s="37"/>
      <c r="K26" s="153">
        <v>49599</v>
      </c>
      <c r="L26" s="156">
        <v>100000</v>
      </c>
      <c r="N26" s="38"/>
      <c r="O26" s="39"/>
      <c r="P26" s="71"/>
      <c r="Q26" s="50"/>
      <c r="R26" s="69"/>
    </row>
    <row r="27" spans="1:21" x14ac:dyDescent="0.25">
      <c r="A27" s="7"/>
      <c r="B27" s="21"/>
      <c r="C27" s="17" t="s">
        <v>22</v>
      </c>
      <c r="D27" s="7"/>
      <c r="E27" s="7"/>
      <c r="F27" s="7"/>
      <c r="G27" s="7"/>
      <c r="H27" s="8"/>
      <c r="I27" s="8">
        <f>H17+H26</f>
        <v>31413000</v>
      </c>
      <c r="J27" s="37"/>
      <c r="K27" s="153">
        <v>49600</v>
      </c>
      <c r="L27" s="156">
        <v>250000</v>
      </c>
      <c r="N27" s="38"/>
      <c r="O27" s="39"/>
      <c r="P27" s="56"/>
      <c r="Q27" s="72"/>
      <c r="R27" s="46"/>
      <c r="S27" s="53"/>
      <c r="T27" s="63"/>
      <c r="U27" s="53"/>
    </row>
    <row r="28" spans="1:21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153">
        <v>49602</v>
      </c>
      <c r="L28" s="156">
        <v>1000000</v>
      </c>
      <c r="N28" s="38"/>
      <c r="O28" s="39"/>
      <c r="P28" s="73"/>
      <c r="Q28" s="50"/>
      <c r="R28" s="69"/>
    </row>
    <row r="29" spans="1:21" x14ac:dyDescent="0.25">
      <c r="A29" s="7"/>
      <c r="B29" s="7"/>
      <c r="C29" s="17" t="s">
        <v>25</v>
      </c>
      <c r="D29" s="7"/>
      <c r="E29" s="7"/>
      <c r="F29" s="7"/>
      <c r="G29" s="7"/>
      <c r="H29" s="8"/>
      <c r="I29" s="8"/>
      <c r="J29" s="37"/>
      <c r="K29" s="153">
        <v>49603</v>
      </c>
      <c r="L29" s="156">
        <v>1175000</v>
      </c>
      <c r="M29" s="74"/>
      <c r="N29" s="38"/>
      <c r="O29" s="39"/>
      <c r="P29" s="74"/>
      <c r="Q29" s="44"/>
      <c r="R29" s="46"/>
      <c r="S29" s="53"/>
      <c r="T29" s="63"/>
      <c r="U29" s="53"/>
    </row>
    <row r="30" spans="1:21" x14ac:dyDescent="0.25">
      <c r="A30" s="7"/>
      <c r="B30" s="7"/>
      <c r="C30" s="7" t="s">
        <v>26</v>
      </c>
      <c r="D30" s="7"/>
      <c r="E30" s="7"/>
      <c r="F30" s="7"/>
      <c r="G30" s="7" t="s">
        <v>7</v>
      </c>
      <c r="H30" s="8"/>
      <c r="I30" s="8">
        <f>+'4 Des'!I38</f>
        <v>881507793</v>
      </c>
      <c r="J30" s="37"/>
      <c r="K30" s="153">
        <v>49606</v>
      </c>
      <c r="L30" s="156">
        <v>600000</v>
      </c>
      <c r="M30" s="74"/>
      <c r="N30" s="38"/>
      <c r="O30" s="39"/>
      <c r="P30" s="74"/>
      <c r="Q30" s="44"/>
      <c r="R30" s="2"/>
      <c r="S30" s="53"/>
      <c r="T30" s="2"/>
      <c r="U30" s="53"/>
    </row>
    <row r="31" spans="1:21" x14ac:dyDescent="0.25">
      <c r="A31" s="7"/>
      <c r="B31" s="7"/>
      <c r="C31" s="7" t="s">
        <v>27</v>
      </c>
      <c r="D31" s="7"/>
      <c r="E31" s="7"/>
      <c r="F31" s="7"/>
      <c r="G31" s="7"/>
      <c r="H31" s="8"/>
      <c r="I31" s="8">
        <f>'7 des '!I27</f>
        <v>3678500</v>
      </c>
      <c r="J31" s="37"/>
      <c r="K31" s="153">
        <v>49607</v>
      </c>
      <c r="L31" s="156">
        <v>1100000</v>
      </c>
      <c r="M31" s="74"/>
      <c r="N31" s="38"/>
      <c r="O31" s="39"/>
      <c r="P31" s="74"/>
      <c r="Q31" s="44"/>
      <c r="R31" s="2"/>
      <c r="S31" s="53"/>
      <c r="T31" s="2"/>
      <c r="U31" s="53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153">
        <v>49610</v>
      </c>
      <c r="L32" s="156">
        <v>400000</v>
      </c>
      <c r="M32" s="74"/>
      <c r="N32" s="38"/>
      <c r="O32" s="39"/>
      <c r="P32" s="74"/>
      <c r="Q32" s="44"/>
      <c r="R32" s="2"/>
      <c r="S32" s="53"/>
      <c r="T32" s="2"/>
      <c r="U32" s="53"/>
    </row>
    <row r="33" spans="1:21" x14ac:dyDescent="0.25">
      <c r="A33" s="7"/>
      <c r="B33" s="7"/>
      <c r="C33" s="17" t="s">
        <v>28</v>
      </c>
      <c r="D33" s="7"/>
      <c r="E33" s="7"/>
      <c r="F33" s="7"/>
      <c r="G33" s="7"/>
      <c r="H33" s="8"/>
      <c r="I33" s="46"/>
      <c r="J33" s="37"/>
      <c r="K33" s="153">
        <v>49611</v>
      </c>
      <c r="L33" s="156">
        <v>3625000</v>
      </c>
      <c r="M33" s="74"/>
      <c r="N33" s="38"/>
      <c r="O33" s="39"/>
      <c r="P33" s="74"/>
      <c r="Q33" s="44"/>
      <c r="R33" s="2"/>
      <c r="S33" s="53"/>
      <c r="T33" s="75"/>
      <c r="U33" s="53"/>
    </row>
    <row r="34" spans="1:21" x14ac:dyDescent="0.25">
      <c r="A34" s="7"/>
      <c r="B34" s="17">
        <v>1</v>
      </c>
      <c r="C34" s="17" t="s">
        <v>29</v>
      </c>
      <c r="D34" s="7"/>
      <c r="E34" s="7"/>
      <c r="F34" s="7"/>
      <c r="G34" s="7"/>
      <c r="H34" s="8"/>
      <c r="I34" s="8"/>
      <c r="J34" s="37"/>
      <c r="K34" s="153">
        <v>49612</v>
      </c>
      <c r="L34" s="156">
        <v>350000</v>
      </c>
      <c r="M34" s="74"/>
      <c r="N34" s="38"/>
      <c r="O34" s="39"/>
      <c r="P34" s="74"/>
      <c r="Q34" s="44"/>
      <c r="R34" s="53"/>
      <c r="S34" s="53"/>
      <c r="T34" s="2"/>
      <c r="U34" s="53"/>
    </row>
    <row r="35" spans="1:21" x14ac:dyDescent="0.25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153">
        <v>49605</v>
      </c>
      <c r="L35" s="156">
        <v>575000</v>
      </c>
      <c r="N35" s="38"/>
      <c r="O35" s="39"/>
      <c r="Q35" s="44"/>
      <c r="R35" s="9"/>
      <c r="S35" s="53"/>
      <c r="T35" s="2"/>
      <c r="U35" s="2"/>
    </row>
    <row r="36" spans="1:21" x14ac:dyDescent="0.25">
      <c r="A36" s="7"/>
      <c r="B36" s="7"/>
      <c r="C36" s="7" t="s">
        <v>30</v>
      </c>
      <c r="D36" s="7"/>
      <c r="E36" s="7" t="s">
        <v>31</v>
      </c>
      <c r="F36" s="7"/>
      <c r="G36" s="22"/>
      <c r="H36" s="70">
        <v>0</v>
      </c>
      <c r="I36" s="8"/>
      <c r="J36" s="76"/>
      <c r="K36" s="153">
        <v>49613</v>
      </c>
      <c r="L36" s="156">
        <v>1000000</v>
      </c>
      <c r="M36" s="77"/>
      <c r="N36" s="38"/>
      <c r="O36" s="39"/>
      <c r="Q36" s="44"/>
      <c r="S36" s="53"/>
      <c r="T36" s="2"/>
      <c r="U36" s="2"/>
    </row>
    <row r="37" spans="1:21" x14ac:dyDescent="0.25">
      <c r="A37" s="7"/>
      <c r="B37" s="7"/>
      <c r="C37" s="7" t="s">
        <v>32</v>
      </c>
      <c r="D37" s="7"/>
      <c r="E37" s="7"/>
      <c r="F37" s="7"/>
      <c r="G37" s="7"/>
      <c r="H37" s="78"/>
      <c r="I37" s="7" t="s">
        <v>7</v>
      </c>
      <c r="J37" s="37"/>
      <c r="K37" s="153">
        <v>49614</v>
      </c>
      <c r="L37" s="156">
        <v>400000</v>
      </c>
      <c r="M37" s="77"/>
      <c r="N37" s="38"/>
      <c r="O37" s="39"/>
      <c r="Q37" s="44"/>
      <c r="S37" s="53"/>
      <c r="T37" s="2"/>
      <c r="U37" s="2"/>
    </row>
    <row r="38" spans="1:21" x14ac:dyDescent="0.25">
      <c r="A38" s="7"/>
      <c r="B38" s="7"/>
      <c r="C38" s="7" t="s">
        <v>33</v>
      </c>
      <c r="D38" s="7"/>
      <c r="E38" s="7"/>
      <c r="F38" s="7"/>
      <c r="G38" s="7"/>
      <c r="H38" s="8"/>
      <c r="I38" s="8">
        <f>+I30+H36-H37</f>
        <v>881507793</v>
      </c>
      <c r="J38" s="37"/>
      <c r="K38" s="153">
        <v>49615</v>
      </c>
      <c r="L38" s="156">
        <v>4000000</v>
      </c>
      <c r="M38" s="77"/>
      <c r="N38" s="38"/>
      <c r="O38" s="39"/>
      <c r="Q38" s="44"/>
      <c r="S38" s="53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153">
        <v>49616</v>
      </c>
      <c r="L39" s="156">
        <v>1400000</v>
      </c>
      <c r="M39" s="77"/>
      <c r="N39" s="38"/>
      <c r="O39" s="39"/>
      <c r="Q39" s="44"/>
      <c r="S39" s="53"/>
      <c r="T39" s="2"/>
      <c r="U39" s="2"/>
    </row>
    <row r="40" spans="1:21" x14ac:dyDescent="0.25">
      <c r="A40" s="7"/>
      <c r="B40" s="7"/>
      <c r="C40" s="7" t="s">
        <v>34</v>
      </c>
      <c r="D40" s="7"/>
      <c r="E40" s="7"/>
      <c r="F40" s="7"/>
      <c r="G40" s="7"/>
      <c r="H40" s="8">
        <v>75000000</v>
      </c>
      <c r="I40" s="8"/>
      <c r="J40" s="37"/>
      <c r="K40" s="153">
        <v>49617</v>
      </c>
      <c r="L40" s="156">
        <v>100000</v>
      </c>
      <c r="M40" s="77"/>
      <c r="N40" s="38"/>
      <c r="O40" s="39"/>
      <c r="Q40" s="44"/>
      <c r="S40" s="53"/>
      <c r="T40" s="2"/>
      <c r="U40" s="2"/>
    </row>
    <row r="41" spans="1:21" x14ac:dyDescent="0.2">
      <c r="A41" s="7"/>
      <c r="B41" s="7"/>
      <c r="C41" s="17" t="s">
        <v>35</v>
      </c>
      <c r="D41" s="7"/>
      <c r="E41" s="7"/>
      <c r="F41" s="7"/>
      <c r="G41" s="7"/>
      <c r="H41" s="70">
        <v>10606041</v>
      </c>
      <c r="J41" s="37"/>
      <c r="K41" s="37"/>
      <c r="L41" s="39">
        <v>-20100000</v>
      </c>
      <c r="N41" s="38"/>
      <c r="O41" s="39"/>
      <c r="Q41" s="44"/>
      <c r="S41" s="53"/>
      <c r="T41" s="2"/>
      <c r="U41" s="2"/>
    </row>
    <row r="42" spans="1:21" x14ac:dyDescent="0.2">
      <c r="A42" s="7"/>
      <c r="B42" s="7"/>
      <c r="C42" s="17" t="s">
        <v>36</v>
      </c>
      <c r="D42" s="7"/>
      <c r="E42" s="7"/>
      <c r="F42" s="7"/>
      <c r="G42" s="7"/>
      <c r="H42" s="8">
        <v>135852416</v>
      </c>
      <c r="I42" s="8"/>
      <c r="J42" s="37"/>
      <c r="K42" s="37"/>
      <c r="L42" s="39"/>
      <c r="N42" s="38"/>
      <c r="O42" s="39"/>
      <c r="Q42" s="44"/>
      <c r="S42" s="53"/>
      <c r="T42" s="2"/>
      <c r="U42" s="2"/>
    </row>
    <row r="43" spans="1:21" ht="16.5" x14ac:dyDescent="0.35">
      <c r="A43" s="7"/>
      <c r="B43" s="7"/>
      <c r="C43" s="17" t="s">
        <v>37</v>
      </c>
      <c r="D43" s="7"/>
      <c r="E43" s="7"/>
      <c r="F43" s="7"/>
      <c r="G43" s="7"/>
      <c r="H43" s="79">
        <f>100904136-37737579</f>
        <v>63166557</v>
      </c>
      <c r="I43" s="8"/>
      <c r="J43" s="37"/>
      <c r="K43" s="37"/>
      <c r="L43" s="39"/>
      <c r="N43" s="80"/>
      <c r="O43" s="42"/>
      <c r="Q43" s="44"/>
      <c r="S43" s="53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284625014</v>
      </c>
      <c r="J44" s="37"/>
      <c r="K44" s="37"/>
      <c r="L44" s="39"/>
      <c r="N44" s="38"/>
      <c r="O44" s="42"/>
      <c r="Q44" s="44"/>
      <c r="R44" s="45"/>
      <c r="S44" s="46"/>
      <c r="T44" s="45"/>
      <c r="U44" s="47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2">
        <f>SUM(I38:I44)</f>
        <v>1166132807</v>
      </c>
      <c r="J45" s="37"/>
      <c r="K45" s="37"/>
      <c r="L45" s="39"/>
      <c r="N45" s="80"/>
      <c r="O45" s="42"/>
      <c r="Q45" s="44"/>
      <c r="R45" s="45"/>
      <c r="S45" s="47"/>
      <c r="T45" s="45"/>
      <c r="U45" s="47"/>
    </row>
    <row r="46" spans="1:21" x14ac:dyDescent="0.2">
      <c r="A46" s="7"/>
      <c r="B46" s="17">
        <v>2</v>
      </c>
      <c r="C46" s="17" t="s">
        <v>38</v>
      </c>
      <c r="D46" s="7"/>
      <c r="E46" s="7"/>
      <c r="F46" s="7"/>
      <c r="G46" s="7"/>
      <c r="H46" s="8"/>
      <c r="I46" s="8"/>
      <c r="J46" s="83"/>
      <c r="K46" s="37"/>
      <c r="L46" s="39"/>
      <c r="N46" s="38"/>
      <c r="O46" s="80"/>
      <c r="Q46" s="44"/>
      <c r="R46" s="84"/>
      <c r="S46" s="84">
        <f>SUM(S12:S44)</f>
        <v>0</v>
      </c>
      <c r="T46" s="45"/>
      <c r="U46" s="47"/>
    </row>
    <row r="47" spans="1:21" x14ac:dyDescent="0.2">
      <c r="A47" s="7"/>
      <c r="B47" s="7"/>
      <c r="C47" s="7" t="s">
        <v>32</v>
      </c>
      <c r="D47" s="7"/>
      <c r="E47" s="7"/>
      <c r="F47" s="7"/>
      <c r="G47" s="16"/>
      <c r="H47" s="8">
        <f>M119</f>
        <v>1235500</v>
      </c>
      <c r="I47" s="8"/>
      <c r="J47" s="83"/>
      <c r="K47" s="37"/>
      <c r="L47" s="39"/>
      <c r="M47" s="85"/>
      <c r="N47" s="38"/>
      <c r="O47" s="80"/>
      <c r="P47" s="85"/>
      <c r="Q47" s="44"/>
      <c r="S47" s="2"/>
      <c r="U47" s="2"/>
    </row>
    <row r="48" spans="1:21" x14ac:dyDescent="0.2">
      <c r="A48" s="7"/>
      <c r="B48" s="7"/>
      <c r="C48" s="7" t="s">
        <v>39</v>
      </c>
      <c r="D48" s="7"/>
      <c r="E48" s="7"/>
      <c r="F48" s="7"/>
      <c r="G48" s="21"/>
      <c r="H48" s="86">
        <v>0</v>
      </c>
      <c r="I48" s="8" t="s">
        <v>7</v>
      </c>
      <c r="J48" s="87"/>
      <c r="K48" s="37"/>
      <c r="L48" s="39"/>
      <c r="M48" s="85"/>
      <c r="N48" s="38"/>
      <c r="O48" s="52"/>
      <c r="P48" s="85"/>
      <c r="Q48" s="44"/>
      <c r="R48" s="88"/>
      <c r="S48" s="2" t="s">
        <v>40</v>
      </c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9"/>
      <c r="I49" s="8">
        <f>H47+H48</f>
        <v>1235500</v>
      </c>
      <c r="J49" s="87"/>
      <c r="K49" s="37"/>
      <c r="L49" s="39"/>
      <c r="M49" s="85"/>
      <c r="N49" s="38"/>
      <c r="O49" s="52"/>
      <c r="P49" s="85"/>
      <c r="Q49" s="44"/>
      <c r="R49" s="88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90"/>
      <c r="I50" s="8" t="s">
        <v>7</v>
      </c>
      <c r="J50" s="37"/>
      <c r="K50" s="37"/>
      <c r="L50" s="39"/>
      <c r="N50" s="91"/>
      <c r="O50" s="52"/>
      <c r="Q50" s="44"/>
      <c r="S50" s="88"/>
    </row>
    <row r="51" spans="1:21" x14ac:dyDescent="0.2">
      <c r="A51" s="7"/>
      <c r="B51" s="7"/>
      <c r="C51" s="7" t="s">
        <v>41</v>
      </c>
      <c r="D51" s="7"/>
      <c r="E51" s="7"/>
      <c r="F51" s="7"/>
      <c r="G51" s="16"/>
      <c r="I51" s="8">
        <v>0</v>
      </c>
      <c r="J51" s="37"/>
      <c r="K51" s="37"/>
      <c r="L51" s="39"/>
      <c r="M51" s="85"/>
      <c r="N51" s="38"/>
      <c r="O51" s="52"/>
      <c r="P51" s="85"/>
      <c r="Q51" s="44"/>
      <c r="R51" s="88"/>
      <c r="S51" s="2"/>
      <c r="U51" s="2"/>
    </row>
    <row r="52" spans="1:21" x14ac:dyDescent="0.2">
      <c r="A52" s="7"/>
      <c r="B52" s="7"/>
      <c r="C52" s="92" t="s">
        <v>42</v>
      </c>
      <c r="D52" s="7"/>
      <c r="E52" s="7"/>
      <c r="F52" s="7"/>
      <c r="G52" s="16"/>
      <c r="H52" s="70">
        <f>+L68</f>
        <v>8870000</v>
      </c>
      <c r="I52" s="8"/>
      <c r="J52" s="83"/>
      <c r="K52" s="37"/>
      <c r="L52" s="39"/>
      <c r="N52" s="91"/>
      <c r="O52" s="52"/>
      <c r="Q52" s="44"/>
    </row>
    <row r="53" spans="1:21" x14ac:dyDescent="0.2">
      <c r="A53" s="7"/>
      <c r="B53" s="7"/>
      <c r="C53" s="92" t="s">
        <v>43</v>
      </c>
      <c r="D53" s="7"/>
      <c r="E53" s="7"/>
      <c r="F53" s="7"/>
      <c r="G53" s="16"/>
      <c r="H53" s="70">
        <f>SUM(O13:O23)</f>
        <v>20100000</v>
      </c>
      <c r="I53" s="8"/>
      <c r="J53" s="83"/>
      <c r="K53" s="37"/>
      <c r="L53" s="39"/>
      <c r="M53" s="85"/>
      <c r="N53" s="38"/>
      <c r="O53" s="52"/>
      <c r="P53" s="85"/>
      <c r="Q53" s="44"/>
      <c r="R53" s="88"/>
      <c r="S53" s="2"/>
      <c r="U53" s="2"/>
    </row>
    <row r="54" spans="1:21" x14ac:dyDescent="0.25">
      <c r="A54" s="7"/>
      <c r="B54" s="7"/>
      <c r="C54" s="7" t="s">
        <v>44</v>
      </c>
      <c r="D54" s="7"/>
      <c r="E54" s="7"/>
      <c r="F54" s="7"/>
      <c r="G54" s="7"/>
      <c r="H54" s="78">
        <v>0</v>
      </c>
      <c r="I54" s="8"/>
      <c r="J54" s="93"/>
      <c r="K54" s="37"/>
      <c r="L54" s="39"/>
      <c r="M54" s="85"/>
      <c r="N54" s="38"/>
      <c r="O54" s="52"/>
      <c r="P54" s="85"/>
      <c r="Q54" s="44"/>
      <c r="R54" s="88"/>
      <c r="S54" s="2"/>
      <c r="U54" s="2"/>
    </row>
    <row r="55" spans="1:21" x14ac:dyDescent="0.25">
      <c r="A55" s="7"/>
      <c r="B55" s="7"/>
      <c r="C55" s="7" t="s">
        <v>45</v>
      </c>
      <c r="D55" s="7"/>
      <c r="E55" s="7"/>
      <c r="F55" s="7"/>
      <c r="G55" s="7"/>
      <c r="H55" s="16"/>
      <c r="I55" s="78">
        <f>SUM(H52:H54)</f>
        <v>28970000</v>
      </c>
      <c r="J55" s="94"/>
      <c r="K55" s="37"/>
      <c r="L55" s="39"/>
      <c r="M55" s="85"/>
      <c r="N55" s="38"/>
      <c r="O55" s="52"/>
      <c r="P55" s="85"/>
      <c r="Q55" s="44"/>
      <c r="R55" s="88"/>
      <c r="S55" s="2"/>
      <c r="U55" s="2"/>
    </row>
    <row r="56" spans="1:21" x14ac:dyDescent="0.25">
      <c r="A56" s="7"/>
      <c r="B56" s="7"/>
      <c r="C56" s="17" t="s">
        <v>45</v>
      </c>
      <c r="D56" s="7"/>
      <c r="E56" s="7"/>
      <c r="F56" s="7"/>
      <c r="G56" s="7"/>
      <c r="H56" s="8"/>
      <c r="I56" s="8">
        <f>+I31-I49+I55</f>
        <v>31413000</v>
      </c>
      <c r="J56" s="95">
        <f>+I56-18000000</f>
        <v>13413000</v>
      </c>
      <c r="K56" s="37"/>
      <c r="L56" s="39"/>
      <c r="M56" s="85"/>
      <c r="N56" s="38"/>
      <c r="O56" s="52"/>
      <c r="P56" s="85"/>
      <c r="Q56" s="44"/>
      <c r="R56" s="96"/>
      <c r="S56" s="75"/>
      <c r="T56" s="96"/>
      <c r="U56" s="75"/>
    </row>
    <row r="57" spans="1:21" x14ac:dyDescent="0.25">
      <c r="A57" s="92" t="s">
        <v>46</v>
      </c>
      <c r="B57" s="7"/>
      <c r="C57" s="7" t="s">
        <v>47</v>
      </c>
      <c r="D57" s="7"/>
      <c r="E57" s="7"/>
      <c r="F57" s="7"/>
      <c r="G57" s="7"/>
      <c r="H57" s="8"/>
      <c r="I57" s="8">
        <f>+I27</f>
        <v>31413000</v>
      </c>
      <c r="J57" s="97"/>
      <c r="K57" s="37"/>
      <c r="L57" s="39"/>
      <c r="M57" s="98"/>
      <c r="N57" s="38"/>
      <c r="O57" s="52"/>
      <c r="P57" s="98"/>
      <c r="Q57" s="44"/>
      <c r="R57" s="96"/>
      <c r="S57" s="75"/>
      <c r="T57" s="96"/>
      <c r="U57" s="75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8">
        <v>0</v>
      </c>
      <c r="J58" s="97"/>
      <c r="K58" s="37"/>
      <c r="L58" s="39"/>
      <c r="M58" s="98"/>
      <c r="N58" s="38"/>
      <c r="O58" s="52"/>
      <c r="P58" s="98"/>
      <c r="Q58" s="44"/>
      <c r="R58" s="96"/>
      <c r="S58" s="75"/>
      <c r="T58" s="96"/>
      <c r="U58" s="75"/>
    </row>
    <row r="59" spans="1:21" x14ac:dyDescent="0.25">
      <c r="A59" s="7"/>
      <c r="B59" s="7"/>
      <c r="C59" s="7"/>
      <c r="D59" s="7"/>
      <c r="E59" s="7" t="s">
        <v>48</v>
      </c>
      <c r="F59" s="7"/>
      <c r="G59" s="7"/>
      <c r="H59" s="8"/>
      <c r="I59" s="8">
        <f>+I57-I56</f>
        <v>0</v>
      </c>
      <c r="J59" s="99"/>
      <c r="K59" s="37"/>
      <c r="L59" s="39"/>
      <c r="M59" s="100"/>
      <c r="N59" s="38"/>
      <c r="O59" s="52"/>
      <c r="P59" s="100"/>
      <c r="Q59" s="44"/>
      <c r="R59" s="96"/>
      <c r="S59" s="75"/>
      <c r="T59" s="96"/>
      <c r="U59" s="101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7"/>
      <c r="L60" s="39"/>
      <c r="M60" s="85"/>
      <c r="N60" s="38"/>
      <c r="O60" s="52"/>
      <c r="P60" s="85"/>
      <c r="Q60" s="44"/>
      <c r="R60" s="96"/>
      <c r="S60" s="75"/>
      <c r="T60" s="96"/>
      <c r="U60" s="96"/>
    </row>
    <row r="61" spans="1:21" x14ac:dyDescent="0.25">
      <c r="A61" s="7" t="s">
        <v>49</v>
      </c>
      <c r="B61" s="7"/>
      <c r="C61" s="7"/>
      <c r="D61" s="7"/>
      <c r="E61" s="7"/>
      <c r="F61" s="7"/>
      <c r="G61" s="7"/>
      <c r="H61" s="8"/>
      <c r="I61" s="102"/>
      <c r="J61" s="99"/>
      <c r="K61" s="37"/>
      <c r="L61" s="39"/>
      <c r="M61" s="100"/>
      <c r="N61" s="38"/>
      <c r="O61" s="52"/>
      <c r="P61" s="100"/>
      <c r="Q61" s="44"/>
      <c r="R61" s="96"/>
      <c r="S61" s="75"/>
      <c r="T61" s="96"/>
      <c r="U61" s="96"/>
    </row>
    <row r="62" spans="1:21" x14ac:dyDescent="0.25">
      <c r="A62" s="7" t="s">
        <v>50</v>
      </c>
      <c r="B62" s="7"/>
      <c r="C62" s="7"/>
      <c r="D62" s="7"/>
      <c r="E62" s="7" t="s">
        <v>7</v>
      </c>
      <c r="F62" s="7"/>
      <c r="G62" s="7" t="s">
        <v>51</v>
      </c>
      <c r="H62" s="8"/>
      <c r="I62" s="22"/>
      <c r="J62" s="99"/>
      <c r="K62" s="37"/>
      <c r="L62" s="39"/>
      <c r="M62" s="100"/>
      <c r="N62" s="38"/>
      <c r="O62" s="52"/>
      <c r="P62" s="100"/>
      <c r="Q62" s="44"/>
      <c r="R62" s="96"/>
      <c r="S62" s="75"/>
      <c r="T62" s="96"/>
      <c r="U62" s="96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9"/>
      <c r="K63" s="38"/>
      <c r="L63" s="103"/>
      <c r="M63" s="100"/>
      <c r="N63" s="104"/>
      <c r="O63" s="52"/>
      <c r="P63" s="100"/>
      <c r="Q63" s="44"/>
    </row>
    <row r="64" spans="1:21" x14ac:dyDescent="0.25">
      <c r="A64" s="105"/>
      <c r="B64" s="106"/>
      <c r="C64" s="106"/>
      <c r="D64" s="107"/>
      <c r="E64" s="107"/>
      <c r="F64" s="107"/>
      <c r="G64" s="107"/>
      <c r="H64" s="107"/>
      <c r="J64" s="99"/>
      <c r="K64" s="38"/>
      <c r="L64" s="103"/>
      <c r="N64" s="91"/>
      <c r="O64" s="108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8"/>
      <c r="L65" s="110"/>
      <c r="N65" s="91"/>
      <c r="O65" s="52"/>
      <c r="Q65" s="44"/>
    </row>
    <row r="66" spans="1:21" x14ac:dyDescent="0.25">
      <c r="A66" s="111" t="s">
        <v>66</v>
      </c>
      <c r="B66" s="106"/>
      <c r="C66" s="106"/>
      <c r="D66" s="107"/>
      <c r="E66" s="107"/>
      <c r="F66" s="107"/>
      <c r="G66" s="9" t="s">
        <v>53</v>
      </c>
      <c r="J66" s="99"/>
      <c r="K66" s="38"/>
      <c r="L66" s="110"/>
      <c r="M66" s="100"/>
      <c r="N66" s="112"/>
      <c r="O66" s="52"/>
      <c r="P66" s="100"/>
      <c r="Q66" s="44"/>
      <c r="R66" s="96"/>
      <c r="S66" s="75"/>
      <c r="T66" s="96"/>
      <c r="U66" s="96"/>
    </row>
    <row r="67" spans="1:21" x14ac:dyDescent="0.25">
      <c r="K67" s="38"/>
      <c r="L67" s="113"/>
      <c r="M67" s="100"/>
      <c r="N67" s="112"/>
      <c r="O67" s="50"/>
      <c r="P67" s="100"/>
      <c r="Q67" s="44"/>
      <c r="S67" s="53"/>
    </row>
    <row r="68" spans="1:21" x14ac:dyDescent="0.25">
      <c r="A68" s="111" t="s">
        <v>54</v>
      </c>
      <c r="B68" s="106"/>
      <c r="C68" s="106"/>
      <c r="D68" s="107"/>
      <c r="E68" s="107"/>
      <c r="F68" s="107"/>
      <c r="G68" s="9"/>
      <c r="H68" s="6" t="s">
        <v>55</v>
      </c>
      <c r="J68" s="99"/>
      <c r="K68" s="38"/>
      <c r="L68" s="52">
        <f>SUM(L13:L67)</f>
        <v>8870000</v>
      </c>
      <c r="O68" s="52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52"/>
      <c r="Q69" s="44"/>
    </row>
    <row r="70" spans="1:21" x14ac:dyDescent="0.25">
      <c r="A70" s="2"/>
      <c r="B70" s="2"/>
      <c r="C70" s="2"/>
      <c r="D70" s="2"/>
      <c r="E70" s="2"/>
      <c r="F70" s="2"/>
      <c r="G70" s="107" t="s">
        <v>56</v>
      </c>
      <c r="H70" s="2"/>
      <c r="I70" s="2"/>
      <c r="J70" s="99"/>
      <c r="K70" s="114"/>
      <c r="L70" s="115"/>
      <c r="N70" s="112"/>
      <c r="O70" s="52"/>
      <c r="Q70" s="44"/>
      <c r="S70" s="88"/>
    </row>
    <row r="71" spans="1:21" x14ac:dyDescent="0.25">
      <c r="A71" s="2"/>
      <c r="B71" s="2"/>
      <c r="C71" s="2"/>
      <c r="D71" s="2"/>
      <c r="E71" s="2"/>
      <c r="F71" s="2"/>
      <c r="G71" s="107"/>
      <c r="H71" s="2"/>
      <c r="I71" s="2"/>
      <c r="J71" s="99"/>
      <c r="K71" s="114"/>
      <c r="L71" s="115"/>
      <c r="O71" s="52"/>
      <c r="Q71" s="44"/>
      <c r="S71" s="88"/>
    </row>
    <row r="72" spans="1:21" x14ac:dyDescent="0.25">
      <c r="A72" s="2"/>
      <c r="B72" s="2"/>
      <c r="C72" s="2"/>
      <c r="D72" s="2"/>
      <c r="E72" s="2" t="s">
        <v>57</v>
      </c>
      <c r="F72" s="2"/>
      <c r="G72" s="2"/>
      <c r="H72" s="2"/>
      <c r="I72" s="2"/>
      <c r="J72" s="99"/>
      <c r="K72" s="116"/>
      <c r="L72" s="50"/>
      <c r="N72" s="117"/>
      <c r="O72" s="42"/>
      <c r="Q72" s="44"/>
      <c r="R72" s="45"/>
      <c r="S72" s="46"/>
      <c r="T72" s="118"/>
      <c r="U72" s="47"/>
    </row>
    <row r="73" spans="1:21" x14ac:dyDescent="0.25">
      <c r="A73" s="2"/>
      <c r="B73" s="2"/>
      <c r="C73" s="2"/>
      <c r="D73" s="2"/>
      <c r="E73" s="2" t="s">
        <v>57</v>
      </c>
      <c r="F73" s="2"/>
      <c r="G73" s="2"/>
      <c r="H73" s="2"/>
      <c r="I73" s="119"/>
      <c r="J73" s="99"/>
      <c r="K73" s="114"/>
      <c r="L73" s="50"/>
      <c r="O73" s="52"/>
      <c r="Q73" s="44"/>
    </row>
    <row r="74" spans="1:21" x14ac:dyDescent="0.25">
      <c r="A74" s="107"/>
      <c r="B74" s="107"/>
      <c r="C74" s="107"/>
      <c r="D74" s="107"/>
      <c r="E74" s="107"/>
      <c r="F74" s="107"/>
      <c r="G74" s="120"/>
      <c r="H74" s="121"/>
      <c r="I74" s="107"/>
      <c r="J74" s="99"/>
      <c r="K74" s="114"/>
      <c r="L74" s="50"/>
      <c r="O74" s="52"/>
      <c r="Q74" s="122"/>
    </row>
    <row r="75" spans="1:21" x14ac:dyDescent="0.25">
      <c r="A75" s="107"/>
      <c r="B75" s="107"/>
      <c r="C75" s="107"/>
      <c r="D75" s="107"/>
      <c r="E75" s="107"/>
      <c r="F75" s="107"/>
      <c r="G75" s="120" t="s">
        <v>58</v>
      </c>
      <c r="H75" s="123"/>
      <c r="I75" s="107"/>
      <c r="J75" s="99"/>
      <c r="K75" s="114"/>
      <c r="L75" s="124"/>
      <c r="O75" s="52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5"/>
      <c r="I76" s="2"/>
      <c r="J76" s="99"/>
      <c r="K76" s="128"/>
      <c r="L76" s="129"/>
      <c r="O76" s="52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5"/>
      <c r="I77" s="2"/>
      <c r="J77" s="99"/>
      <c r="K77" s="132"/>
      <c r="L77" s="108"/>
      <c r="O77" s="52"/>
      <c r="Q77" s="122"/>
    </row>
    <row r="78" spans="1:21" x14ac:dyDescent="0.25">
      <c r="A78" s="127"/>
      <c r="B78" s="126"/>
      <c r="C78" s="130"/>
      <c r="D78" s="130"/>
      <c r="E78" s="133"/>
      <c r="F78" s="88"/>
      <c r="H78" s="96"/>
      <c r="J78" s="99"/>
      <c r="K78" s="31"/>
      <c r="L78" s="108"/>
      <c r="O78" s="52"/>
      <c r="Q78" s="122"/>
    </row>
    <row r="79" spans="1:21" x14ac:dyDescent="0.25">
      <c r="A79" s="134"/>
      <c r="B79" s="126"/>
      <c r="C79" s="135"/>
      <c r="D79" s="135"/>
      <c r="E79" s="133"/>
      <c r="H79" s="96"/>
      <c r="J79" s="99"/>
      <c r="K79" s="31"/>
      <c r="L79" s="108"/>
      <c r="O79" s="52"/>
      <c r="Q79" s="122"/>
    </row>
    <row r="80" spans="1:21" x14ac:dyDescent="0.25">
      <c r="A80" s="136"/>
      <c r="B80" s="126"/>
      <c r="C80" s="135"/>
      <c r="D80" s="135"/>
      <c r="E80" s="133"/>
      <c r="H80" s="96"/>
      <c r="J80" s="99"/>
      <c r="K80" s="31"/>
      <c r="L80" s="108"/>
      <c r="O80" s="52"/>
      <c r="Q80" s="137"/>
    </row>
    <row r="81" spans="1:17" x14ac:dyDescent="0.25">
      <c r="A81" s="136"/>
      <c r="B81" s="126"/>
      <c r="C81" s="135"/>
      <c r="D81" s="135"/>
      <c r="E81" s="133"/>
      <c r="H81" s="96"/>
      <c r="J81" s="99"/>
      <c r="K81" s="31"/>
      <c r="L81" s="108"/>
      <c r="O81" s="52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5"/>
      <c r="I82" s="2"/>
      <c r="J82" s="99"/>
      <c r="K82" s="80"/>
      <c r="L82" s="52"/>
      <c r="O82" s="52"/>
      <c r="Q82" s="137"/>
    </row>
    <row r="83" spans="1:17" x14ac:dyDescent="0.25">
      <c r="A83" s="125" t="s">
        <v>59</v>
      </c>
      <c r="B83" s="126"/>
      <c r="C83" s="126"/>
      <c r="D83" s="126"/>
      <c r="E83" s="127"/>
      <c r="F83" s="2"/>
      <c r="G83" s="2"/>
      <c r="H83" s="75"/>
      <c r="I83" s="2"/>
      <c r="J83" s="99"/>
      <c r="K83" s="139"/>
      <c r="L83" s="52"/>
      <c r="O83" s="52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5"/>
      <c r="I84" s="2"/>
      <c r="J84" s="99"/>
      <c r="K84" s="139"/>
      <c r="L84" s="52"/>
      <c r="O84" s="52"/>
      <c r="Q84" s="137"/>
    </row>
    <row r="85" spans="1:17" x14ac:dyDescent="0.25">
      <c r="A85" s="140">
        <f>SUM(A66:A84)</f>
        <v>0</v>
      </c>
      <c r="E85" s="96">
        <f>SUM(E66:E84)</f>
        <v>0</v>
      </c>
      <c r="H85" s="96">
        <f>SUM(H66:H84)</f>
        <v>0</v>
      </c>
      <c r="J85" s="99"/>
      <c r="K85" s="139"/>
      <c r="L85" s="52"/>
      <c r="O85" s="52"/>
      <c r="Q85" s="137"/>
    </row>
    <row r="86" spans="1:17" x14ac:dyDescent="0.25">
      <c r="J86" s="99"/>
      <c r="K86" s="139"/>
      <c r="L86" s="52"/>
      <c r="O86" s="52"/>
      <c r="Q86" s="122"/>
    </row>
    <row r="87" spans="1:17" x14ac:dyDescent="0.25">
      <c r="J87" s="99"/>
      <c r="K87" s="139"/>
      <c r="L87" s="52"/>
      <c r="O87" s="52"/>
      <c r="Q87" s="122"/>
    </row>
    <row r="88" spans="1:17" x14ac:dyDescent="0.25">
      <c r="J88" s="99"/>
      <c r="K88" s="139"/>
      <c r="L88" s="52"/>
      <c r="O88" s="52"/>
      <c r="Q88" s="122"/>
    </row>
    <row r="89" spans="1:17" x14ac:dyDescent="0.25">
      <c r="J89" s="99"/>
      <c r="K89" s="139"/>
      <c r="L89" s="52"/>
      <c r="O89" s="52"/>
      <c r="Q89" s="122"/>
    </row>
    <row r="90" spans="1:17" x14ac:dyDescent="0.25">
      <c r="J90" s="99"/>
      <c r="K90" s="139"/>
      <c r="L90" s="52"/>
      <c r="O90" s="52"/>
      <c r="Q90" s="122"/>
    </row>
    <row r="91" spans="1:17" x14ac:dyDescent="0.25">
      <c r="J91" s="99"/>
      <c r="K91" s="139"/>
      <c r="L91" s="52"/>
      <c r="O91" s="52"/>
      <c r="Q91" s="122"/>
    </row>
    <row r="92" spans="1:17" x14ac:dyDescent="0.2">
      <c r="K92" s="139"/>
      <c r="L92" s="52"/>
      <c r="O92" s="52"/>
      <c r="Q92" s="122"/>
    </row>
    <row r="93" spans="1:17" x14ac:dyDescent="0.2">
      <c r="K93" s="139"/>
      <c r="L93" s="52"/>
      <c r="O93" s="52"/>
      <c r="Q93" s="122"/>
    </row>
    <row r="94" spans="1:17" x14ac:dyDescent="0.2">
      <c r="K94" s="139"/>
      <c r="L94" s="52"/>
      <c r="O94" s="52"/>
      <c r="Q94" s="122"/>
    </row>
    <row r="95" spans="1:17" x14ac:dyDescent="0.2">
      <c r="K95" s="139"/>
      <c r="L95" s="52"/>
      <c r="O95" s="52"/>
      <c r="Q95" s="122"/>
    </row>
    <row r="96" spans="1:17" x14ac:dyDescent="0.2">
      <c r="K96" s="139"/>
      <c r="L96" s="52"/>
      <c r="O96" s="52"/>
      <c r="Q96" s="122"/>
    </row>
    <row r="97" spans="1:21" x14ac:dyDescent="0.2">
      <c r="K97" s="139"/>
      <c r="L97" s="52"/>
      <c r="O97" s="52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4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4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09"/>
      <c r="R108" s="6"/>
      <c r="S108" s="6"/>
      <c r="T108" s="6"/>
      <c r="U108" s="6"/>
    </row>
    <row r="109" spans="1:21" s="4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09"/>
      <c r="R109" s="6"/>
      <c r="S109" s="6"/>
      <c r="T109" s="6"/>
      <c r="U109" s="6"/>
    </row>
    <row r="110" spans="1:21" s="4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09"/>
      <c r="R110" s="6"/>
      <c r="S110" s="6"/>
      <c r="T110" s="6"/>
      <c r="U110" s="6"/>
    </row>
    <row r="111" spans="1:21" s="4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0">
        <f>SUM(Q13:Q110)</f>
        <v>0</v>
      </c>
      <c r="R111" s="6"/>
      <c r="S111" s="6"/>
      <c r="T111" s="6"/>
      <c r="U111" s="6"/>
    </row>
    <row r="112" spans="1:21" s="40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09"/>
      <c r="R112" s="6"/>
      <c r="S112" s="6"/>
      <c r="T112" s="6"/>
      <c r="U112" s="6"/>
    </row>
    <row r="113" spans="1:21" s="4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09"/>
      <c r="R113" s="6"/>
      <c r="S113" s="6"/>
      <c r="T113" s="6"/>
      <c r="U113" s="6"/>
    </row>
    <row r="114" spans="1:21" s="4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09"/>
      <c r="R114" s="6"/>
      <c r="S114" s="6"/>
      <c r="T114" s="6"/>
      <c r="U114" s="6"/>
    </row>
    <row r="115" spans="1:21" s="4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09"/>
      <c r="R115" s="6"/>
      <c r="S115" s="6"/>
      <c r="T115" s="6"/>
      <c r="U115" s="6"/>
    </row>
    <row r="116" spans="1:21" s="4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09"/>
      <c r="R116" s="6"/>
      <c r="S116" s="6"/>
      <c r="T116" s="6"/>
      <c r="U116" s="6"/>
    </row>
    <row r="117" spans="1:21" s="4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09"/>
      <c r="R117" s="6"/>
      <c r="S117" s="6"/>
      <c r="T117" s="6"/>
      <c r="U117" s="6"/>
    </row>
    <row r="118" spans="1:21" s="4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09"/>
      <c r="R118" s="6"/>
      <c r="S118" s="6"/>
      <c r="T118" s="6"/>
      <c r="U118" s="6"/>
    </row>
    <row r="119" spans="1:21" s="4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/>
      <c r="M119" s="146">
        <f>SUM(M13:M118)</f>
        <v>1235500</v>
      </c>
      <c r="N119" s="146">
        <f>SUM(N13:N118)</f>
        <v>0</v>
      </c>
      <c r="O119" s="146">
        <f>SUM(O13:O118)</f>
        <v>20100000</v>
      </c>
      <c r="P119" s="146">
        <f t="shared" ref="P119" si="1">SUM(P13:P118)</f>
        <v>0</v>
      </c>
      <c r="Q119" s="109"/>
      <c r="R119" s="6"/>
      <c r="S119" s="6"/>
      <c r="T119" s="6"/>
      <c r="U119" s="6"/>
    </row>
    <row r="120" spans="1:21" s="4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47"/>
      <c r="O120" s="146">
        <f>SUM(O13:O119)</f>
        <v>40200000</v>
      </c>
      <c r="Q120" s="109"/>
      <c r="R120" s="6"/>
      <c r="S120" s="6"/>
      <c r="T120" s="6"/>
      <c r="U120" s="6"/>
    </row>
    <row r="121" spans="1:21" s="4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8"/>
      <c r="O121" s="148"/>
      <c r="Q121" s="109"/>
      <c r="R121" s="6"/>
      <c r="S121" s="6"/>
      <c r="T121" s="6"/>
      <c r="U121" s="6"/>
    </row>
    <row r="122" spans="1:21" s="4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8"/>
      <c r="O122" s="148"/>
      <c r="Q122" s="109"/>
      <c r="R122" s="6"/>
      <c r="S122" s="6"/>
      <c r="T122" s="6"/>
      <c r="U122" s="6"/>
    </row>
    <row r="123" spans="1:21" s="4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8"/>
      <c r="O123" s="148"/>
      <c r="Q123" s="109"/>
      <c r="R123" s="6"/>
      <c r="S123" s="6"/>
      <c r="T123" s="6"/>
      <c r="U123" s="6"/>
    </row>
    <row r="124" spans="1:21" s="4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8"/>
      <c r="O124" s="148"/>
      <c r="Q124" s="109"/>
      <c r="R124" s="6"/>
      <c r="S124" s="6"/>
      <c r="T124" s="6"/>
      <c r="U124" s="6"/>
    </row>
    <row r="125" spans="1:21" s="4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8"/>
      <c r="O125" s="148"/>
      <c r="Q125" s="109"/>
      <c r="R125" s="6"/>
      <c r="S125" s="6"/>
      <c r="T125" s="6"/>
      <c r="U125" s="6"/>
    </row>
    <row r="126" spans="1:21" s="4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8"/>
      <c r="O126" s="148"/>
      <c r="Q126" s="109"/>
      <c r="R126" s="6"/>
      <c r="S126" s="6"/>
      <c r="T126" s="6"/>
      <c r="U126" s="6"/>
    </row>
    <row r="127" spans="1:21" s="4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8"/>
      <c r="O127" s="148"/>
      <c r="Q127" s="109"/>
      <c r="R127" s="6"/>
      <c r="S127" s="6"/>
      <c r="T127" s="6"/>
      <c r="U127" s="6"/>
    </row>
    <row r="128" spans="1:21" s="4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8"/>
      <c r="O128" s="148"/>
      <c r="Q128" s="109"/>
      <c r="R128" s="6"/>
      <c r="S128" s="6"/>
      <c r="T128" s="6"/>
      <c r="U128" s="6"/>
    </row>
    <row r="129" spans="1:21" s="4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8"/>
      <c r="O129" s="148"/>
      <c r="Q129" s="109"/>
      <c r="R129" s="6"/>
      <c r="S129" s="6"/>
      <c r="T129" s="6"/>
      <c r="U129" s="6"/>
    </row>
    <row r="130" spans="1:21" s="4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8"/>
      <c r="O130" s="148"/>
      <c r="Q130" s="109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22</vt:i4>
      </vt:variant>
    </vt:vector>
  </HeadingPairs>
  <TitlesOfParts>
    <vt:vector size="45" baseType="lpstr">
      <vt:lpstr>30 Nov </vt:lpstr>
      <vt:lpstr>1 Des</vt:lpstr>
      <vt:lpstr>2 Des</vt:lpstr>
      <vt:lpstr>3 Des</vt:lpstr>
      <vt:lpstr>4 Des</vt:lpstr>
      <vt:lpstr>5 Des</vt:lpstr>
      <vt:lpstr>6 Des </vt:lpstr>
      <vt:lpstr>7 des </vt:lpstr>
      <vt:lpstr>8 Des</vt:lpstr>
      <vt:lpstr>9 DEs18</vt:lpstr>
      <vt:lpstr>10 Des</vt:lpstr>
      <vt:lpstr>11 Des </vt:lpstr>
      <vt:lpstr>12 Des</vt:lpstr>
      <vt:lpstr>13 Des</vt:lpstr>
      <vt:lpstr>14 Des</vt:lpstr>
      <vt:lpstr>16 Des</vt:lpstr>
      <vt:lpstr>17 Des </vt:lpstr>
      <vt:lpstr>18 Des</vt:lpstr>
      <vt:lpstr>19 Des</vt:lpstr>
      <vt:lpstr>20 Des</vt:lpstr>
      <vt:lpstr>21 Des  </vt:lpstr>
      <vt:lpstr>22 Des </vt:lpstr>
      <vt:lpstr>23 Des</vt:lpstr>
      <vt:lpstr>'1 Des'!Print_Area</vt:lpstr>
      <vt:lpstr>'10 Des'!Print_Area</vt:lpstr>
      <vt:lpstr>'11 Des '!Print_Area</vt:lpstr>
      <vt:lpstr>'12 Des'!Print_Area</vt:lpstr>
      <vt:lpstr>'13 Des'!Print_Area</vt:lpstr>
      <vt:lpstr>'14 Des'!Print_Area</vt:lpstr>
      <vt:lpstr>'16 Des'!Print_Area</vt:lpstr>
      <vt:lpstr>'17 Des '!Print_Area</vt:lpstr>
      <vt:lpstr>'18 Des'!Print_Area</vt:lpstr>
      <vt:lpstr>'19 Des'!Print_Area</vt:lpstr>
      <vt:lpstr>'2 Des'!Print_Area</vt:lpstr>
      <vt:lpstr>'20 Des'!Print_Area</vt:lpstr>
      <vt:lpstr>'21 Des  '!Print_Area</vt:lpstr>
      <vt:lpstr>'22 Des '!Print_Area</vt:lpstr>
      <vt:lpstr>'23 Des'!Print_Area</vt:lpstr>
      <vt:lpstr>'3 Des'!Print_Area</vt:lpstr>
      <vt:lpstr>'4 Des'!Print_Area</vt:lpstr>
      <vt:lpstr>'5 Des'!Print_Area</vt:lpstr>
      <vt:lpstr>'6 Des '!Print_Area</vt:lpstr>
      <vt:lpstr>'7 des '!Print_Area</vt:lpstr>
      <vt:lpstr>'8 Des'!Print_Area</vt:lpstr>
      <vt:lpstr>'9 DEs18'!Print_Area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cp:lastPrinted>2018-12-21T09:27:35Z</cp:lastPrinted>
  <dcterms:created xsi:type="dcterms:W3CDTF">2018-12-01T08:50:32Z</dcterms:created>
  <dcterms:modified xsi:type="dcterms:W3CDTF">2018-12-25T16:30:50Z</dcterms:modified>
</cp:coreProperties>
</file>