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ang\Downloads\"/>
    </mc:Choice>
  </mc:AlternateContent>
  <bookViews>
    <workbookView xWindow="360" yWindow="150" windowWidth="22995" windowHeight="13800"/>
  </bookViews>
  <sheets>
    <sheet name="Thermister Worksheet" sheetId="1" r:id="rId1"/>
    <sheet name="Therm Data" sheetId="2" r:id="rId2"/>
  </sheets>
  <definedNames>
    <definedName name="Rroom">'Therm Data'!$B$2</definedName>
    <definedName name="Rt">'Therm Data'!$B$2</definedName>
    <definedName name="ThermRes">'Therm Data'!$I$8:$M$11</definedName>
    <definedName name="ThermTemp">'Therm Data'!$B$8:$F$11</definedName>
  </definedNames>
  <calcPr calcId="152511"/>
</workbook>
</file>

<file path=xl/calcChain.xml><?xml version="1.0" encoding="utf-8"?>
<calcChain xmlns="http://schemas.openxmlformats.org/spreadsheetml/2006/main">
  <c r="A32" i="2" l="1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1" i="2"/>
  <c r="H18" i="2"/>
  <c r="F31" i="2" l="1"/>
  <c r="C34" i="2"/>
  <c r="C38" i="2"/>
  <c r="C42" i="2"/>
  <c r="C46" i="2"/>
  <c r="C50" i="2"/>
  <c r="C54" i="2"/>
  <c r="C58" i="2"/>
  <c r="C62" i="2"/>
  <c r="C66" i="2"/>
  <c r="C70" i="2"/>
  <c r="C32" i="2"/>
  <c r="C33" i="2"/>
  <c r="C35" i="2"/>
  <c r="C36" i="2"/>
  <c r="C37" i="2"/>
  <c r="C39" i="2"/>
  <c r="C40" i="2"/>
  <c r="C41" i="2"/>
  <c r="C43" i="2"/>
  <c r="C44" i="2"/>
  <c r="C45" i="2"/>
  <c r="C47" i="2"/>
  <c r="C48" i="2"/>
  <c r="C49" i="2"/>
  <c r="C51" i="2"/>
  <c r="C52" i="2"/>
  <c r="C53" i="2"/>
  <c r="C55" i="2"/>
  <c r="C56" i="2"/>
  <c r="C57" i="2"/>
  <c r="C59" i="2"/>
  <c r="C60" i="2"/>
  <c r="C61" i="2"/>
  <c r="C63" i="2"/>
  <c r="C64" i="2"/>
  <c r="C65" i="2"/>
  <c r="C67" i="2"/>
  <c r="C68" i="2"/>
  <c r="C69" i="2"/>
  <c r="C71" i="2"/>
  <c r="C31" i="2"/>
  <c r="J22" i="2"/>
  <c r="A18" i="2"/>
  <c r="C20" i="2" s="1"/>
  <c r="J19" i="2" l="1"/>
  <c r="K21" i="2"/>
  <c r="K19" i="2"/>
  <c r="J21" i="2"/>
  <c r="J20" i="2"/>
  <c r="K20" i="2"/>
  <c r="K22" i="2"/>
  <c r="D19" i="2"/>
  <c r="D21" i="2"/>
  <c r="D20" i="2"/>
  <c r="D22" i="2"/>
  <c r="C22" i="2"/>
  <c r="C21" i="2"/>
  <c r="C19" i="2"/>
  <c r="C24" i="2" l="1"/>
  <c r="G9" i="1" s="1"/>
  <c r="F30" i="2" s="1"/>
  <c r="J24" i="2"/>
  <c r="V23" i="1" s="1"/>
  <c r="I33" i="2"/>
</calcChain>
</file>

<file path=xl/sharedStrings.xml><?xml version="1.0" encoding="utf-8"?>
<sst xmlns="http://schemas.openxmlformats.org/spreadsheetml/2006/main" count="38" uniqueCount="26">
  <si>
    <t>Resistance as a function of Thermistor Temperature, Rt</t>
  </si>
  <si>
    <t>Temp Range (°C)</t>
  </si>
  <si>
    <t>A</t>
  </si>
  <si>
    <t>B</t>
  </si>
  <si>
    <t>C</t>
  </si>
  <si>
    <t>D</t>
  </si>
  <si>
    <t>Thermistor Temperature as a function of Resistance</t>
  </si>
  <si>
    <t>a</t>
  </si>
  <si>
    <t>b</t>
  </si>
  <si>
    <t>c</t>
  </si>
  <si>
    <t>d</t>
  </si>
  <si>
    <t>Max</t>
  </si>
  <si>
    <t>Min</t>
  </si>
  <si>
    <t>Temp</t>
  </si>
  <si>
    <t>Resistance</t>
  </si>
  <si>
    <t>Measured Resistance</t>
  </si>
  <si>
    <t>Calculated Temperature</t>
  </si>
  <si>
    <t>Calculated Resistance</t>
  </si>
  <si>
    <t>Target Temperature</t>
  </si>
  <si>
    <t>R25</t>
  </si>
  <si>
    <r>
      <t>R</t>
    </r>
    <r>
      <rPr>
        <b/>
        <vertAlign val="subscript"/>
        <sz val="10"/>
        <color theme="1"/>
        <rFont val="Times New Roman"/>
        <family val="1"/>
      </rPr>
      <t>t</t>
    </r>
    <r>
      <rPr>
        <b/>
        <sz val="10"/>
        <color theme="1"/>
        <rFont val="Times New Roman"/>
        <family val="1"/>
      </rPr>
      <t xml:space="preserve"> Range</t>
    </r>
  </si>
  <si>
    <r>
      <rPr>
        <b/>
        <sz val="22"/>
        <color rgb="FFFF0000"/>
        <rFont val="Times New Roman"/>
        <family val="1"/>
      </rPr>
      <t>WARNING!!!</t>
    </r>
    <r>
      <rPr>
        <sz val="22"/>
        <color rgb="FFFF0000"/>
        <rFont val="Times New Roman"/>
        <family val="1"/>
      </rPr>
      <t xml:space="preserve">
Changing anything on this sheet may make this workbook non-funtional!</t>
    </r>
  </si>
  <si>
    <t>Temp (°C)</t>
  </si>
  <si>
    <t>Temp (°K)</t>
  </si>
  <si>
    <r>
      <t>Resistance (k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Times New Roman"/>
        <family val="1"/>
      </rPr>
      <t>)</t>
    </r>
  </si>
  <si>
    <t>Enter the target temperature below to calculate the resistance of the thermistor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</si>
</sst>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&quot; °C&quot;"/>
    <numFmt numFmtId="165" formatCode="#,##0.00&quot; Ω&quot;"/>
    <numFmt numFmtId="166" formatCode="#,##0.0000&quot; Ω&quot;"/>
    <numFmt numFmtId="167" formatCode="0.00&quot; °C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20"/>
      <name val="Times New Roman"/>
      <family val="1"/>
    </font>
    <font>
      <b/>
      <sz val="20"/>
      <color theme="0"/>
      <name val="Times New Roman"/>
      <family val="1"/>
    </font>
    <font>
      <i/>
      <sz val="11"/>
      <color theme="0" tint="-0.499984740745262"/>
      <name val="Times New Roman"/>
      <family val="1"/>
    </font>
    <font>
      <b/>
      <i/>
      <sz val="11"/>
      <color theme="0"/>
      <name val="Times New Roman"/>
      <family val="1"/>
    </font>
    <font>
      <sz val="22"/>
      <color rgb="FFFF0000"/>
      <name val="Times New Roman"/>
      <family val="1"/>
    </font>
    <font>
      <b/>
      <sz val="22"/>
      <color rgb="FFFF0000"/>
      <name val="Times New Roman"/>
      <family val="1"/>
    </font>
    <font>
      <b/>
      <sz val="11"/>
      <color theme="1"/>
      <name val="Calibri"/>
      <family val="2"/>
    </font>
    <font>
      <b/>
      <sz val="32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E31B23"/>
      </left>
      <right style="medium">
        <color rgb="FFE31B23"/>
      </right>
      <top style="medium">
        <color rgb="FFE31B23"/>
      </top>
      <bottom style="medium">
        <color rgb="FFE31B23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Border="1"/>
    <xf numFmtId="0" fontId="5" fillId="0" borderId="0" xfId="0" applyFont="1" applyAlignment="1">
      <alignment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1" fontId="5" fillId="3" borderId="1" xfId="0" applyNumberFormat="1" applyFont="1" applyFill="1" applyBorder="1" applyAlignment="1">
      <alignment horizontal="center" vertical="center" wrapText="1"/>
    </xf>
    <xf numFmtId="11" fontId="5" fillId="3" borderId="3" xfId="0" applyNumberFormat="1" applyFont="1" applyFill="1" applyBorder="1" applyAlignment="1">
      <alignment horizontal="center" vertical="center" wrapText="1"/>
    </xf>
    <xf numFmtId="11" fontId="5" fillId="3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11" fontId="5" fillId="0" borderId="2" xfId="0" applyNumberFormat="1" applyFont="1" applyBorder="1" applyAlignment="1">
      <alignment horizontal="center" vertical="center"/>
    </xf>
    <xf numFmtId="11" fontId="5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8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5" fillId="0" borderId="9" xfId="0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1" fontId="5" fillId="3" borderId="2" xfId="0" applyNumberFormat="1" applyFont="1" applyFill="1" applyBorder="1" applyAlignment="1">
      <alignment horizontal="center" vertical="center" wrapText="1"/>
    </xf>
    <xf numFmtId="11" fontId="5" fillId="0" borderId="3" xfId="0" applyNumberFormat="1" applyFont="1" applyBorder="1" applyAlignment="1">
      <alignment horizontal="center" vertical="center"/>
    </xf>
    <xf numFmtId="0" fontId="10" fillId="0" borderId="0" xfId="0" applyFont="1"/>
    <xf numFmtId="11" fontId="10" fillId="0" borderId="0" xfId="0" applyNumberFormat="1" applyFont="1"/>
    <xf numFmtId="0" fontId="2" fillId="9" borderId="2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1" fillId="0" borderId="0" xfId="0" applyFont="1" applyBorder="1"/>
    <xf numFmtId="0" fontId="1" fillId="0" borderId="22" xfId="0" quotePrefix="1" applyFont="1" applyBorder="1"/>
    <xf numFmtId="0" fontId="1" fillId="0" borderId="1" xfId="0" applyFont="1" applyBorder="1"/>
    <xf numFmtId="0" fontId="1" fillId="0" borderId="2" xfId="0" quotePrefix="1" applyFont="1" applyBorder="1"/>
    <xf numFmtId="0" fontId="2" fillId="9" borderId="20" xfId="0" applyFont="1" applyFill="1" applyBorder="1"/>
    <xf numFmtId="0" fontId="1" fillId="0" borderId="4" xfId="0" applyFont="1" applyBorder="1"/>
    <xf numFmtId="0" fontId="2" fillId="9" borderId="3" xfId="0" applyFont="1" applyFill="1" applyBorder="1"/>
    <xf numFmtId="0" fontId="1" fillId="0" borderId="2" xfId="0" applyFont="1" applyBorder="1"/>
    <xf numFmtId="0" fontId="2" fillId="9" borderId="6" xfId="0" applyFont="1" applyFill="1" applyBorder="1" applyAlignment="1">
      <alignment horizontal="right"/>
    </xf>
    <xf numFmtId="0" fontId="1" fillId="0" borderId="8" xfId="0" applyFont="1" applyBorder="1"/>
    <xf numFmtId="1" fontId="1" fillId="0" borderId="21" xfId="0" applyNumberFormat="1" applyFont="1" applyBorder="1"/>
    <xf numFmtId="0" fontId="4" fillId="6" borderId="0" xfId="0" applyFont="1" applyFill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167" fontId="8" fillId="7" borderId="0" xfId="0" applyNumberFormat="1" applyFont="1" applyFill="1" applyAlignment="1" applyProtection="1">
      <alignment horizontal="center" vertical="center"/>
      <protection locked="0"/>
    </xf>
    <xf numFmtId="166" fontId="9" fillId="6" borderId="12" xfId="0" applyNumberFormat="1" applyFont="1" applyFill="1" applyBorder="1" applyAlignment="1">
      <alignment horizontal="center" vertical="center" wrapText="1"/>
    </xf>
    <xf numFmtId="166" fontId="9" fillId="6" borderId="13" xfId="0" applyNumberFormat="1" applyFont="1" applyFill="1" applyBorder="1" applyAlignment="1">
      <alignment horizontal="center" vertical="center" wrapText="1"/>
    </xf>
    <xf numFmtId="166" fontId="9" fillId="6" borderId="14" xfId="0" applyNumberFormat="1" applyFont="1" applyFill="1" applyBorder="1" applyAlignment="1">
      <alignment horizontal="center" vertical="center" wrapText="1"/>
    </xf>
    <xf numFmtId="166" fontId="9" fillId="6" borderId="17" xfId="0" applyNumberFormat="1" applyFont="1" applyFill="1" applyBorder="1" applyAlignment="1">
      <alignment horizontal="center" vertical="center" wrapText="1"/>
    </xf>
    <xf numFmtId="166" fontId="9" fillId="6" borderId="18" xfId="0" applyNumberFormat="1" applyFont="1" applyFill="1" applyBorder="1" applyAlignment="1">
      <alignment horizontal="center" vertical="center" wrapText="1"/>
    </xf>
    <xf numFmtId="166" fontId="9" fillId="6" borderId="19" xfId="0" applyNumberFormat="1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vertical="center" wrapText="1"/>
    </xf>
    <xf numFmtId="165" fontId="8" fillId="7" borderId="0" xfId="0" applyNumberFormat="1" applyFont="1" applyFill="1" applyAlignment="1" applyProtection="1">
      <alignment horizontal="center" vertical="center" wrapText="1"/>
      <protection locked="0"/>
    </xf>
    <xf numFmtId="164" fontId="15" fillId="6" borderId="12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164" fontId="15" fillId="6" borderId="14" xfId="0" applyNumberFormat="1" applyFont="1" applyFill="1" applyBorder="1" applyAlignment="1">
      <alignment horizontal="center" vertical="center" wrapText="1"/>
    </xf>
    <xf numFmtId="164" fontId="15" fillId="6" borderId="15" xfId="0" applyNumberFormat="1" applyFont="1" applyFill="1" applyBorder="1" applyAlignment="1">
      <alignment horizontal="center" vertical="center" wrapText="1"/>
    </xf>
    <xf numFmtId="164" fontId="15" fillId="6" borderId="0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164" fontId="15" fillId="6" borderId="17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164" fontId="15" fillId="6" borderId="19" xfId="0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E31B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8447299350739"/>
          <c:y val="4.4748757247762262E-2"/>
          <c:w val="0.72869180826080948"/>
          <c:h val="0.8147706858743747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'Therm Data'!$B$31:$B$71</c:f>
              <c:numCache>
                <c:formatCode>General</c:formatCode>
                <c:ptCount val="4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</c:numCache>
            </c:numRef>
          </c:xVal>
          <c:yVal>
            <c:numRef>
              <c:f>'Therm Data'!$C$31:$C$71</c:f>
              <c:numCache>
                <c:formatCode>General</c:formatCode>
                <c:ptCount val="41"/>
                <c:pt idx="0">
                  <c:v>692.64384777628925</c:v>
                </c:pt>
                <c:pt idx="1">
                  <c:v>485.45772529217032</c:v>
                </c:pt>
                <c:pt idx="2">
                  <c:v>344.70165431391479</c:v>
                </c:pt>
                <c:pt idx="3">
                  <c:v>247.76540518560012</c:v>
                </c:pt>
                <c:pt idx="4">
                  <c:v>180.14804202832127</c:v>
                </c:pt>
                <c:pt idx="5">
                  <c:v>132.41091983641422</c:v>
                </c:pt>
                <c:pt idx="6">
                  <c:v>98.324452608227887</c:v>
                </c:pt>
                <c:pt idx="7">
                  <c:v>73.722893575535323</c:v>
                </c:pt>
                <c:pt idx="8">
                  <c:v>55.785979423345459</c:v>
                </c:pt>
                <c:pt idx="9">
                  <c:v>42.581938869343915</c:v>
                </c:pt>
                <c:pt idx="10">
                  <c:v>32.773006143439993</c:v>
                </c:pt>
                <c:pt idx="11">
                  <c:v>25.455699347805552</c:v>
                </c:pt>
                <c:pt idx="12">
                  <c:v>19.931451065276526</c:v>
                </c:pt>
                <c:pt idx="13">
                  <c:v>15.725362659412397</c:v>
                </c:pt>
                <c:pt idx="14">
                  <c:v>12.497003245235408</c:v>
                </c:pt>
                <c:pt idx="15">
                  <c:v>10.000040977094836</c:v>
                </c:pt>
                <c:pt idx="16">
                  <c:v>8.0546399989071453</c:v>
                </c:pt>
                <c:pt idx="17">
                  <c:v>6.52839332972757</c:v>
                </c:pt>
                <c:pt idx="18">
                  <c:v>5.323023947796119</c:v>
                </c:pt>
                <c:pt idx="19">
                  <c:v>4.3650231188219859</c:v>
                </c:pt>
                <c:pt idx="20">
                  <c:v>3.5990013378747778</c:v>
                </c:pt>
                <c:pt idx="21">
                  <c:v>2.9834920187904737</c:v>
                </c:pt>
                <c:pt idx="22">
                  <c:v>2.4862850073942084</c:v>
                </c:pt>
                <c:pt idx="23">
                  <c:v>2.0823821656661443</c:v>
                </c:pt>
                <c:pt idx="24">
                  <c:v>1.7525072145744867</c:v>
                </c:pt>
                <c:pt idx="25">
                  <c:v>1.4817023304503105</c:v>
                </c:pt>
                <c:pt idx="26">
                  <c:v>1.258290538763559</c:v>
                </c:pt>
                <c:pt idx="27">
                  <c:v>1.0731032470218704</c:v>
                </c:pt>
                <c:pt idx="28">
                  <c:v>0.91890134398941148</c:v>
                </c:pt>
                <c:pt idx="29">
                  <c:v>0.78993859213919948</c:v>
                </c:pt>
                <c:pt idx="30">
                  <c:v>0.68162990515750199</c:v>
                </c:pt>
                <c:pt idx="31">
                  <c:v>0.59055310124646299</c:v>
                </c:pt>
                <c:pt idx="32">
                  <c:v>0.51343295481126294</c:v>
                </c:pt>
                <c:pt idx="33">
                  <c:v>0.4478839468898082</c:v>
                </c:pt>
                <c:pt idx="34">
                  <c:v>0.39196722873513556</c:v>
                </c:pt>
                <c:pt idx="35">
                  <c:v>0.34410016978495644</c:v>
                </c:pt>
                <c:pt idx="36">
                  <c:v>0.30298552423473435</c:v>
                </c:pt>
                <c:pt idx="37">
                  <c:v>0.2675556931705807</c:v>
                </c:pt>
                <c:pt idx="38">
                  <c:v>0.23692866084260364</c:v>
                </c:pt>
                <c:pt idx="39">
                  <c:v>0.21037300327268632</c:v>
                </c:pt>
                <c:pt idx="40">
                  <c:v>0.18727998054888034</c:v>
                </c:pt>
              </c:numCache>
            </c:numRef>
          </c:yVal>
          <c:smooth val="1"/>
        </c:ser>
        <c:ser>
          <c:idx val="1"/>
          <c:order val="1"/>
          <c:tx>
            <c:v>Single Point</c:v>
          </c:tx>
          <c:marker>
            <c:symbol val="circle"/>
            <c:size val="8"/>
            <c:spPr>
              <a:solidFill>
                <a:srgbClr val="E31B23"/>
              </a:solidFill>
            </c:spPr>
          </c:marker>
          <c:xVal>
            <c:numRef>
              <c:f>'Therm Data'!$F$30</c:f>
            </c:numRef>
          </c:xVal>
          <c:yVal>
            <c:numRef>
              <c:f>'Therm Data'!$F$31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6192"/>
        <c:axId val="34319064"/>
      </c:scatterChart>
      <c:valAx>
        <c:axId val="412036192"/>
        <c:scaling>
          <c:orientation val="minMax"/>
          <c:max val="40"/>
          <c:min val="-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r>
                  <a:rPr lang="en-US" sz="900">
                    <a:solidFill>
                      <a:schemeClr val="bg1"/>
                    </a:solidFill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3935740927120952"/>
              <c:y val="0.908446032947566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bg1"/>
                </a:solidFill>
              </a:defRPr>
            </a:pPr>
            <a:endParaRPr lang="en-US"/>
          </a:p>
        </c:txPr>
        <c:crossAx val="34319064"/>
        <c:crosses val="autoZero"/>
        <c:crossBetween val="midCat"/>
        <c:majorUnit val="10"/>
      </c:valAx>
      <c:valAx>
        <c:axId val="34319064"/>
        <c:scaling>
          <c:orientation val="minMax"/>
          <c:max val="7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r>
                  <a:rPr lang="en-US" sz="900" b="1">
                    <a:solidFill>
                      <a:schemeClr val="bg1"/>
                    </a:solidFill>
                  </a:rPr>
                  <a:t>Resistance (k)</a:t>
                </a:r>
              </a:p>
            </c:rich>
          </c:tx>
          <c:layout>
            <c:manualLayout>
              <c:xMode val="edge"/>
              <c:yMode val="edge"/>
              <c:x val="1.5037593984962405E-2"/>
              <c:y val="0.2576674496460985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bg1"/>
                </a:solidFill>
              </a:defRPr>
            </a:pPr>
            <a:endParaRPr lang="en-US"/>
          </a:p>
        </c:txPr>
        <c:crossAx val="412036192"/>
        <c:crossesAt val="-50"/>
        <c:crossBetween val="midCat"/>
        <c:majorUnit val="50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83004952435245"/>
          <c:y val="4.7466346191364334E-2"/>
          <c:w val="0.78549791570171379"/>
          <c:h val="0.80070546186682068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'Therm Data'!$B$31:$B$71</c:f>
              <c:numCache>
                <c:formatCode>General</c:formatCode>
                <c:ptCount val="4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</c:numCache>
            </c:numRef>
          </c:xVal>
          <c:yVal>
            <c:numRef>
              <c:f>'Therm Data'!$C$31:$C$71</c:f>
              <c:numCache>
                <c:formatCode>General</c:formatCode>
                <c:ptCount val="41"/>
                <c:pt idx="0">
                  <c:v>692.64384777628925</c:v>
                </c:pt>
                <c:pt idx="1">
                  <c:v>485.45772529217032</c:v>
                </c:pt>
                <c:pt idx="2">
                  <c:v>344.70165431391479</c:v>
                </c:pt>
                <c:pt idx="3">
                  <c:v>247.76540518560012</c:v>
                </c:pt>
                <c:pt idx="4">
                  <c:v>180.14804202832127</c:v>
                </c:pt>
                <c:pt idx="5">
                  <c:v>132.41091983641422</c:v>
                </c:pt>
                <c:pt idx="6">
                  <c:v>98.324452608227887</c:v>
                </c:pt>
                <c:pt idx="7">
                  <c:v>73.722893575535323</c:v>
                </c:pt>
                <c:pt idx="8">
                  <c:v>55.785979423345459</c:v>
                </c:pt>
                <c:pt idx="9">
                  <c:v>42.581938869343915</c:v>
                </c:pt>
                <c:pt idx="10">
                  <c:v>32.773006143439993</c:v>
                </c:pt>
                <c:pt idx="11">
                  <c:v>25.455699347805552</c:v>
                </c:pt>
                <c:pt idx="12">
                  <c:v>19.931451065276526</c:v>
                </c:pt>
                <c:pt idx="13">
                  <c:v>15.725362659412397</c:v>
                </c:pt>
                <c:pt idx="14">
                  <c:v>12.497003245235408</c:v>
                </c:pt>
                <c:pt idx="15">
                  <c:v>10.000040977094836</c:v>
                </c:pt>
                <c:pt idx="16">
                  <c:v>8.0546399989071453</c:v>
                </c:pt>
                <c:pt idx="17">
                  <c:v>6.52839332972757</c:v>
                </c:pt>
                <c:pt idx="18">
                  <c:v>5.323023947796119</c:v>
                </c:pt>
                <c:pt idx="19">
                  <c:v>4.3650231188219859</c:v>
                </c:pt>
                <c:pt idx="20">
                  <c:v>3.5990013378747778</c:v>
                </c:pt>
                <c:pt idx="21">
                  <c:v>2.9834920187904737</c:v>
                </c:pt>
                <c:pt idx="22">
                  <c:v>2.4862850073942084</c:v>
                </c:pt>
                <c:pt idx="23">
                  <c:v>2.0823821656661443</c:v>
                </c:pt>
                <c:pt idx="24">
                  <c:v>1.7525072145744867</c:v>
                </c:pt>
                <c:pt idx="25">
                  <c:v>1.4817023304503105</c:v>
                </c:pt>
                <c:pt idx="26">
                  <c:v>1.258290538763559</c:v>
                </c:pt>
                <c:pt idx="27">
                  <c:v>1.0731032470218704</c:v>
                </c:pt>
                <c:pt idx="28">
                  <c:v>0.91890134398941148</c:v>
                </c:pt>
                <c:pt idx="29">
                  <c:v>0.78993859213919948</c:v>
                </c:pt>
                <c:pt idx="30">
                  <c:v>0.68162990515750199</c:v>
                </c:pt>
                <c:pt idx="31">
                  <c:v>0.59055310124646299</c:v>
                </c:pt>
                <c:pt idx="32">
                  <c:v>0.51343295481126294</c:v>
                </c:pt>
                <c:pt idx="33">
                  <c:v>0.4478839468898082</c:v>
                </c:pt>
                <c:pt idx="34">
                  <c:v>0.39196722873513556</c:v>
                </c:pt>
                <c:pt idx="35">
                  <c:v>0.34410016978495644</c:v>
                </c:pt>
                <c:pt idx="36">
                  <c:v>0.30298552423473435</c:v>
                </c:pt>
                <c:pt idx="37">
                  <c:v>0.2675556931705807</c:v>
                </c:pt>
                <c:pt idx="38">
                  <c:v>0.23692866084260364</c:v>
                </c:pt>
                <c:pt idx="39">
                  <c:v>0.21037300327268632</c:v>
                </c:pt>
                <c:pt idx="40">
                  <c:v>0.18727998054888034</c:v>
                </c:pt>
              </c:numCache>
            </c:numRef>
          </c:yVal>
          <c:smooth val="1"/>
        </c:ser>
        <c:ser>
          <c:idx val="1"/>
          <c:order val="1"/>
          <c:tx>
            <c:v>Single Point</c:v>
          </c:tx>
          <c:marker>
            <c:symbol val="circle"/>
            <c:size val="8"/>
            <c:spPr>
              <a:solidFill>
                <a:srgbClr val="E31B23"/>
              </a:solidFill>
            </c:spPr>
          </c:marker>
          <c:xVal>
            <c:numRef>
              <c:f>'Therm Data'!$F$30</c:f>
            </c:numRef>
          </c:xVal>
          <c:yVal>
            <c:numRef>
              <c:f>'Therm Data'!$F$31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8280"/>
        <c:axId val="34317888"/>
      </c:scatterChart>
      <c:valAx>
        <c:axId val="34318280"/>
        <c:scaling>
          <c:orientation val="minMax"/>
          <c:max val="150"/>
          <c:min val="4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r>
                  <a:rPr lang="en-US" sz="900" b="1" i="0" baseline="0">
                    <a:solidFill>
                      <a:schemeClr val="bg1"/>
                    </a:solidFill>
                    <a:effectLst/>
                  </a:rPr>
                  <a:t>Temperature (°C)</a:t>
                </a:r>
                <a:endParaRPr lang="en-US" sz="900">
                  <a:solidFill>
                    <a:schemeClr val="bg1"/>
                  </a:solidFill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bg1"/>
                </a:solidFill>
              </a:defRPr>
            </a:pPr>
            <a:endParaRPr lang="en-US"/>
          </a:p>
        </c:txPr>
        <c:crossAx val="34317888"/>
        <c:crosses val="autoZero"/>
        <c:crossBetween val="midCat"/>
        <c:majorUnit val="10"/>
      </c:valAx>
      <c:valAx>
        <c:axId val="34317888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r>
                  <a:rPr lang="en-US" sz="900">
                    <a:solidFill>
                      <a:schemeClr val="bg1"/>
                    </a:solidFill>
                  </a:rPr>
                  <a:t>Resistance (k)
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bg1"/>
                </a:solidFill>
              </a:defRPr>
            </a:pPr>
            <a:endParaRPr lang="en-US"/>
          </a:p>
        </c:txPr>
        <c:crossAx val="34318280"/>
        <c:crossesAt val="-50"/>
        <c:crossBetween val="midCat"/>
        <c:majorUnit val="0.5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78441</xdr:colOff>
      <xdr:row>13</xdr:row>
      <xdr:rowOff>33617</xdr:rowOff>
    </xdr:from>
    <xdr:to>
      <xdr:col>29</xdr:col>
      <xdr:colOff>0</xdr:colOff>
      <xdr:row>29</xdr:row>
      <xdr:rowOff>11206</xdr:rowOff>
    </xdr:to>
    <xdr:sp macro="" textlink="">
      <xdr:nvSpPr>
        <xdr:cNvPr id="12" name="Rectangle 11"/>
        <xdr:cNvSpPr/>
      </xdr:nvSpPr>
      <xdr:spPr>
        <a:xfrm>
          <a:off x="5221941" y="2532529"/>
          <a:ext cx="3541059" cy="3059206"/>
        </a:xfrm>
        <a:prstGeom prst="rect">
          <a:avLst/>
        </a:prstGeom>
        <a:noFill/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12</xdr:row>
      <xdr:rowOff>47625</xdr:rowOff>
    </xdr:from>
    <xdr:to>
      <xdr:col>8</xdr:col>
      <xdr:colOff>95250</xdr:colOff>
      <xdr:row>28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50801</xdr:colOff>
      <xdr:row>12</xdr:row>
      <xdr:rowOff>47624</xdr:rowOff>
    </xdr:from>
    <xdr:to>
      <xdr:col>17</xdr:col>
      <xdr:colOff>114301</xdr:colOff>
      <xdr:row>28</xdr:row>
      <xdr:rowOff>177799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281421</xdr:colOff>
      <xdr:row>2</xdr:row>
      <xdr:rowOff>99580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21307" cy="480580"/>
        </a:xfrm>
        <a:prstGeom prst="rect">
          <a:avLst/>
        </a:prstGeom>
      </xdr:spPr>
    </xdr:pic>
    <xdr:clientData/>
  </xdr:twoCellAnchor>
  <xdr:twoCellAnchor editAs="oneCell">
    <xdr:from>
      <xdr:col>13</xdr:col>
      <xdr:colOff>280449</xdr:colOff>
      <xdr:row>0</xdr:row>
      <xdr:rowOff>0</xdr:rowOff>
    </xdr:from>
    <xdr:to>
      <xdr:col>29</xdr:col>
      <xdr:colOff>0</xdr:colOff>
      <xdr:row>12</xdr:row>
      <xdr:rowOff>134311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4384" y="0"/>
          <a:ext cx="4606290" cy="24368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63627</xdr:rowOff>
    </xdr:from>
    <xdr:to>
      <xdr:col>29</xdr:col>
      <xdr:colOff>0</xdr:colOff>
      <xdr:row>29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67540"/>
          <a:ext cx="8870674" cy="698373"/>
        </a:xfrm>
        <a:prstGeom prst="rect">
          <a:avLst/>
        </a:prstGeom>
      </xdr:spPr>
    </xdr:pic>
    <xdr:clientData/>
  </xdr:twoCellAnchor>
  <xdr:oneCellAnchor>
    <xdr:from>
      <xdr:col>19</xdr:col>
      <xdr:colOff>129540</xdr:colOff>
      <xdr:row>3</xdr:row>
      <xdr:rowOff>99060</xdr:rowOff>
    </xdr:from>
    <xdr:ext cx="2833101" cy="918136"/>
    <xdr:sp macro="" textlink="">
      <xdr:nvSpPr>
        <xdr:cNvPr id="2" name="TextBox 1"/>
        <xdr:cNvSpPr txBox="1"/>
      </xdr:nvSpPr>
      <xdr:spPr>
        <a:xfrm>
          <a:off x="5920740" y="670560"/>
          <a:ext cx="2833101" cy="91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28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TH10K</a:t>
          </a:r>
        </a:p>
        <a:p>
          <a:pPr algn="r"/>
          <a:r>
            <a:rPr lang="en-US" sz="14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Thermistor Calculation </a:t>
          </a:r>
          <a:br>
            <a:rPr lang="en-US" sz="14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</a:br>
          <a:r>
            <a:rPr lang="en-US" sz="14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Worksheet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4759</xdr:colOff>
      <xdr:row>11</xdr:row>
      <xdr:rowOff>38100</xdr:rowOff>
    </xdr:from>
    <xdr:ext cx="5853115" cy="1028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453184" y="2514600"/>
              <a:ext cx="5853115" cy="10287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20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25 °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lang="en-US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f>
                                  <m:fPr>
                                    <m:ctrlP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num>
                                  <m:den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den>
                                </m:f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f>
                                  <m:fPr>
                                    <m:ctrlP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p>
                                        <m: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p>
                                        <m: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p>
                                    </m:sSup>
                                  </m:den>
                                </m:f>
                              </m:e>
                            </m:d>
                          </m:sup>
                        </m:sSup>
                      </m:e>
                    </m:d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453184" y="2514600"/>
              <a:ext cx="5853115" cy="10287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𝑅_𝑡=𝑅_(25 °𝐶) (𝑒^((𝐴+ 𝐵/𝑇+ 𝐶/𝑇^2 +𝐷/𝑇^3 ) ) 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11</xdr:row>
      <xdr:rowOff>57150</xdr:rowOff>
    </xdr:from>
    <xdr:ext cx="5853115" cy="1042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2533650"/>
              <a:ext cx="5853115" cy="104265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</m:t>
                    </m:r>
                    <m:r>
                      <a:rPr lang="en-US" sz="20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</m:t>
                        </m:r>
                        <m:func>
                          <m:funcPr>
                            <m:ctrlP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20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25°</m:t>
                                        </m:r>
                                        <m: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𝑐</m:t>
                            </m:r>
                            <m:func>
                              <m:funcPr>
                                <m:ctrlPr>
                                  <a:rPr lang="en-US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2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sSup>
                                  <m:sSupPr>
                                    <m:ctrlP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n-US" sz="20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𝑅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𝑡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sSub>
                                              <m:sSubPr>
                                                <m:ctrlP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𝑅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25°</m:t>
                                                </m:r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𝐶</m:t>
                                                </m:r>
                                              </m:sub>
                                            </m:sSub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func>
                            <m: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𝑑</m:t>
                            </m:r>
                            <m:func>
                              <m:funcPr>
                                <m:ctrlPr>
                                  <a:rPr lang="en-US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2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sSup>
                                  <m:sSupPr>
                                    <m:ctrlP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n-US" sz="20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𝑅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𝑡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sSub>
                                              <m:sSubPr>
                                                <m:ctrlP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𝑅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25°</m:t>
                                                </m:r>
                                                <m:r>
                                                  <a:rPr lang="en-US" sz="200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𝐶</m:t>
                                                </m:r>
                                              </m:sub>
                                            </m:sSub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p>
                              </m:e>
                            </m:func>
                            <m: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func>
                      </m:den>
                    </m:f>
                  </m:oMath>
                </m:oMathPara>
              </a14:m>
              <a:endParaRPr lang="en-US" sz="4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2533650"/>
              <a:ext cx="5853115" cy="104265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𝑇=1/(𝑎+𝑏 ln⁡〖(𝑅_𝑡/𝑅_(25°𝐶) )+𝑐 ln⁡〖(𝑅_𝑡/𝑅_(25°𝐶) )^2 〗+𝑑 ln⁡〖(𝑅_𝑡/𝑅_(25°𝐶) )^3 〗  〗 )</a:t>
              </a:r>
              <a:endParaRPr lang="en-US" sz="4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zoomScale="125" zoomScaleNormal="125" workbookViewId="0">
      <selection activeCell="V20" sqref="V20:AB21"/>
    </sheetView>
  </sheetViews>
  <sheetFormatPr defaultColWidth="0" defaultRowHeight="15" zeroHeight="1" x14ac:dyDescent="0.25"/>
  <cols>
    <col min="1" max="28" width="4.5703125" style="1" customWidth="1"/>
    <col min="29" max="29" width="4.28515625" style="1" customWidth="1"/>
    <col min="30" max="30" width="4.5703125" style="2" hidden="1" customWidth="1"/>
    <col min="31" max="44" width="4.5703125" style="1" hidden="1" customWidth="1"/>
    <col min="45" max="16384" width="9.140625" style="1" hidden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" customHeight="1" x14ac:dyDescent="0.25">
      <c r="A4" s="52" t="s">
        <v>15</v>
      </c>
      <c r="B4" s="52"/>
      <c r="C4" s="52"/>
      <c r="D4" s="52"/>
      <c r="E4" s="52"/>
      <c r="F4" s="52"/>
      <c r="G4" s="53"/>
      <c r="H4" s="53"/>
      <c r="I4" s="53"/>
      <c r="J4" s="53"/>
      <c r="K4" s="53"/>
      <c r="L4" s="53"/>
      <c r="M4" s="53"/>
      <c r="N4" s="53"/>
      <c r="O4" s="4"/>
      <c r="P4" s="4"/>
      <c r="Q4" s="4"/>
      <c r="R4" s="4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" customHeight="1" x14ac:dyDescent="0.25">
      <c r="A5" s="52"/>
      <c r="B5" s="52"/>
      <c r="C5" s="52"/>
      <c r="D5" s="52"/>
      <c r="E5" s="52"/>
      <c r="F5" s="52"/>
      <c r="G5" s="53"/>
      <c r="H5" s="53"/>
      <c r="I5" s="53"/>
      <c r="J5" s="53"/>
      <c r="K5" s="53"/>
      <c r="L5" s="53"/>
      <c r="M5" s="53"/>
      <c r="N5" s="53"/>
      <c r="O5" s="4"/>
      <c r="P5" s="4"/>
      <c r="Q5" s="4"/>
      <c r="R5" s="4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" customHeight="1" x14ac:dyDescent="0.25">
      <c r="A6" s="52"/>
      <c r="B6" s="52"/>
      <c r="C6" s="52"/>
      <c r="D6" s="52"/>
      <c r="E6" s="52"/>
      <c r="F6" s="52"/>
      <c r="G6" s="53"/>
      <c r="H6" s="53"/>
      <c r="I6" s="53"/>
      <c r="J6" s="53"/>
      <c r="K6" s="53"/>
      <c r="L6" s="53"/>
      <c r="M6" s="53"/>
      <c r="N6" s="53"/>
      <c r="O6" s="4"/>
      <c r="P6" s="4"/>
      <c r="Q6" s="4"/>
      <c r="R6" s="4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" customHeight="1" x14ac:dyDescent="0.25">
      <c r="A7" s="52"/>
      <c r="B7" s="52"/>
      <c r="C7" s="52"/>
      <c r="D7" s="52"/>
      <c r="E7" s="52"/>
      <c r="F7" s="52"/>
      <c r="G7" s="53"/>
      <c r="H7" s="53"/>
      <c r="I7" s="53"/>
      <c r="J7" s="53"/>
      <c r="K7" s="53"/>
      <c r="L7" s="53"/>
      <c r="M7" s="53"/>
      <c r="N7" s="53"/>
      <c r="O7" s="4"/>
      <c r="P7" s="4"/>
      <c r="Q7" s="4"/>
      <c r="R7" s="4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4"/>
      <c r="L8" s="4"/>
      <c r="M8" s="4"/>
      <c r="N8" s="4"/>
      <c r="O8" s="4"/>
      <c r="P8" s="4"/>
      <c r="Q8" s="4"/>
      <c r="R8" s="4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52" t="s">
        <v>16</v>
      </c>
      <c r="B9" s="52"/>
      <c r="C9" s="52"/>
      <c r="D9" s="52"/>
      <c r="E9" s="52"/>
      <c r="F9" s="52"/>
      <c r="G9" s="54" t="str">
        <f>IF(G4="","",'Therm Data'!C24)</f>
        <v/>
      </c>
      <c r="H9" s="55"/>
      <c r="I9" s="55"/>
      <c r="J9" s="55"/>
      <c r="K9" s="55"/>
      <c r="L9" s="55"/>
      <c r="M9" s="55"/>
      <c r="N9" s="56"/>
      <c r="O9" s="4"/>
      <c r="P9" s="4"/>
      <c r="Q9" s="4"/>
      <c r="R9" s="4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52"/>
      <c r="B10" s="52"/>
      <c r="C10" s="52"/>
      <c r="D10" s="52"/>
      <c r="E10" s="52"/>
      <c r="F10" s="52"/>
      <c r="G10" s="57"/>
      <c r="H10" s="58"/>
      <c r="I10" s="58"/>
      <c r="J10" s="58"/>
      <c r="K10" s="58"/>
      <c r="L10" s="58"/>
      <c r="M10" s="58"/>
      <c r="N10" s="59"/>
      <c r="O10" s="4"/>
      <c r="P10" s="4"/>
      <c r="Q10" s="4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52"/>
      <c r="B11" s="52"/>
      <c r="C11" s="52"/>
      <c r="D11" s="52"/>
      <c r="E11" s="52"/>
      <c r="F11" s="52"/>
      <c r="G11" s="57"/>
      <c r="H11" s="58"/>
      <c r="I11" s="58"/>
      <c r="J11" s="58"/>
      <c r="K11" s="58"/>
      <c r="L11" s="58"/>
      <c r="M11" s="58"/>
      <c r="N11" s="59"/>
      <c r="O11" s="4"/>
      <c r="P11" s="4"/>
      <c r="Q11" s="4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thickBot="1" x14ac:dyDescent="0.3">
      <c r="A12" s="52"/>
      <c r="B12" s="52"/>
      <c r="C12" s="52"/>
      <c r="D12" s="52"/>
      <c r="E12" s="52"/>
      <c r="F12" s="52"/>
      <c r="G12" s="60"/>
      <c r="H12" s="61"/>
      <c r="I12" s="61"/>
      <c r="J12" s="61"/>
      <c r="K12" s="61"/>
      <c r="L12" s="61"/>
      <c r="M12" s="61"/>
      <c r="N12" s="62"/>
      <c r="O12" s="4"/>
      <c r="P12" s="4"/>
      <c r="Q12" s="4"/>
      <c r="R12" s="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51" t="s">
        <v>25</v>
      </c>
      <c r="T17" s="51"/>
      <c r="U17" s="51"/>
      <c r="V17" s="51"/>
      <c r="W17" s="51"/>
      <c r="X17" s="51"/>
      <c r="Y17" s="51"/>
      <c r="Z17" s="51"/>
      <c r="AA17" s="51"/>
      <c r="AB17" s="51"/>
      <c r="AC17" s="3"/>
    </row>
    <row r="18" spans="1:29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3"/>
    </row>
    <row r="19" spans="1:29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3"/>
    </row>
    <row r="20" spans="1:29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63" t="s">
        <v>18</v>
      </c>
      <c r="S20" s="63"/>
      <c r="T20" s="63"/>
      <c r="U20" s="63"/>
      <c r="V20" s="44"/>
      <c r="W20" s="44"/>
      <c r="X20" s="44"/>
      <c r="Y20" s="44"/>
      <c r="Z20" s="44"/>
      <c r="AA20" s="44"/>
      <c r="AB20" s="44"/>
      <c r="AC20" s="3"/>
    </row>
    <row r="21" spans="1:2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63"/>
      <c r="S21" s="63"/>
      <c r="T21" s="63"/>
      <c r="U21" s="63"/>
      <c r="V21" s="44"/>
      <c r="W21" s="44"/>
      <c r="X21" s="44"/>
      <c r="Y21" s="44"/>
      <c r="Z21" s="44"/>
      <c r="AA21" s="44"/>
      <c r="AB21" s="44"/>
      <c r="AC21" s="3"/>
    </row>
    <row r="22" spans="1:29" ht="15.75" thickBo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2" t="s">
        <v>17</v>
      </c>
      <c r="S23" s="42"/>
      <c r="T23" s="42"/>
      <c r="U23" s="43"/>
      <c r="V23" s="45" t="str">
        <f>IF(V20="","",'Therm Data'!J24)</f>
        <v/>
      </c>
      <c r="W23" s="46"/>
      <c r="X23" s="46"/>
      <c r="Y23" s="46"/>
      <c r="Z23" s="46"/>
      <c r="AA23" s="46"/>
      <c r="AB23" s="47"/>
      <c r="AC23" s="3"/>
    </row>
    <row r="24" spans="1:29" ht="15.75" thickBo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2"/>
      <c r="S24" s="42"/>
      <c r="T24" s="42"/>
      <c r="U24" s="43"/>
      <c r="V24" s="48"/>
      <c r="W24" s="49"/>
      <c r="X24" s="49"/>
      <c r="Y24" s="49"/>
      <c r="Z24" s="49"/>
      <c r="AA24" s="49"/>
      <c r="AB24" s="50"/>
      <c r="AC24" s="3"/>
    </row>
    <row r="25" spans="1:2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idden="1" x14ac:dyDescent="0.25"/>
  </sheetData>
  <mergeCells count="9">
    <mergeCell ref="R23:U24"/>
    <mergeCell ref="V20:AB21"/>
    <mergeCell ref="V23:AB24"/>
    <mergeCell ref="S17:AB18"/>
    <mergeCell ref="A4:F7"/>
    <mergeCell ref="G4:N7"/>
    <mergeCell ref="A9:F12"/>
    <mergeCell ref="G9:N12"/>
    <mergeCell ref="R20:U21"/>
  </mergeCells>
  <conditionalFormatting sqref="G9:N12">
    <cfRule type="cellIs" dxfId="1" priority="2" operator="equal">
      <formula>"Out of Range"</formula>
    </cfRule>
  </conditionalFormatting>
  <conditionalFormatting sqref="V23:AB24">
    <cfRule type="cellIs" dxfId="0" priority="1" operator="equal">
      <formula>"Out of Range"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F21" sqref="F21"/>
    </sheetView>
  </sheetViews>
  <sheetFormatPr defaultRowHeight="15" x14ac:dyDescent="0.25"/>
  <cols>
    <col min="1" max="2" width="14.28515625" style="1" customWidth="1"/>
    <col min="3" max="3" width="16.140625" style="1" customWidth="1"/>
    <col min="4" max="6" width="14.28515625" style="1" customWidth="1"/>
    <col min="7" max="7" width="9.140625" style="1"/>
    <col min="8" max="9" width="14.28515625" style="1" customWidth="1"/>
    <col min="10" max="10" width="16.140625" style="1" customWidth="1"/>
    <col min="11" max="13" width="14.28515625" style="1" customWidth="1"/>
    <col min="14" max="16384" width="9.140625" style="1"/>
  </cols>
  <sheetData>
    <row r="1" spans="1:15" ht="24" customHeight="1" thickBot="1" x14ac:dyDescent="0.3">
      <c r="A1" s="5"/>
      <c r="B1" s="5"/>
      <c r="D1" s="64" t="s">
        <v>21</v>
      </c>
      <c r="E1" s="65"/>
      <c r="F1" s="65"/>
      <c r="G1" s="65"/>
      <c r="H1" s="65"/>
      <c r="I1" s="65"/>
      <c r="J1" s="65"/>
      <c r="K1" s="65"/>
      <c r="L1" s="65"/>
      <c r="M1" s="66"/>
    </row>
    <row r="2" spans="1:15" ht="30" customHeight="1" thickBot="1" x14ac:dyDescent="0.3">
      <c r="A2" s="17" t="s">
        <v>19</v>
      </c>
      <c r="B2" s="18">
        <v>10000</v>
      </c>
      <c r="D2" s="67"/>
      <c r="E2" s="68"/>
      <c r="F2" s="68"/>
      <c r="G2" s="68"/>
      <c r="H2" s="68"/>
      <c r="I2" s="68"/>
      <c r="J2" s="68"/>
      <c r="K2" s="68"/>
      <c r="L2" s="68"/>
      <c r="M2" s="69"/>
    </row>
    <row r="4" spans="1:15" ht="15.75" thickBot="1" x14ac:dyDescent="0.3">
      <c r="B4" s="1">
        <v>187</v>
      </c>
    </row>
    <row r="5" spans="1:15" ht="15.75" customHeight="1" thickBot="1" x14ac:dyDescent="0.3">
      <c r="A5" s="72" t="s">
        <v>6</v>
      </c>
      <c r="B5" s="73"/>
      <c r="C5" s="73"/>
      <c r="D5" s="73"/>
      <c r="E5" s="73"/>
      <c r="F5" s="74"/>
      <c r="H5" s="72" t="s">
        <v>0</v>
      </c>
      <c r="I5" s="73"/>
      <c r="J5" s="73"/>
      <c r="K5" s="73"/>
      <c r="L5" s="73"/>
      <c r="M5" s="74"/>
    </row>
    <row r="6" spans="1:15" ht="15.75" thickBot="1" x14ac:dyDescent="0.3">
      <c r="A6" s="75" t="s">
        <v>20</v>
      </c>
      <c r="B6" s="76"/>
      <c r="C6" s="70" t="s">
        <v>7</v>
      </c>
      <c r="D6" s="70" t="s">
        <v>8</v>
      </c>
      <c r="E6" s="70" t="s">
        <v>9</v>
      </c>
      <c r="F6" s="77" t="s">
        <v>10</v>
      </c>
      <c r="H6" s="75" t="s">
        <v>1</v>
      </c>
      <c r="I6" s="76"/>
      <c r="J6" s="70" t="s">
        <v>2</v>
      </c>
      <c r="K6" s="70" t="s">
        <v>3</v>
      </c>
      <c r="L6" s="70" t="s">
        <v>4</v>
      </c>
      <c r="M6" s="77" t="s">
        <v>5</v>
      </c>
      <c r="O6"/>
    </row>
    <row r="7" spans="1:15" ht="15.75" thickBot="1" x14ac:dyDescent="0.3">
      <c r="A7" s="6" t="s">
        <v>12</v>
      </c>
      <c r="B7" s="7" t="s">
        <v>11</v>
      </c>
      <c r="C7" s="71"/>
      <c r="D7" s="71"/>
      <c r="E7" s="71"/>
      <c r="F7" s="78"/>
      <c r="H7" s="6" t="s">
        <v>11</v>
      </c>
      <c r="I7" s="6" t="s">
        <v>12</v>
      </c>
      <c r="J7" s="71"/>
      <c r="K7" s="71"/>
      <c r="L7" s="71"/>
      <c r="M7" s="78"/>
      <c r="O7"/>
    </row>
    <row r="8" spans="1:15" ht="15.75" thickBot="1" x14ac:dyDescent="0.3">
      <c r="A8" s="13">
        <v>681.6</v>
      </c>
      <c r="B8" s="22">
        <v>0</v>
      </c>
      <c r="C8" s="23">
        <v>3.3536166E-3</v>
      </c>
      <c r="D8" s="25">
        <v>2.5377199999999998E-4</v>
      </c>
      <c r="E8" s="25">
        <v>8.5433270999999998E-7</v>
      </c>
      <c r="F8" s="15">
        <v>-8.7912261999999997E-8</v>
      </c>
      <c r="H8" s="9">
        <v>272</v>
      </c>
      <c r="I8" s="9">
        <v>0</v>
      </c>
      <c r="J8" s="10">
        <v>-16.443767000000001</v>
      </c>
      <c r="K8" s="11">
        <v>6108.0608000000002</v>
      </c>
      <c r="L8" s="11">
        <v>-441416.71</v>
      </c>
      <c r="M8" s="12">
        <v>24159818</v>
      </c>
      <c r="O8"/>
    </row>
    <row r="9" spans="1:15" ht="15.75" thickBot="1" x14ac:dyDescent="0.3">
      <c r="A9" s="13">
        <v>3599</v>
      </c>
      <c r="B9" s="13">
        <v>681.6</v>
      </c>
      <c r="C9" s="23">
        <v>3.3530481E-3</v>
      </c>
      <c r="D9" s="25">
        <v>2.5420230000000002E-4</v>
      </c>
      <c r="E9" s="25">
        <v>1.1431163E-6</v>
      </c>
      <c r="F9" s="15">
        <v>-6.9383562999999997E-8</v>
      </c>
      <c r="H9" s="9">
        <v>322</v>
      </c>
      <c r="I9" s="9">
        <v>273</v>
      </c>
      <c r="J9" s="10">
        <v>-15.470381</v>
      </c>
      <c r="K9" s="11">
        <v>5602.2839000000004</v>
      </c>
      <c r="L9" s="11">
        <v>-378860.7</v>
      </c>
      <c r="M9" s="12">
        <v>24971623</v>
      </c>
      <c r="O9"/>
    </row>
    <row r="10" spans="1:15" ht="15.75" thickBot="1" x14ac:dyDescent="0.3">
      <c r="A10" s="8">
        <v>32770</v>
      </c>
      <c r="B10" s="8">
        <v>3599</v>
      </c>
      <c r="C10" s="24">
        <v>3.3540169999999999E-3</v>
      </c>
      <c r="D10" s="24">
        <v>2.5617244000000002E-4</v>
      </c>
      <c r="E10" s="24">
        <v>2.1400943000000001E-6</v>
      </c>
      <c r="F10" s="12">
        <v>-7.2405219000000006E-8</v>
      </c>
      <c r="H10" s="9">
        <v>372</v>
      </c>
      <c r="I10" s="9">
        <v>323</v>
      </c>
      <c r="J10" s="14">
        <v>-14.807463</v>
      </c>
      <c r="K10" s="14">
        <v>5155.0853999999999</v>
      </c>
      <c r="L10" s="14">
        <v>-297176.59000000003</v>
      </c>
      <c r="M10" s="15">
        <v>22904187</v>
      </c>
      <c r="O10"/>
    </row>
    <row r="11" spans="1:15" ht="15.75" thickBot="1" x14ac:dyDescent="0.3">
      <c r="A11" s="8">
        <v>692600</v>
      </c>
      <c r="B11" s="8">
        <v>32770</v>
      </c>
      <c r="C11" s="24">
        <v>3.3570420000000002E-3</v>
      </c>
      <c r="D11" s="24">
        <v>2.5214847999999998E-4</v>
      </c>
      <c r="E11" s="24">
        <v>3.3743283000000002E-6</v>
      </c>
      <c r="F11" s="12">
        <v>-6.4957310999999994E-8</v>
      </c>
      <c r="H11" s="9">
        <v>423</v>
      </c>
      <c r="I11" s="9">
        <v>373</v>
      </c>
      <c r="J11" s="14">
        <v>-14.862658</v>
      </c>
      <c r="K11" s="14">
        <v>5267.6518999999998</v>
      </c>
      <c r="L11" s="14">
        <v>-353748.47999999998</v>
      </c>
      <c r="M11" s="15">
        <v>31207901</v>
      </c>
      <c r="O11"/>
    </row>
    <row r="17" spans="1:13" ht="15.75" thickBot="1" x14ac:dyDescent="0.3"/>
    <row r="18" spans="1:13" ht="15.75" thickBot="1" x14ac:dyDescent="0.3">
      <c r="A18" s="19">
        <f>'Thermister Worksheet'!$G$4</f>
        <v>0</v>
      </c>
      <c r="B18" s="16"/>
      <c r="C18" s="16"/>
      <c r="D18" s="16"/>
      <c r="E18" s="16"/>
      <c r="F18" s="16"/>
      <c r="H18" s="19">
        <f>'Thermister Worksheet'!$V$20+273.15</f>
        <v>273.14999999999998</v>
      </c>
      <c r="I18" s="16"/>
      <c r="J18" s="16"/>
      <c r="K18" s="16"/>
      <c r="L18" s="16"/>
      <c r="M18" s="16"/>
    </row>
    <row r="19" spans="1:13" x14ac:dyDescent="0.25">
      <c r="A19" s="5"/>
      <c r="B19" s="20" t="s">
        <v>7</v>
      </c>
      <c r="C19" s="1">
        <f>VLOOKUP($A$18,ThermTemp,2,TRUE)</f>
        <v>3.3536166E-3</v>
      </c>
      <c r="D19" s="26">
        <f>VLOOKUP($A$18,ThermTemp,2,TRUE)</f>
        <v>3.3536166E-3</v>
      </c>
      <c r="H19" s="5"/>
      <c r="I19" s="20" t="s">
        <v>2</v>
      </c>
      <c r="J19" s="1">
        <f>VLOOKUP($H$18,ThermRes,2,TRUE)</f>
        <v>-15.470381</v>
      </c>
      <c r="K19" s="27">
        <f>VLOOKUP($H$18,ThermRes,2,TRUE)</f>
        <v>-15.470381</v>
      </c>
    </row>
    <row r="20" spans="1:13" x14ac:dyDescent="0.25">
      <c r="B20" s="21" t="s">
        <v>8</v>
      </c>
      <c r="C20" s="1" t="e">
        <f>VLOOKUP($A$18,ThermTemp,3,TRUE)*LN($A$18/Rroom)</f>
        <v>#NUM!</v>
      </c>
      <c r="D20" s="26">
        <f>VLOOKUP($A$18,ThermTemp,3,TRUE)</f>
        <v>2.5377199999999998E-4</v>
      </c>
      <c r="I20" s="21" t="s">
        <v>3</v>
      </c>
      <c r="J20" s="1">
        <f>VLOOKUP($H$18,ThermRes,3,TRUE)/$H$18</f>
        <v>20.50991726157789</v>
      </c>
      <c r="K20" s="27">
        <f>VLOOKUP($H$18,ThermRes,3,TRUE)</f>
        <v>5602.2839000000004</v>
      </c>
    </row>
    <row r="21" spans="1:13" x14ac:dyDescent="0.25">
      <c r="B21" s="21" t="s">
        <v>9</v>
      </c>
      <c r="C21" s="1" t="e">
        <f>VLOOKUP($A$18,ThermTemp,4,TRUE)*(LN($A$18/Rroom))^2</f>
        <v>#NUM!</v>
      </c>
      <c r="D21" s="26">
        <f>VLOOKUP($A$18,ThermTemp,4,TRUE)</f>
        <v>8.5433270999999998E-7</v>
      </c>
      <c r="I21" s="21" t="s">
        <v>4</v>
      </c>
      <c r="J21" s="1">
        <f>VLOOKUP($H$18,ThermRes,4,TRUE)/($H$18^2)</f>
        <v>-5.0778181974629799</v>
      </c>
      <c r="K21" s="27">
        <f>VLOOKUP($H$18,ThermRes,4,TRUE)</f>
        <v>-378860.7</v>
      </c>
    </row>
    <row r="22" spans="1:13" x14ac:dyDescent="0.25">
      <c r="B22" s="21" t="s">
        <v>10</v>
      </c>
      <c r="C22" s="1" t="e">
        <f>VLOOKUP($A$18,ThermTemp,5,TRUE)*(LN($A$18/Rroom))^3</f>
        <v>#NUM!</v>
      </c>
      <c r="D22" s="26">
        <f>VLOOKUP($A$18,ThermTemp,5,TRUE)</f>
        <v>-8.7912261999999997E-8</v>
      </c>
      <c r="I22" s="21" t="s">
        <v>5</v>
      </c>
      <c r="J22" s="1">
        <f>VLOOKUP($H$18,ThermRes,5,TRUE)/($H$18^3)</f>
        <v>1.2253020360126528</v>
      </c>
      <c r="K22" s="27">
        <f>VLOOKUP($H$18,ThermRes,5,TRUE)</f>
        <v>24971623</v>
      </c>
    </row>
    <row r="23" spans="1:13" ht="15.75" thickBot="1" x14ac:dyDescent="0.3"/>
    <row r="24" spans="1:13" ht="15.75" thickBot="1" x14ac:dyDescent="0.3">
      <c r="B24" s="39" t="s">
        <v>13</v>
      </c>
      <c r="C24" s="40" t="e">
        <f>IF(OR(1/(SUM(C19:C22))-273.15&gt;=150.001, 1/(SUM(C19:C22))-273.15&lt;=-50),"Out of Range",1/(SUM(C19:C22))-273.15)</f>
        <v>#NUM!</v>
      </c>
      <c r="I24" s="39" t="s">
        <v>14</v>
      </c>
      <c r="J24" s="40">
        <f>IF(OR(Rroom*(EXP(SUM(J19:J22)))&lt;187,Rroom*(EXP(SUM(J19:J22)))&gt;700216),"Out of Range",Rroom*(EXP(SUM(J19:J22))))</f>
        <v>32773.00614343999</v>
      </c>
    </row>
    <row r="26" spans="1:13" x14ac:dyDescent="0.25">
      <c r="J26" s="26"/>
    </row>
    <row r="29" spans="1:13" ht="15.75" thickBot="1" x14ac:dyDescent="0.3">
      <c r="B29"/>
    </row>
    <row r="30" spans="1:13" x14ac:dyDescent="0.25">
      <c r="A30" s="28" t="s">
        <v>23</v>
      </c>
      <c r="B30" s="29" t="s">
        <v>22</v>
      </c>
      <c r="C30" s="30" t="s">
        <v>24</v>
      </c>
      <c r="E30" s="35" t="s">
        <v>13</v>
      </c>
      <c r="F30" s="36" t="str">
        <f>'Thermister Worksheet'!G9</f>
        <v/>
      </c>
    </row>
    <row r="31" spans="1:13" ht="15.75" thickBot="1" x14ac:dyDescent="0.3">
      <c r="A31" s="41">
        <f>B31+273.15</f>
        <v>223.14999999999998</v>
      </c>
      <c r="B31" s="31">
        <v>-50</v>
      </c>
      <c r="C31" s="32">
        <f t="shared" ref="C31:C71" si="0">Rroom*(EXP(VLOOKUP(A31,ThermRes,2,TRUE)+VLOOKUP(A31,ThermRes,3,TRUE)/A31+VLOOKUP(A31,ThermRes,4,TRUE)/(A31^2)+VLOOKUP(A31,ThermRes,5,TRUE)/(A31^3)))/1000</f>
        <v>692.64384777628925</v>
      </c>
      <c r="E31" s="37" t="s">
        <v>14</v>
      </c>
      <c r="F31" s="38">
        <f>'Thermister Worksheet'!G4/1000</f>
        <v>0</v>
      </c>
    </row>
    <row r="32" spans="1:13" x14ac:dyDescent="0.25">
      <c r="A32" s="41">
        <f t="shared" ref="A32:A71" si="1">B32+273.15</f>
        <v>228.14999999999998</v>
      </c>
      <c r="B32" s="31">
        <v>-45</v>
      </c>
      <c r="C32" s="32">
        <f t="shared" si="0"/>
        <v>485.45772529217032</v>
      </c>
    </row>
    <row r="33" spans="1:9" x14ac:dyDescent="0.25">
      <c r="A33" s="41">
        <f t="shared" si="1"/>
        <v>233.14999999999998</v>
      </c>
      <c r="B33" s="31">
        <v>-40</v>
      </c>
      <c r="C33" s="32">
        <f t="shared" si="0"/>
        <v>344.70165431391479</v>
      </c>
      <c r="I33" s="1" t="e">
        <f>OR((1/(SUM(C19:C22))-273)&gt;150, (1/(SUM(C19:C22))-273)&lt;-50)</f>
        <v>#NUM!</v>
      </c>
    </row>
    <row r="34" spans="1:9" x14ac:dyDescent="0.25">
      <c r="A34" s="41">
        <f t="shared" si="1"/>
        <v>238.14999999999998</v>
      </c>
      <c r="B34" s="31">
        <v>-35</v>
      </c>
      <c r="C34" s="32">
        <f t="shared" si="0"/>
        <v>247.76540518560012</v>
      </c>
    </row>
    <row r="35" spans="1:9" x14ac:dyDescent="0.25">
      <c r="A35" s="41">
        <f t="shared" si="1"/>
        <v>243.14999999999998</v>
      </c>
      <c r="B35" s="31">
        <v>-30</v>
      </c>
      <c r="C35" s="32">
        <f t="shared" si="0"/>
        <v>180.14804202832127</v>
      </c>
    </row>
    <row r="36" spans="1:9" x14ac:dyDescent="0.25">
      <c r="A36" s="41">
        <f t="shared" si="1"/>
        <v>248.14999999999998</v>
      </c>
      <c r="B36" s="31">
        <v>-25</v>
      </c>
      <c r="C36" s="32">
        <f t="shared" si="0"/>
        <v>132.41091983641422</v>
      </c>
    </row>
    <row r="37" spans="1:9" x14ac:dyDescent="0.25">
      <c r="A37" s="41">
        <f t="shared" si="1"/>
        <v>253.14999999999998</v>
      </c>
      <c r="B37" s="31">
        <v>-20</v>
      </c>
      <c r="C37" s="32">
        <f t="shared" si="0"/>
        <v>98.324452608227887</v>
      </c>
    </row>
    <row r="38" spans="1:9" x14ac:dyDescent="0.25">
      <c r="A38" s="41">
        <f t="shared" si="1"/>
        <v>258.14999999999998</v>
      </c>
      <c r="B38" s="31">
        <v>-15</v>
      </c>
      <c r="C38" s="32">
        <f t="shared" si="0"/>
        <v>73.722893575535323</v>
      </c>
    </row>
    <row r="39" spans="1:9" x14ac:dyDescent="0.25">
      <c r="A39" s="41">
        <f t="shared" si="1"/>
        <v>263.14999999999998</v>
      </c>
      <c r="B39" s="31">
        <v>-10</v>
      </c>
      <c r="C39" s="32">
        <f t="shared" si="0"/>
        <v>55.785979423345459</v>
      </c>
    </row>
    <row r="40" spans="1:9" x14ac:dyDescent="0.25">
      <c r="A40" s="41">
        <f t="shared" si="1"/>
        <v>268.14999999999998</v>
      </c>
      <c r="B40" s="31">
        <v>-5</v>
      </c>
      <c r="C40" s="32">
        <f t="shared" si="0"/>
        <v>42.581938869343915</v>
      </c>
    </row>
    <row r="41" spans="1:9" x14ac:dyDescent="0.25">
      <c r="A41" s="41">
        <f t="shared" si="1"/>
        <v>273.14999999999998</v>
      </c>
      <c r="B41" s="31">
        <v>0</v>
      </c>
      <c r="C41" s="32">
        <f t="shared" si="0"/>
        <v>32.773006143439993</v>
      </c>
    </row>
    <row r="42" spans="1:9" x14ac:dyDescent="0.25">
      <c r="A42" s="41">
        <f t="shared" si="1"/>
        <v>278.14999999999998</v>
      </c>
      <c r="B42" s="31">
        <v>5</v>
      </c>
      <c r="C42" s="32">
        <f t="shared" si="0"/>
        <v>25.455699347805552</v>
      </c>
    </row>
    <row r="43" spans="1:9" x14ac:dyDescent="0.25">
      <c r="A43" s="41">
        <f t="shared" si="1"/>
        <v>283.14999999999998</v>
      </c>
      <c r="B43" s="31">
        <v>10</v>
      </c>
      <c r="C43" s="32">
        <f t="shared" si="0"/>
        <v>19.931451065276526</v>
      </c>
    </row>
    <row r="44" spans="1:9" x14ac:dyDescent="0.25">
      <c r="A44" s="41">
        <f t="shared" si="1"/>
        <v>288.14999999999998</v>
      </c>
      <c r="B44" s="31">
        <v>15</v>
      </c>
      <c r="C44" s="32">
        <f t="shared" si="0"/>
        <v>15.725362659412397</v>
      </c>
    </row>
    <row r="45" spans="1:9" x14ac:dyDescent="0.25">
      <c r="A45" s="41">
        <f t="shared" si="1"/>
        <v>293.14999999999998</v>
      </c>
      <c r="B45" s="31">
        <v>20</v>
      </c>
      <c r="C45" s="32">
        <f t="shared" si="0"/>
        <v>12.497003245235408</v>
      </c>
    </row>
    <row r="46" spans="1:9" x14ac:dyDescent="0.25">
      <c r="A46" s="41">
        <f t="shared" si="1"/>
        <v>298.14999999999998</v>
      </c>
      <c r="B46" s="31">
        <v>25</v>
      </c>
      <c r="C46" s="32">
        <f t="shared" si="0"/>
        <v>10.000040977094836</v>
      </c>
    </row>
    <row r="47" spans="1:9" x14ac:dyDescent="0.25">
      <c r="A47" s="41">
        <f t="shared" si="1"/>
        <v>303.14999999999998</v>
      </c>
      <c r="B47" s="31">
        <v>30</v>
      </c>
      <c r="C47" s="32">
        <f t="shared" si="0"/>
        <v>8.0546399989071453</v>
      </c>
    </row>
    <row r="48" spans="1:9" x14ac:dyDescent="0.25">
      <c r="A48" s="41">
        <f t="shared" si="1"/>
        <v>308.14999999999998</v>
      </c>
      <c r="B48" s="31">
        <v>35</v>
      </c>
      <c r="C48" s="32">
        <f t="shared" si="0"/>
        <v>6.52839332972757</v>
      </c>
    </row>
    <row r="49" spans="1:3" x14ac:dyDescent="0.25">
      <c r="A49" s="41">
        <f t="shared" si="1"/>
        <v>313.14999999999998</v>
      </c>
      <c r="B49" s="31">
        <v>40</v>
      </c>
      <c r="C49" s="32">
        <f t="shared" si="0"/>
        <v>5.323023947796119</v>
      </c>
    </row>
    <row r="50" spans="1:3" x14ac:dyDescent="0.25">
      <c r="A50" s="41">
        <f t="shared" si="1"/>
        <v>318.14999999999998</v>
      </c>
      <c r="B50" s="31">
        <v>45</v>
      </c>
      <c r="C50" s="32">
        <f t="shared" si="0"/>
        <v>4.3650231188219859</v>
      </c>
    </row>
    <row r="51" spans="1:3" x14ac:dyDescent="0.25">
      <c r="A51" s="41">
        <f t="shared" si="1"/>
        <v>323.14999999999998</v>
      </c>
      <c r="B51" s="31">
        <v>50</v>
      </c>
      <c r="C51" s="32">
        <f t="shared" si="0"/>
        <v>3.5990013378747778</v>
      </c>
    </row>
    <row r="52" spans="1:3" x14ac:dyDescent="0.25">
      <c r="A52" s="41">
        <f t="shared" si="1"/>
        <v>328.15</v>
      </c>
      <c r="B52" s="31">
        <v>55</v>
      </c>
      <c r="C52" s="32">
        <f t="shared" si="0"/>
        <v>2.9834920187904737</v>
      </c>
    </row>
    <row r="53" spans="1:3" x14ac:dyDescent="0.25">
      <c r="A53" s="41">
        <f t="shared" si="1"/>
        <v>333.15</v>
      </c>
      <c r="B53" s="31">
        <v>60</v>
      </c>
      <c r="C53" s="32">
        <f t="shared" si="0"/>
        <v>2.4862850073942084</v>
      </c>
    </row>
    <row r="54" spans="1:3" x14ac:dyDescent="0.25">
      <c r="A54" s="41">
        <f t="shared" si="1"/>
        <v>338.15</v>
      </c>
      <c r="B54" s="31">
        <v>65</v>
      </c>
      <c r="C54" s="32">
        <f t="shared" si="0"/>
        <v>2.0823821656661443</v>
      </c>
    </row>
    <row r="55" spans="1:3" x14ac:dyDescent="0.25">
      <c r="A55" s="41">
        <f t="shared" si="1"/>
        <v>343.15</v>
      </c>
      <c r="B55" s="31">
        <v>70</v>
      </c>
      <c r="C55" s="32">
        <f t="shared" si="0"/>
        <v>1.7525072145744867</v>
      </c>
    </row>
    <row r="56" spans="1:3" x14ac:dyDescent="0.25">
      <c r="A56" s="41">
        <f t="shared" si="1"/>
        <v>348.15</v>
      </c>
      <c r="B56" s="31">
        <v>75</v>
      </c>
      <c r="C56" s="32">
        <f t="shared" si="0"/>
        <v>1.4817023304503105</v>
      </c>
    </row>
    <row r="57" spans="1:3" x14ac:dyDescent="0.25">
      <c r="A57" s="41">
        <f t="shared" si="1"/>
        <v>353.15</v>
      </c>
      <c r="B57" s="31">
        <v>80</v>
      </c>
      <c r="C57" s="32">
        <f t="shared" si="0"/>
        <v>1.258290538763559</v>
      </c>
    </row>
    <row r="58" spans="1:3" x14ac:dyDescent="0.25">
      <c r="A58" s="41">
        <f t="shared" si="1"/>
        <v>358.15</v>
      </c>
      <c r="B58" s="31">
        <v>85</v>
      </c>
      <c r="C58" s="32">
        <f t="shared" si="0"/>
        <v>1.0731032470218704</v>
      </c>
    </row>
    <row r="59" spans="1:3" x14ac:dyDescent="0.25">
      <c r="A59" s="41">
        <f t="shared" si="1"/>
        <v>363.15</v>
      </c>
      <c r="B59" s="31">
        <v>90</v>
      </c>
      <c r="C59" s="32">
        <f t="shared" si="0"/>
        <v>0.91890134398941148</v>
      </c>
    </row>
    <row r="60" spans="1:3" x14ac:dyDescent="0.25">
      <c r="A60" s="41">
        <f t="shared" si="1"/>
        <v>368.15</v>
      </c>
      <c r="B60" s="31">
        <v>95</v>
      </c>
      <c r="C60" s="32">
        <f t="shared" si="0"/>
        <v>0.78993859213919948</v>
      </c>
    </row>
    <row r="61" spans="1:3" x14ac:dyDescent="0.25">
      <c r="A61" s="41">
        <f t="shared" si="1"/>
        <v>373.15</v>
      </c>
      <c r="B61" s="31">
        <v>100</v>
      </c>
      <c r="C61" s="32">
        <f t="shared" si="0"/>
        <v>0.68162990515750199</v>
      </c>
    </row>
    <row r="62" spans="1:3" x14ac:dyDescent="0.25">
      <c r="A62" s="41">
        <f t="shared" si="1"/>
        <v>378.15</v>
      </c>
      <c r="B62" s="31">
        <v>105</v>
      </c>
      <c r="C62" s="32">
        <f t="shared" si="0"/>
        <v>0.59055310124646299</v>
      </c>
    </row>
    <row r="63" spans="1:3" x14ac:dyDescent="0.25">
      <c r="A63" s="41">
        <f t="shared" si="1"/>
        <v>383.15</v>
      </c>
      <c r="B63" s="31">
        <v>110</v>
      </c>
      <c r="C63" s="32">
        <f t="shared" si="0"/>
        <v>0.51343295481126294</v>
      </c>
    </row>
    <row r="64" spans="1:3" x14ac:dyDescent="0.25">
      <c r="A64" s="41">
        <f t="shared" si="1"/>
        <v>388.15</v>
      </c>
      <c r="B64" s="31">
        <v>115</v>
      </c>
      <c r="C64" s="32">
        <f t="shared" si="0"/>
        <v>0.4478839468898082</v>
      </c>
    </row>
    <row r="65" spans="1:3" x14ac:dyDescent="0.25">
      <c r="A65" s="41">
        <f t="shared" si="1"/>
        <v>393.15</v>
      </c>
      <c r="B65" s="31">
        <v>120</v>
      </c>
      <c r="C65" s="32">
        <f t="shared" si="0"/>
        <v>0.39196722873513556</v>
      </c>
    </row>
    <row r="66" spans="1:3" x14ac:dyDescent="0.25">
      <c r="A66" s="41">
        <f t="shared" si="1"/>
        <v>398.15</v>
      </c>
      <c r="B66" s="31">
        <v>125</v>
      </c>
      <c r="C66" s="32">
        <f t="shared" si="0"/>
        <v>0.34410016978495644</v>
      </c>
    </row>
    <row r="67" spans="1:3" x14ac:dyDescent="0.25">
      <c r="A67" s="41">
        <f t="shared" si="1"/>
        <v>403.15</v>
      </c>
      <c r="B67" s="31">
        <v>130</v>
      </c>
      <c r="C67" s="32">
        <f t="shared" si="0"/>
        <v>0.30298552423473435</v>
      </c>
    </row>
    <row r="68" spans="1:3" x14ac:dyDescent="0.25">
      <c r="A68" s="41">
        <f t="shared" si="1"/>
        <v>408.15</v>
      </c>
      <c r="B68" s="31">
        <v>135</v>
      </c>
      <c r="C68" s="32">
        <f t="shared" si="0"/>
        <v>0.2675556931705807</v>
      </c>
    </row>
    <row r="69" spans="1:3" x14ac:dyDescent="0.25">
      <c r="A69" s="41">
        <f t="shared" si="1"/>
        <v>413.15</v>
      </c>
      <c r="B69" s="31">
        <v>140</v>
      </c>
      <c r="C69" s="32">
        <f t="shared" si="0"/>
        <v>0.23692866084260364</v>
      </c>
    </row>
    <row r="70" spans="1:3" x14ac:dyDescent="0.25">
      <c r="A70" s="41">
        <f t="shared" si="1"/>
        <v>418.15</v>
      </c>
      <c r="B70" s="31">
        <v>145</v>
      </c>
      <c r="C70" s="32">
        <f t="shared" si="0"/>
        <v>0.21037300327268632</v>
      </c>
    </row>
    <row r="71" spans="1:3" ht="15.75" thickBot="1" x14ac:dyDescent="0.3">
      <c r="A71" s="41">
        <f t="shared" si="1"/>
        <v>423.15</v>
      </c>
      <c r="B71" s="33">
        <v>150</v>
      </c>
      <c r="C71" s="34">
        <f t="shared" si="0"/>
        <v>0.18727998054888034</v>
      </c>
    </row>
  </sheetData>
  <sortState ref="A8:F11">
    <sortCondition ref="B8:B11"/>
  </sortState>
  <mergeCells count="13">
    <mergeCell ref="D1:M2"/>
    <mergeCell ref="C6:C7"/>
    <mergeCell ref="D6:D7"/>
    <mergeCell ref="A5:F5"/>
    <mergeCell ref="E6:E7"/>
    <mergeCell ref="A6:B6"/>
    <mergeCell ref="H5:M5"/>
    <mergeCell ref="H6:I6"/>
    <mergeCell ref="F6:F7"/>
    <mergeCell ref="J6:J7"/>
    <mergeCell ref="K6:K7"/>
    <mergeCell ref="L6:L7"/>
    <mergeCell ref="M6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Thermister Worksheet</vt:lpstr>
      <vt:lpstr>Therm Data</vt:lpstr>
      <vt:lpstr>Rroom</vt:lpstr>
      <vt:lpstr>Rt</vt:lpstr>
      <vt:lpstr>ThermRes</vt:lpstr>
      <vt:lpstr>ThermTemp</vt:lpstr>
    </vt:vector>
  </TitlesOfParts>
  <Company>Thorlabs,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Struzzi</dc:creator>
  <cp:lastModifiedBy>Simon Hwang</cp:lastModifiedBy>
  <cp:lastPrinted>2012-10-19T21:09:46Z</cp:lastPrinted>
  <dcterms:created xsi:type="dcterms:W3CDTF">2012-10-19T20:39:19Z</dcterms:created>
  <dcterms:modified xsi:type="dcterms:W3CDTF">2017-08-08T12:52:46Z</dcterms:modified>
</cp:coreProperties>
</file>